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embeddings/oleObject1.bin" ContentType="application/vnd.openxmlformats-officedocument.oleObject"/>
  <Override PartName="/xl/customProperty2.bin" ContentType="application/vnd.openxmlformats-officedocument.spreadsheetml.customProperty"/>
  <Override PartName="/xl/comments1.xml" ContentType="application/vnd.openxmlformats-officedocument.spreadsheetml.comments+xml"/>
  <Override PartName="/xl/customProperty3.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3.xml" ContentType="application/vnd.openxmlformats-officedocument.spreadsheetml.comments+xml"/>
  <Override PartName="/xl/customProperty7.bin" ContentType="application/vnd.openxmlformats-officedocument.spreadsheetml.customProperty"/>
  <Override PartName="/xl/comments4.xml" ContentType="application/vnd.openxmlformats-officedocument.spreadsheetml.comments+xml"/>
  <Override PartName="/xl/customProperty8.bin" ContentType="application/vnd.openxmlformats-officedocument.spreadsheetml.customProperty"/>
  <Override PartName="/xl/comments5.xml" ContentType="application/vnd.openxmlformats-officedocument.spreadsheetml.comments+xml"/>
  <Override PartName="/xl/customProperty9.bin" ContentType="application/vnd.openxmlformats-officedocument.spreadsheetml.customProperty"/>
  <Override PartName="/xl/comments6.xml" ContentType="application/vnd.openxmlformats-officedocument.spreadsheetml.comments+xml"/>
  <Override PartName="/xl/customProperty10.bin" ContentType="application/vnd.openxmlformats-officedocument.spreadsheetml.customProperty"/>
  <Override PartName="/xl/comments7.xml" ContentType="application/vnd.openxmlformats-officedocument.spreadsheetml.comments+xml"/>
  <Override PartName="/xl/customProperty11.bin" ContentType="application/vnd.openxmlformats-officedocument.spreadsheetml.customProperty"/>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omments14.xml" ContentType="application/vnd.openxmlformats-officedocument.spreadsheetml.comments+xml"/>
  <Override PartName="/xl/customProperty14.bin" ContentType="application/vnd.openxmlformats-officedocument.spreadsheetml.customProperty"/>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66925"/>
  <mc:AlternateContent xmlns:mc="http://schemas.openxmlformats.org/markup-compatibility/2006">
    <mc:Choice Requires="x15">
      <x15ac:absPath xmlns:x15ac="http://schemas.microsoft.com/office/spreadsheetml/2010/11/ac" url="R:\CorpStrategy\_RegNew\02_Team Shared\11_Sales_Tariffs\01_Annual\APP\2021-22\AER Submission 29.04.21\"/>
    </mc:Choice>
  </mc:AlternateContent>
  <xr:revisionPtr revIDLastSave="0" documentId="13_ncr:1_{5D7E579E-EF1F-4800-BF9E-52496AB29AB2}" xr6:coauthVersionLast="46" xr6:coauthVersionMax="46" xr10:uidLastSave="{00000000-0000-0000-0000-000000000000}"/>
  <bookViews>
    <workbookView xWindow="-25320" yWindow="-120" windowWidth="25440" windowHeight="15390" tabRatio="860" firstSheet="2" activeTab="16" xr2:uid="{FBAD8413-E484-4B68-84F3-75106456C7E6}"/>
  </bookViews>
  <sheets>
    <sheet name="Formulae" sheetId="1" r:id="rId1"/>
    <sheet name="Model Update" sheetId="10" r:id="rId2"/>
    <sheet name="Outcome - DUoS" sheetId="4" r:id="rId3"/>
    <sheet name="TUoS" sheetId="13" r:id="rId4"/>
    <sheet name="JSO" sheetId="14" r:id="rId5"/>
    <sheet name="DUoS (t)" sheetId="2" r:id="rId6"/>
    <sheet name="TUoS (t)" sheetId="8" r:id="rId7"/>
    <sheet name="JSO (t)" sheetId="9" r:id="rId8"/>
    <sheet name="NUoS (t)" sheetId="16" r:id="rId9"/>
    <sheet name="Q (t)" sheetId="3" r:id="rId10"/>
    <sheet name="Cust Specific" sheetId="17" r:id="rId11"/>
    <sheet name="DUoS (t-1)" sheetId="21" r:id="rId12"/>
    <sheet name="TUoS (t-1)" sheetId="22" r:id="rId13"/>
    <sheet name="JSO (t-1)" sheetId="23" r:id="rId14"/>
    <sheet name="NUoS (t-1)" sheetId="24" r:id="rId15"/>
    <sheet name="Q (t-1)" sheetId="25" r:id="rId16"/>
    <sheet name="Pricing Scheule (t)" sheetId="20" r:id="rId17"/>
    <sheet name="2020-25 Pricing Schedule" sheetId="11" r:id="rId18"/>
    <sheet name="TSS REC" sheetId="19" r:id="rId19"/>
    <sheet name="RIN REC" sheetId="1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ftn1" localSheetId="0">Formulae!#REF!</definedName>
    <definedName name="_ftnref1" localSheetId="0">Formulae!$D$23</definedName>
    <definedName name="A10remlife">'[1]PTRM input'!$L$16</definedName>
    <definedName name="A10stdlife">'[1]PTRM input'!$M$16</definedName>
    <definedName name="A10taxremlife">'[1]PTRM input'!$O$16</definedName>
    <definedName name="A10taxstdlife">'[1]PTRM input'!$P$16</definedName>
    <definedName name="A10taxvalue">'[1]PTRM input'!$N$16</definedName>
    <definedName name="A10value">'[1]PTRM input'!$J$16</definedName>
    <definedName name="A11remlife">'[1]PTRM input'!$L$17</definedName>
    <definedName name="A11stdlife">'[1]PTRM input'!$M$17</definedName>
    <definedName name="A11taxremlife">'[1]PTRM input'!$O$17</definedName>
    <definedName name="A11taxstdlife">'[1]PTRM input'!$P$17</definedName>
    <definedName name="A11taxvalue">'[1]PTRM input'!$N$17</definedName>
    <definedName name="A11value">'[1]PTRM input'!$J$17</definedName>
    <definedName name="A12remlife">'[1]PTRM input'!$L$18</definedName>
    <definedName name="A12stdlife">'[1]PTRM input'!$M$18</definedName>
    <definedName name="A12taxremlife">'[1]PTRM input'!$O$18</definedName>
    <definedName name="A12taxstdlife">'[1]PTRM input'!$P$18</definedName>
    <definedName name="A12taxvalue">'[1]PTRM input'!$N$18</definedName>
    <definedName name="A12value">'[1]PTRM input'!$J$18</definedName>
    <definedName name="A13remlife">'[1]PTRM input'!$L$19</definedName>
    <definedName name="A13stdlife">'[1]PTRM input'!$M$19</definedName>
    <definedName name="A13taxremlife">'[1]PTRM input'!$O$19</definedName>
    <definedName name="A13taxstdlife">'[1]PTRM input'!$P$19</definedName>
    <definedName name="A13taxvalue">'[1]PTRM input'!$N$19</definedName>
    <definedName name="A13value">'[1]PTRM input'!$J$19</definedName>
    <definedName name="A14remlife">'[1]PTRM input'!$L$20</definedName>
    <definedName name="A14stdlife">'[1]PTRM input'!$M$20</definedName>
    <definedName name="A14taxremlife">'[1]PTRM input'!$O$20</definedName>
    <definedName name="A14taxstdlife">'[1]PTRM input'!$P$20</definedName>
    <definedName name="A14taxvalue">'[1]PTRM input'!$N$20</definedName>
    <definedName name="A14value">'[1]PTRM input'!$J$20</definedName>
    <definedName name="A15remlife">'[1]PTRM input'!$L$21</definedName>
    <definedName name="A15stdlife">'[1]PTRM input'!$M$21</definedName>
    <definedName name="A15taxremlife">'[1]PTRM input'!$O$21</definedName>
    <definedName name="A15taxstdlife">'[1]PTRM input'!$P$21</definedName>
    <definedName name="A15taxvalue">'[1]PTRM input'!$N$21</definedName>
    <definedName name="A15value">'[1]PTRM input'!$J$21</definedName>
    <definedName name="A16remlife">'[1]PTRM input'!$L$22</definedName>
    <definedName name="A16stdlife">'[1]PTRM input'!$M$22</definedName>
    <definedName name="A16taxremlife">'[1]PTRM input'!$O$22</definedName>
    <definedName name="A16taxstdlife">'[1]PTRM input'!$P$22</definedName>
    <definedName name="A16taxvalue">'[1]PTRM input'!$N$22</definedName>
    <definedName name="A16value">'[1]PTRM input'!$J$22</definedName>
    <definedName name="A17remlife">'[1]PTRM input'!$L$23</definedName>
    <definedName name="A17stdlife">'[1]PTRM input'!$M$23</definedName>
    <definedName name="A17taxremlife">'[1]PTRM input'!$O$23</definedName>
    <definedName name="A17taxstdlife">'[1]PTRM input'!$P$23</definedName>
    <definedName name="A17taxvalue">'[1]PTRM input'!$N$23</definedName>
    <definedName name="A17value">'[1]PTRM input'!$J$23</definedName>
    <definedName name="A18remlife">'[1]PTRM input'!$L$24</definedName>
    <definedName name="A18stdlife">'[1]PTRM input'!$M$24</definedName>
    <definedName name="A18taxremlife">'[1]PTRM input'!$O$24</definedName>
    <definedName name="A18taxstdlife">'[1]PTRM input'!$P$24</definedName>
    <definedName name="A18taxvalue">'[1]PTRM input'!$N$24</definedName>
    <definedName name="A18value">'[1]PTRM input'!$J$24</definedName>
    <definedName name="A19remlife">'[1]PTRM input'!$L$25</definedName>
    <definedName name="A19stdlife">'[1]PTRM input'!$M$25</definedName>
    <definedName name="A19taxremlife">'[1]PTRM input'!$O$25</definedName>
    <definedName name="A19taxstdlife">'[1]PTRM input'!$P$25</definedName>
    <definedName name="A19taxvalue">'[1]PTRM input'!$N$25</definedName>
    <definedName name="A19value">'[1]PTRM input'!$J$25</definedName>
    <definedName name="A1remlife">'[1]PTRM input'!$L$7</definedName>
    <definedName name="A1stdlife">'[1]PTRM input'!$M$7</definedName>
    <definedName name="A1taxremlife">'[1]PTRM input'!$O$7</definedName>
    <definedName name="A1taxstdlife">'[1]PTRM input'!$P$7</definedName>
    <definedName name="A1taxvalue">'[1]PTRM input'!$N$7</definedName>
    <definedName name="A1value">'[1]PTRM input'!$J$7</definedName>
    <definedName name="A20remlife">'[1]PTRM input'!$L$26</definedName>
    <definedName name="A20stdlife">'[1]PTRM input'!$M$26</definedName>
    <definedName name="A20taxremlife">'[1]PTRM input'!$O$26</definedName>
    <definedName name="A20taxstdlife">'[1]PTRM input'!$P$26</definedName>
    <definedName name="A20taxvalue">'[1]PTRM input'!$N$26</definedName>
    <definedName name="A20value">'[1]PTRM input'!$J$26</definedName>
    <definedName name="A21remlife">'[1]PTRM input'!$L$27</definedName>
    <definedName name="A21stdlife">'[1]PTRM input'!$M$27</definedName>
    <definedName name="A21taxremlife">'[1]PTRM input'!$O$27</definedName>
    <definedName name="A21taxstdlife">'[1]PTRM input'!$P$27</definedName>
    <definedName name="A21taxvalue">'[1]PTRM input'!$N$27</definedName>
    <definedName name="A21value">'[1]PTRM input'!$J$27</definedName>
    <definedName name="A22remlife">'[1]PTRM input'!$L$28</definedName>
    <definedName name="A22stdlife">'[1]PTRM input'!$M$28</definedName>
    <definedName name="A22taxremlife">'[1]PTRM input'!$O$28</definedName>
    <definedName name="A22taxstdlife">'[1]PTRM input'!$P$28</definedName>
    <definedName name="A22taxvalue">'[1]PTRM input'!$N$28</definedName>
    <definedName name="A22value">'[1]PTRM input'!$J$28</definedName>
    <definedName name="A23remlife">'[1]PTRM input'!$L$29</definedName>
    <definedName name="A23stdlife">'[1]PTRM input'!$M$29</definedName>
    <definedName name="A23taxremlife">'[1]PTRM input'!$O$29</definedName>
    <definedName name="A23taxstdlife">'[1]PTRM input'!$P$29</definedName>
    <definedName name="A23taxvalue">'[1]PTRM input'!$N$29</definedName>
    <definedName name="A23value">'[1]PTRM input'!$J$29</definedName>
    <definedName name="A24remlife">'[1]PTRM input'!$L$30</definedName>
    <definedName name="A24stdlife">'[1]PTRM input'!$M$30</definedName>
    <definedName name="A24taxremlife">'[1]PTRM input'!$O$30</definedName>
    <definedName name="A24taxstdlife">'[1]PTRM input'!$P$30</definedName>
    <definedName name="A24taxvalue">'[1]PTRM input'!$N$30</definedName>
    <definedName name="A24value">'[1]PTRM input'!$J$30</definedName>
    <definedName name="A25remlife">'[1]PTRM input'!$L$31</definedName>
    <definedName name="A25stdlife">'[1]PTRM input'!$M$31</definedName>
    <definedName name="A25taxremlife">'[1]PTRM input'!$O$31</definedName>
    <definedName name="A25taxstdlife">'[1]PTRM input'!$P$31</definedName>
    <definedName name="A25taxvalue">'[1]PTRM input'!$N$31</definedName>
    <definedName name="A25value">'[1]PTRM input'!$J$31</definedName>
    <definedName name="A26remlife">'[1]PTRM input'!$L$32</definedName>
    <definedName name="A26stdlife">'[1]PTRM input'!$M$32</definedName>
    <definedName name="A26taxremlife">'[1]PTRM input'!$O$32</definedName>
    <definedName name="A26taxstdlife">'[1]PTRM input'!$P$32</definedName>
    <definedName name="A26taxvalue">'[1]PTRM input'!$N$32</definedName>
    <definedName name="A26value">'[1]PTRM input'!$J$32</definedName>
    <definedName name="A27remlife">'[1]PTRM input'!$L$33</definedName>
    <definedName name="A27stdlife">'[1]PTRM input'!$M$33</definedName>
    <definedName name="A27taxremlife">'[1]PTRM input'!$O$33</definedName>
    <definedName name="A27taxstdlife">'[1]PTRM input'!$P$33</definedName>
    <definedName name="A27taxvalue">'[1]PTRM input'!$N$33</definedName>
    <definedName name="A27value">'[1]PTRM input'!$J$33</definedName>
    <definedName name="A28remlife">'[1]PTRM input'!$L$34</definedName>
    <definedName name="A28stdlife">'[1]PTRM input'!$M$34</definedName>
    <definedName name="A28taxremlife">'[1]PTRM input'!$O$34</definedName>
    <definedName name="A28taxstdlife">'[1]PTRM input'!$P$34</definedName>
    <definedName name="A28taxvalue">'[1]PTRM input'!$N$34</definedName>
    <definedName name="A28value">'[1]PTRM input'!$J$34</definedName>
    <definedName name="A29remlife">'[1]PTRM input'!$L$35</definedName>
    <definedName name="A29stdlife">'[1]PTRM input'!$M$35</definedName>
    <definedName name="A29taxremlife">'[1]PTRM input'!$O$35</definedName>
    <definedName name="A29taxstdlife">'[1]PTRM input'!$P$35</definedName>
    <definedName name="A29taxvalue">'[1]PTRM input'!$N$35</definedName>
    <definedName name="A29value">'[1]PTRM input'!$J$35</definedName>
    <definedName name="A2remlife">'[1]PTRM input'!$L$8</definedName>
    <definedName name="A2stdlife">'[1]PTRM input'!$M$8</definedName>
    <definedName name="A2taxremlife">'[1]PTRM input'!$O$8</definedName>
    <definedName name="A2taxstdlife">'[1]PTRM input'!$P$8</definedName>
    <definedName name="A2taxvalue">'[1]PTRM input'!$N$8</definedName>
    <definedName name="A2value">'[1]PTRM input'!$J$8</definedName>
    <definedName name="A30remlife">'[1]PTRM input'!$L$36</definedName>
    <definedName name="A30stdlife">'[1]PTRM input'!$M$36</definedName>
    <definedName name="A30taxremlife">'[1]PTRM input'!$O$36</definedName>
    <definedName name="A30taxstdlife">'[1]PTRM input'!$P$36</definedName>
    <definedName name="A30taxvalue">'[1]PTRM input'!$N$36</definedName>
    <definedName name="A30value">'[1]PTRM input'!$J$36</definedName>
    <definedName name="A3remlife">'[1]PTRM input'!$L$9</definedName>
    <definedName name="A3stdlife">'[1]PTRM input'!$M$9</definedName>
    <definedName name="A3taxremlife">'[1]PTRM input'!$O$9</definedName>
    <definedName name="A3taxstdlife">'[1]PTRM input'!$P$9</definedName>
    <definedName name="A3taxvalue">'[1]PTRM input'!$N$9</definedName>
    <definedName name="A3value">'[1]PTRM input'!$J$9</definedName>
    <definedName name="A4remlife">'[1]PTRM input'!$L$10</definedName>
    <definedName name="A4stdlife">'[1]PTRM input'!$M$10</definedName>
    <definedName name="A4taxremlife">'[1]PTRM input'!$O$10</definedName>
    <definedName name="A4taxstdlife">'[1]PTRM input'!$P$10</definedName>
    <definedName name="A4taxvalue">'[1]PTRM input'!$N$10</definedName>
    <definedName name="A4value">'[1]PTRM input'!$J$10</definedName>
    <definedName name="A5remlife">'[1]PTRM input'!$L$11</definedName>
    <definedName name="A5stdlife">'[1]PTRM input'!$M$11</definedName>
    <definedName name="A5taxremlife">'[1]PTRM input'!$O$11</definedName>
    <definedName name="A5taxstdlife">'[1]PTRM input'!$P$11</definedName>
    <definedName name="A5taxvalue">'[1]PTRM input'!$N$11</definedName>
    <definedName name="A5value">'[1]PTRM input'!$J$11</definedName>
    <definedName name="A6remlife">'[1]PTRM input'!$L$12</definedName>
    <definedName name="A6stdlife">'[1]PTRM input'!$M$12</definedName>
    <definedName name="A6taxremlife">'[1]PTRM input'!$O$12</definedName>
    <definedName name="A6taxstdlife">'[1]PTRM input'!$P$12</definedName>
    <definedName name="A6taxvalue">'[1]PTRM input'!$N$12</definedName>
    <definedName name="A6value">'[1]PTRM input'!$J$12</definedName>
    <definedName name="A7remlife">'[1]PTRM input'!$L$13</definedName>
    <definedName name="A7stdlife">'[1]PTRM input'!$M$13</definedName>
    <definedName name="A7taxremlife">'[1]PTRM input'!$O$13</definedName>
    <definedName name="A7taxstdlife">'[1]PTRM input'!$P$13</definedName>
    <definedName name="A7taxvalue">'[1]PTRM input'!$N$13</definedName>
    <definedName name="A7value">'[1]PTRM input'!$J$13</definedName>
    <definedName name="A8remlife">'[1]PTRM input'!$L$14</definedName>
    <definedName name="A8stdlife">'[1]PTRM input'!$M$14</definedName>
    <definedName name="A8taxremlife">'[1]PTRM input'!$O$14</definedName>
    <definedName name="A8taxstdlife">'[1]PTRM input'!$P$14</definedName>
    <definedName name="A8taxvalue">'[1]PTRM input'!$N$14</definedName>
    <definedName name="A8value">'[1]PTRM input'!$J$14</definedName>
    <definedName name="A9remlife">'[1]PTRM input'!$L$15</definedName>
    <definedName name="A9stdlife">'[1]PTRM input'!$M$15</definedName>
    <definedName name="A9taxremlife">'[1]PTRM input'!$O$15</definedName>
    <definedName name="A9taxstdlife">'[1]PTRM input'!$P$15</definedName>
    <definedName name="A9taxvalue">'[1]PTRM input'!$N$15</definedName>
    <definedName name="A9value">'[1]PTRM input'!$J$15</definedName>
    <definedName name="Asset1">'[1]PTRM input'!$G$7</definedName>
    <definedName name="Asset10">'[1]PTRM input'!$G$16</definedName>
    <definedName name="Asset11">'[1]PTRM input'!$G$17</definedName>
    <definedName name="Asset12">'[1]PTRM input'!$G$18</definedName>
    <definedName name="Asset13">'[1]PTRM input'!$G$19</definedName>
    <definedName name="Asset14">'[1]PTRM input'!$G$20</definedName>
    <definedName name="Asset15">'[1]PTRM input'!$G$21</definedName>
    <definedName name="Asset16">'[1]PTRM input'!$G$22</definedName>
    <definedName name="Asset17">'[1]PTRM input'!$G$23</definedName>
    <definedName name="Asset18">'[1]PTRM input'!$G$24</definedName>
    <definedName name="Asset19">'[1]PTRM input'!$G$25</definedName>
    <definedName name="Asset2">'[1]PTRM input'!$G$8</definedName>
    <definedName name="Asset20">'[1]PTRM input'!$G$26</definedName>
    <definedName name="Asset21">'[1]PTRM input'!$G$27</definedName>
    <definedName name="Asset22">'[1]PTRM input'!$G$28</definedName>
    <definedName name="Asset23">'[1]PTRM input'!$G$29</definedName>
    <definedName name="Asset24">'[1]PTRM input'!$G$30</definedName>
    <definedName name="Asset25">'[1]PTRM input'!$G$31</definedName>
    <definedName name="Asset26">'[1]PTRM input'!$G$32</definedName>
    <definedName name="Asset27">'[1]PTRM input'!$G$33</definedName>
    <definedName name="Asset28">'[1]PTRM input'!$G$34</definedName>
    <definedName name="Asset29">'[1]PTRM input'!$G$35</definedName>
    <definedName name="Asset3">'[1]PTRM input'!$G$9</definedName>
    <definedName name="Asset30">'[1]PTRM input'!$G$36</definedName>
    <definedName name="Asset4">'[1]PTRM input'!$G$10</definedName>
    <definedName name="Asset5">'[1]PTRM input'!$G$11</definedName>
    <definedName name="Asset6">'[1]PTRM input'!$G$12</definedName>
    <definedName name="Asset7">'[1]PTRM input'!$G$13</definedName>
    <definedName name="Asset8">'[1]PTRM input'!$G$14</definedName>
    <definedName name="Asset9">'[1]PTRM input'!$G$15</definedName>
    <definedName name="Base_date">'[2]Tables 16 - 26'!$E$1</definedName>
    <definedName name="CRCP_y4">'[3]Business &amp; other details'!$F$39</definedName>
    <definedName name="CRCP_y5">'[3]Business &amp; other details'!$G$39</definedName>
    <definedName name="Days_Summer_Demand">'Model Update'!$G$9</definedName>
    <definedName name="Days_Year">'Model Update'!$F$9</definedName>
    <definedName name="dms_DollarReal">'[3]Business &amp; other details'!$C$74</definedName>
    <definedName name="dms_FRCPlength_Num">'[3]Business &amp; other details'!$C$83</definedName>
    <definedName name="dms_Reg_Year_Span">'[3]Business &amp; other details'!$B$3</definedName>
    <definedName name="dms_TradingName">'[3]Business &amp; other details'!$C$14</definedName>
    <definedName name="DNSP">[4]Outcomes!$B$3</definedName>
    <definedName name="DNSP_list">[5]Cover!$C$82:$C$84</definedName>
    <definedName name="Drc">'[1]PTRM input'!$G$233</definedName>
    <definedName name="Drpc">'[1]PTRM input'!$G$231</definedName>
    <definedName name="Drpt">'[1]PTRM input'!$G$232</definedName>
    <definedName name="Dv">'[1]PTRM input'!$G$219</definedName>
    <definedName name="ERC_Final_Calc">'[1]Equity raising costs'!$Q$54</definedName>
    <definedName name="ERC_Yr01_Inc">'[1]PTRM input'!$G$70</definedName>
    <definedName name="f">'[1]PTRM input'!$G$216</definedName>
    <definedName name="FRCP_y1">'[3]Business &amp; other details'!$C$35</definedName>
    <definedName name="FRCP_y2">'[3]Business &amp; other details'!$D$35</definedName>
    <definedName name="FRCP_y3">'[3]Business &amp; other details'!$E$35</definedName>
    <definedName name="FRCP_y4">'[3]Business &amp; other details'!$F$35</definedName>
    <definedName name="FRCP_y5">'[3]Business &amp; other details'!$G$35</definedName>
    <definedName name="g">'[1]PTRM input'!$G$218</definedName>
    <definedName name="Icpr">'[1]PTRM input'!$G$229</definedName>
    <definedName name="NSW_list">[5]Cover!#REF!</definedName>
    <definedName name="P_0_RevCap">'[1]X factors'!$G$63</definedName>
    <definedName name="P_0_RevYld">'[1]X factors'!$G$83</definedName>
    <definedName name="P_0_WAPC">'[1]X factors'!$G$47</definedName>
    <definedName name="_xlnm.Print_Area" localSheetId="10">'Cust Specific'!$A$1:$U$428</definedName>
    <definedName name="_xlnm.Print_Area" localSheetId="5">'DUoS (t)'!$B$1:$V$130</definedName>
    <definedName name="_xlnm.Print_Area" localSheetId="11">'DUoS (t-1)'!$B$1:$V$130</definedName>
    <definedName name="_xlnm.Print_Area" localSheetId="7">'JSO (t)'!$B$1:$V$130</definedName>
    <definedName name="_xlnm.Print_Area" localSheetId="13">'JSO (t-1)'!$B$1:$V$130</definedName>
    <definedName name="_xlnm.Print_Area" localSheetId="8">'NUoS (t)'!$B$1:$V$130</definedName>
    <definedName name="_xlnm.Print_Area" localSheetId="14">'NUoS (t-1)'!$B$1:$V$130</definedName>
    <definedName name="_xlnm.Print_Area" localSheetId="16">'Pricing Scheule (t)'!$B$1:$CC$101</definedName>
    <definedName name="_xlnm.Print_Area" localSheetId="9">'Q (t)'!$B$1:$X$136</definedName>
    <definedName name="_xlnm.Print_Area" localSheetId="15">'Q (t-1)'!$B$1:$X$136</definedName>
    <definedName name="_xlnm.Print_Area" localSheetId="6">'TUoS (t)'!$B$1:$BM$130</definedName>
    <definedName name="_xlnm.Print_Area" localSheetId="12">'TUoS (t-1)'!$B$1:$BM$130</definedName>
    <definedName name="_xlnm.Print_Titles" localSheetId="5">'DUoS (t)'!$B:$E,'DUoS (t)'!$11:$15</definedName>
    <definedName name="_xlnm.Print_Titles" localSheetId="11">'DUoS (t-1)'!$B:$E,'DUoS (t-1)'!$11:$15</definedName>
    <definedName name="_xlnm.Print_Titles" localSheetId="7">'JSO (t)'!$B:$E,'JSO (t)'!$11:$15</definedName>
    <definedName name="_xlnm.Print_Titles" localSheetId="13">'JSO (t-1)'!$B:$E,'JSO (t-1)'!$11:$15</definedName>
    <definedName name="_xlnm.Print_Titles" localSheetId="8">'NUoS (t)'!$B:$E,'NUoS (t)'!$11:$15</definedName>
    <definedName name="_xlnm.Print_Titles" localSheetId="14">'NUoS (t-1)'!$B:$E,'NUoS (t-1)'!$11:$15</definedName>
    <definedName name="_xlnm.Print_Titles" localSheetId="9">'Q (t)'!$B:$E,'Q (t)'!$11:$15</definedName>
    <definedName name="_xlnm.Print_Titles" localSheetId="15">'Q (t-1)'!$B:$E,'Q (t-1)'!$11:$15</definedName>
    <definedName name="_xlnm.Print_Titles" localSheetId="6">'TUoS (t)'!$B:$E,'TUoS (t)'!$1:$15</definedName>
    <definedName name="_xlnm.Print_Titles" localSheetId="12">'TUoS (t-1)'!$B:$E,'TUoS (t-1)'!$1:$15</definedName>
    <definedName name="RAB">'[1]PTRM input'!$J$37</definedName>
    <definedName name="rvanilla01">[1]WACC!$G$19</definedName>
    <definedName name="rvanilla02">[1]WACC!$H$19</definedName>
    <definedName name="rvanilla03">[1]WACC!$I$19</definedName>
    <definedName name="rvanilla04">[1]WACC!$J$19</definedName>
    <definedName name="rvanilla05">[1]WACC!$K$19</definedName>
    <definedName name="rvanilla06">[1]WACC!$L$19</definedName>
    <definedName name="rvanilla07">[1]WACC!$M$19</definedName>
    <definedName name="rvanilla08">[1]WACC!$N$19</definedName>
    <definedName name="rvanilla09">[1]WACC!$O$19</definedName>
    <definedName name="rvanilla10">[1]WACC!$P$19</definedName>
    <definedName name="SA_list">[5]Cover!#REF!</definedName>
    <definedName name="Seo">'[1]PTRM input'!$G$230</definedName>
    <definedName name="SheetHeader">'[3]Business &amp; other details'!$B$1</definedName>
    <definedName name="vanilla01">[1]WACC!$G$18</definedName>
    <definedName name="vanilla02">[1]WACC!$H$18</definedName>
    <definedName name="vanilla03">[1]WACC!$I$18</definedName>
    <definedName name="vanilla04">[1]WACC!$J$18</definedName>
    <definedName name="vanilla05">[1]WACC!$K$18</definedName>
    <definedName name="vanilla06">[1]WACC!$L$18</definedName>
    <definedName name="vanilla07">[1]WACC!$M$18</definedName>
    <definedName name="vanilla08">[1]WACC!$N$18</definedName>
    <definedName name="vanilla09">[1]WACC!$O$18</definedName>
    <definedName name="vanilla10">[1]WACC!$P$18</definedName>
    <definedName name="VIC_list">[5]Cover!#REF!</definedName>
    <definedName name="X_02_RevCap">'[1]X factors'!$H$63</definedName>
    <definedName name="X_02_RevYld">'[1]X factors'!$H$83</definedName>
    <definedName name="X_02_WAPC">'[1]X factors'!$H$47</definedName>
    <definedName name="X_03_RevCap">'[1]X factors'!$I$63</definedName>
    <definedName name="X_03_RevYld">'[1]X factors'!$I$83</definedName>
    <definedName name="X_03_WAPC">'[1]X factors'!$I$47</definedName>
    <definedName name="X_04_RevCap">'[1]X factors'!$J$63</definedName>
    <definedName name="X_04_RevYld">'[1]X factors'!$J$83</definedName>
    <definedName name="X_04_WAPC">'[1]X factors'!$J$47</definedName>
    <definedName name="X_05_RevCap">'[1]X factors'!$K$63</definedName>
    <definedName name="X_05_RevYld">'[1]X factors'!$K$83</definedName>
    <definedName name="X_05_WAPC">'[1]X factors'!$K$47</definedName>
    <definedName name="X_06_RevCap">'[1]X factors'!$L$63</definedName>
    <definedName name="X_06_RevYld">'[1]X factors'!$L$83</definedName>
    <definedName name="X_06_WAPC">'[1]X factors'!$L$47</definedName>
    <definedName name="X_07_RevCap">'[1]X factors'!$M$63</definedName>
    <definedName name="X_07_RevYld">'[1]X factors'!$M$83</definedName>
    <definedName name="X_07_WAPC">'[1]X factors'!$M$47</definedName>
    <definedName name="X_08_RevCap">'[1]X factors'!$N$63</definedName>
    <definedName name="X_08_RevYld">'[1]X factors'!$N$83</definedName>
    <definedName name="X_08_WAPC">'[1]X factors'!$N$47</definedName>
    <definedName name="X_09_RevCap">'[1]X factors'!$O$63</definedName>
    <definedName name="X_09_RevYld">'[1]X factors'!$O$83</definedName>
    <definedName name="X_09_WAPC">'[1]X factors'!$O$47</definedName>
    <definedName name="X_10_RevCap">'[1]X factors'!$P$63</definedName>
    <definedName name="X_10_RevYld">'[1]X factors'!$P$83</definedName>
    <definedName name="X_10_WAPC">'[1]X factors'!$P$47</definedName>
    <definedName name="YEAR">[4]Outcomes!$B$4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63" i="20" l="1"/>
  <c r="AD63" i="20"/>
  <c r="AE38" i="20"/>
  <c r="AD38" i="20"/>
  <c r="BK17" i="20"/>
  <c r="AQ17" i="20"/>
  <c r="W17" i="20"/>
  <c r="H7" i="11"/>
  <c r="G7" i="11"/>
  <c r="F7" i="11"/>
  <c r="H6" i="11"/>
  <c r="G6" i="11"/>
  <c r="F6" i="11"/>
  <c r="B9" i="4" l="1"/>
  <c r="H30" i="9"/>
  <c r="H31" i="9"/>
  <c r="V131" i="3" l="1"/>
  <c r="T131" i="3"/>
  <c r="S131" i="3"/>
  <c r="R131" i="3"/>
  <c r="Q131" i="3"/>
  <c r="P131" i="3"/>
  <c r="O17" i="4" l="1"/>
  <c r="BT131" i="9" l="1"/>
  <c r="AP53" i="20" l="1"/>
  <c r="BJ53" i="20"/>
  <c r="BJ7" i="20"/>
  <c r="AP7" i="20"/>
  <c r="V7" i="20"/>
  <c r="V53" i="20"/>
  <c r="B53" i="20"/>
  <c r="B7" i="20"/>
  <c r="U24" i="3"/>
  <c r="K24" i="3"/>
  <c r="J24" i="3"/>
  <c r="I24" i="3"/>
  <c r="G24" i="3"/>
  <c r="G26" i="3" s="1"/>
  <c r="K26" i="3" l="1"/>
  <c r="I26" i="3"/>
  <c r="J26" i="3"/>
  <c r="H67" i="18" l="1"/>
  <c r="I66" i="18"/>
  <c r="J66" i="18"/>
  <c r="H51" i="18"/>
  <c r="G42" i="18"/>
  <c r="H35" i="18" l="1"/>
  <c r="H11" i="18" l="1"/>
  <c r="H13" i="18" l="1"/>
  <c r="H24" i="18" s="1"/>
  <c r="H20" i="18"/>
  <c r="BD68" i="24" l="1"/>
  <c r="BC68" i="24"/>
  <c r="BL68" i="24" s="1"/>
  <c r="AZ68" i="24"/>
  <c r="AY68" i="24"/>
  <c r="AX68" i="24"/>
  <c r="AW68" i="24"/>
  <c r="AV68" i="24"/>
  <c r="AU68" i="24"/>
  <c r="AT68" i="24"/>
  <c r="BJ68" i="24" s="1"/>
  <c r="AR68" i="24"/>
  <c r="AP68" i="24"/>
  <c r="BJ67" i="24"/>
  <c r="BD67" i="24"/>
  <c r="BC67" i="24"/>
  <c r="BL67" i="24" s="1"/>
  <c r="AZ67" i="24"/>
  <c r="AY67" i="24"/>
  <c r="AX67" i="24"/>
  <c r="AW67" i="24"/>
  <c r="AV67" i="24"/>
  <c r="AU67" i="24"/>
  <c r="AT67" i="24"/>
  <c r="AR67" i="24"/>
  <c r="AP67" i="24"/>
  <c r="BD66" i="24"/>
  <c r="BC66" i="24"/>
  <c r="BL66" i="24" s="1"/>
  <c r="AZ66" i="24"/>
  <c r="AY66" i="24"/>
  <c r="AX66" i="24"/>
  <c r="AW66" i="24"/>
  <c r="AV66" i="24"/>
  <c r="AU66" i="24"/>
  <c r="AT66" i="24"/>
  <c r="BJ66" i="24" s="1"/>
  <c r="AR66" i="24"/>
  <c r="AP66" i="24"/>
  <c r="BJ65" i="24"/>
  <c r="BF65" i="24"/>
  <c r="BO65" i="24" s="1"/>
  <c r="BE65" i="24"/>
  <c r="BD65" i="24"/>
  <c r="BC65" i="24"/>
  <c r="BL65" i="24" s="1"/>
  <c r="AZ65" i="24"/>
  <c r="AY65" i="24"/>
  <c r="AX65" i="24"/>
  <c r="AW65" i="24"/>
  <c r="AV65" i="24"/>
  <c r="AU65" i="24"/>
  <c r="AT65" i="24"/>
  <c r="AR65" i="24"/>
  <c r="AP65" i="24"/>
  <c r="BD64" i="24"/>
  <c r="BC64" i="24"/>
  <c r="BL64" i="24" s="1"/>
  <c r="AZ64" i="24"/>
  <c r="AY64" i="24"/>
  <c r="AX64" i="24"/>
  <c r="AW64" i="24"/>
  <c r="AV64" i="24"/>
  <c r="AU64" i="24"/>
  <c r="AT64" i="24"/>
  <c r="BJ64" i="24" s="1"/>
  <c r="AR64" i="24"/>
  <c r="AP64" i="24"/>
  <c r="BL63" i="24"/>
  <c r="BD63" i="24"/>
  <c r="BC63" i="24"/>
  <c r="AZ63" i="24"/>
  <c r="AY63" i="24"/>
  <c r="AX63" i="24"/>
  <c r="AW63" i="24"/>
  <c r="AV63" i="24"/>
  <c r="AU63" i="24"/>
  <c r="BJ63" i="24" s="1"/>
  <c r="AT63" i="24"/>
  <c r="AR63" i="24"/>
  <c r="AP63" i="24"/>
  <c r="BD62" i="24"/>
  <c r="BC62" i="24"/>
  <c r="BL62" i="24" s="1"/>
  <c r="AZ62" i="24"/>
  <c r="AY62" i="24"/>
  <c r="AX62" i="24"/>
  <c r="AW62" i="24"/>
  <c r="AV62" i="24"/>
  <c r="BJ62" i="24" s="1"/>
  <c r="AU62" i="24"/>
  <c r="AT62" i="24"/>
  <c r="AR62" i="24"/>
  <c r="AP62" i="24"/>
  <c r="BD61" i="24"/>
  <c r="BC61" i="24"/>
  <c r="BL61" i="24" s="1"/>
  <c r="AZ61" i="24"/>
  <c r="AY61" i="24"/>
  <c r="AX61" i="24"/>
  <c r="AW61" i="24"/>
  <c r="AV61" i="24"/>
  <c r="AU61" i="24"/>
  <c r="AT61" i="24"/>
  <c r="BJ61" i="24" s="1"/>
  <c r="AR61" i="24"/>
  <c r="AP61" i="24"/>
  <c r="BD60" i="24"/>
  <c r="BC60" i="24"/>
  <c r="BL60" i="24" s="1"/>
  <c r="AZ60" i="24"/>
  <c r="AY60" i="24"/>
  <c r="AX60" i="24"/>
  <c r="AW60" i="24"/>
  <c r="AV60" i="24"/>
  <c r="AU60" i="24"/>
  <c r="BJ60" i="24" s="1"/>
  <c r="AT60" i="24"/>
  <c r="AR60" i="24"/>
  <c r="AP60" i="24"/>
  <c r="BJ59" i="24"/>
  <c r="BD59" i="24"/>
  <c r="BC59" i="24"/>
  <c r="BL59" i="24" s="1"/>
  <c r="AZ59" i="24"/>
  <c r="AY59" i="24"/>
  <c r="AX59" i="24"/>
  <c r="AW59" i="24"/>
  <c r="AV59" i="24"/>
  <c r="AU59" i="24"/>
  <c r="AT59" i="24"/>
  <c r="AR59" i="24"/>
  <c r="AP59" i="24"/>
  <c r="BD58" i="24"/>
  <c r="BC58" i="24"/>
  <c r="BL58" i="24" s="1"/>
  <c r="AZ58" i="24"/>
  <c r="AY58" i="24"/>
  <c r="AX58" i="24"/>
  <c r="AW58" i="24"/>
  <c r="AV58" i="24"/>
  <c r="AU58" i="24"/>
  <c r="AT58" i="24"/>
  <c r="BJ58" i="24" s="1"/>
  <c r="AR58" i="24"/>
  <c r="AP58" i="24"/>
  <c r="BJ57" i="24"/>
  <c r="BF57" i="24"/>
  <c r="BO57" i="24" s="1"/>
  <c r="BE57" i="24"/>
  <c r="BD57" i="24"/>
  <c r="BC57" i="24"/>
  <c r="BL57" i="24" s="1"/>
  <c r="AZ57" i="24"/>
  <c r="AY57" i="24"/>
  <c r="AX57" i="24"/>
  <c r="AW57" i="24"/>
  <c r="AV57" i="24"/>
  <c r="AU57" i="24"/>
  <c r="AT57" i="24"/>
  <c r="AR57" i="24"/>
  <c r="AP57" i="24"/>
  <c r="BD56" i="24"/>
  <c r="BC56" i="24"/>
  <c r="BL56" i="24" s="1"/>
  <c r="AZ56" i="24"/>
  <c r="AY56" i="24"/>
  <c r="AX56" i="24"/>
  <c r="AW56" i="24"/>
  <c r="AV56" i="24"/>
  <c r="AU56" i="24"/>
  <c r="AT56" i="24"/>
  <c r="BJ56" i="24" s="1"/>
  <c r="AR56" i="24"/>
  <c r="AP56" i="24"/>
  <c r="BD55" i="24"/>
  <c r="BC55" i="24"/>
  <c r="BL55" i="24" s="1"/>
  <c r="AZ55" i="24"/>
  <c r="AY55" i="24"/>
  <c r="AX55" i="24"/>
  <c r="AW55" i="24"/>
  <c r="AV55" i="24"/>
  <c r="AU55" i="24"/>
  <c r="BJ55" i="24" s="1"/>
  <c r="AT55" i="24"/>
  <c r="AR55" i="24"/>
  <c r="AP55" i="24"/>
  <c r="BF54" i="24"/>
  <c r="BO54" i="24" s="1"/>
  <c r="BE54" i="24"/>
  <c r="BD54" i="24"/>
  <c r="BC54" i="24"/>
  <c r="BL54" i="24" s="1"/>
  <c r="BB54" i="24"/>
  <c r="BA54" i="24"/>
  <c r="AZ54" i="24"/>
  <c r="AY54" i="24"/>
  <c r="AX54" i="24"/>
  <c r="BK54" i="24" s="1"/>
  <c r="AW54" i="24"/>
  <c r="AV54" i="24"/>
  <c r="BJ54" i="24" s="1"/>
  <c r="AU54" i="24"/>
  <c r="AT54" i="24"/>
  <c r="AS54" i="24"/>
  <c r="AR54" i="24"/>
  <c r="AQ54" i="24"/>
  <c r="AP54" i="24"/>
  <c r="BI54" i="24" s="1"/>
  <c r="AO54" i="24"/>
  <c r="BH54" i="24" s="1"/>
  <c r="BM54" i="24" l="1"/>
  <c r="AM68" i="16" l="1"/>
  <c r="AL68" i="16"/>
  <c r="AI68" i="16"/>
  <c r="AH68" i="16"/>
  <c r="AG68" i="16"/>
  <c r="AF68" i="16"/>
  <c r="AE68" i="16"/>
  <c r="AD68" i="16"/>
  <c r="AC68" i="16"/>
  <c r="AA68" i="16"/>
  <c r="Y68" i="16"/>
  <c r="AM67" i="16"/>
  <c r="AL67" i="16"/>
  <c r="AI67" i="16"/>
  <c r="AH67" i="16"/>
  <c r="AG67" i="16"/>
  <c r="AF67" i="16"/>
  <c r="AE67" i="16"/>
  <c r="AD67" i="16"/>
  <c r="AC67" i="16"/>
  <c r="AA67" i="16"/>
  <c r="Y67" i="16"/>
  <c r="AM66" i="16"/>
  <c r="AL66" i="16"/>
  <c r="AI66" i="16"/>
  <c r="AH66" i="16"/>
  <c r="AG66" i="16"/>
  <c r="AF66" i="16"/>
  <c r="AE66" i="16"/>
  <c r="AD66" i="16"/>
  <c r="AC66" i="16"/>
  <c r="AA66" i="16"/>
  <c r="Y66" i="16"/>
  <c r="AM65" i="16"/>
  <c r="AL65" i="16"/>
  <c r="AK65" i="16"/>
  <c r="AJ65" i="16"/>
  <c r="AI65" i="16"/>
  <c r="AH65" i="16"/>
  <c r="AG65" i="16"/>
  <c r="AF65" i="16"/>
  <c r="AE65" i="16"/>
  <c r="AD65" i="16"/>
  <c r="AC65" i="16"/>
  <c r="AB65" i="16"/>
  <c r="AA65" i="16"/>
  <c r="Z65" i="16"/>
  <c r="Y65" i="16"/>
  <c r="BF65" i="16" s="1"/>
  <c r="BO65" i="16" s="1"/>
  <c r="X65" i="16"/>
  <c r="BE65" i="16" s="1"/>
  <c r="AM64" i="16"/>
  <c r="AL64" i="16"/>
  <c r="AI64" i="16"/>
  <c r="AH64" i="16"/>
  <c r="AG64" i="16"/>
  <c r="AF64" i="16"/>
  <c r="AE64" i="16"/>
  <c r="AD64" i="16"/>
  <c r="AC64" i="16"/>
  <c r="AA64" i="16"/>
  <c r="Y64" i="16"/>
  <c r="AM63" i="16"/>
  <c r="AL63" i="16"/>
  <c r="AI63" i="16"/>
  <c r="AH63" i="16"/>
  <c r="AG63" i="16"/>
  <c r="AF63" i="16"/>
  <c r="AE63" i="16"/>
  <c r="AD63" i="16"/>
  <c r="AC63" i="16"/>
  <c r="AA63" i="16"/>
  <c r="Y63" i="16"/>
  <c r="AM62" i="16"/>
  <c r="AL62" i="16"/>
  <c r="AI62" i="16"/>
  <c r="AH62" i="16"/>
  <c r="AG62" i="16"/>
  <c r="AF62" i="16"/>
  <c r="AE62" i="16"/>
  <c r="AD62" i="16"/>
  <c r="AC62" i="16"/>
  <c r="AA62" i="16"/>
  <c r="Y62" i="16"/>
  <c r="AM61" i="16"/>
  <c r="AL61" i="16"/>
  <c r="AI61" i="16"/>
  <c r="AH61" i="16"/>
  <c r="AG61" i="16"/>
  <c r="AF61" i="16"/>
  <c r="AE61" i="16"/>
  <c r="AD61" i="16"/>
  <c r="AC61" i="16"/>
  <c r="AA61" i="16"/>
  <c r="Y61" i="16"/>
  <c r="AM60" i="16"/>
  <c r="AL60" i="16"/>
  <c r="AI60" i="16"/>
  <c r="AH60" i="16"/>
  <c r="AG60" i="16"/>
  <c r="AF60" i="16"/>
  <c r="AE60" i="16"/>
  <c r="AD60" i="16"/>
  <c r="AC60" i="16"/>
  <c r="AA60" i="16"/>
  <c r="Y60" i="16"/>
  <c r="AM59" i="16"/>
  <c r="AL59" i="16"/>
  <c r="AI59" i="16"/>
  <c r="AH59" i="16"/>
  <c r="AG59" i="16"/>
  <c r="AF59" i="16"/>
  <c r="AE59" i="16"/>
  <c r="AD59" i="16"/>
  <c r="AC59" i="16"/>
  <c r="AA59" i="16"/>
  <c r="Y59" i="16"/>
  <c r="AM58" i="16"/>
  <c r="AL58" i="16"/>
  <c r="AI58" i="16"/>
  <c r="AH58" i="16"/>
  <c r="AG58" i="16"/>
  <c r="AF58" i="16"/>
  <c r="AE58" i="16"/>
  <c r="AD58" i="16"/>
  <c r="AC58" i="16"/>
  <c r="AA58" i="16"/>
  <c r="Y58" i="16"/>
  <c r="AM57" i="16"/>
  <c r="AL57" i="16"/>
  <c r="AK57" i="16"/>
  <c r="AJ57" i="16"/>
  <c r="AI57" i="16"/>
  <c r="AH57" i="16"/>
  <c r="AG57" i="16"/>
  <c r="AF57" i="16"/>
  <c r="AE57" i="16"/>
  <c r="AD57" i="16"/>
  <c r="AC57" i="16"/>
  <c r="AB57" i="16"/>
  <c r="AA57" i="16"/>
  <c r="Z57" i="16"/>
  <c r="Y57" i="16"/>
  <c r="X57" i="16"/>
  <c r="BE57" i="16" s="1"/>
  <c r="AM56" i="16"/>
  <c r="AL56" i="16"/>
  <c r="AI56" i="16"/>
  <c r="AH56" i="16"/>
  <c r="AG56" i="16"/>
  <c r="AF56" i="16"/>
  <c r="AE56" i="16"/>
  <c r="AD56" i="16"/>
  <c r="AC56" i="16"/>
  <c r="AA56" i="16"/>
  <c r="Y56" i="16"/>
  <c r="AM55" i="16"/>
  <c r="AL55" i="16"/>
  <c r="AI55" i="16"/>
  <c r="AH55" i="16"/>
  <c r="AG55" i="16"/>
  <c r="AF55" i="16"/>
  <c r="AE55" i="16"/>
  <c r="AD55" i="16"/>
  <c r="AC55" i="16"/>
  <c r="AA55" i="16"/>
  <c r="Y55" i="16"/>
  <c r="AM54" i="16"/>
  <c r="AL54" i="16"/>
  <c r="AK54" i="16"/>
  <c r="AJ54" i="16"/>
  <c r="AI54" i="16"/>
  <c r="AH54" i="16"/>
  <c r="AG54" i="16"/>
  <c r="AF54" i="16"/>
  <c r="AE54" i="16"/>
  <c r="AD54" i="16"/>
  <c r="AC54" i="16"/>
  <c r="AB54" i="16"/>
  <c r="AA54" i="16"/>
  <c r="Z54" i="16"/>
  <c r="Y54" i="16"/>
  <c r="X54" i="16"/>
  <c r="BE54" i="16" s="1"/>
  <c r="BD68" i="9"/>
  <c r="AM68" i="9"/>
  <c r="AL68" i="9"/>
  <c r="BC68" i="9" s="1"/>
  <c r="BL68" i="9" s="1"/>
  <c r="AI68" i="9"/>
  <c r="AZ68" i="9" s="1"/>
  <c r="AH68" i="9"/>
  <c r="AY68" i="9" s="1"/>
  <c r="AG68" i="9"/>
  <c r="AX68" i="9" s="1"/>
  <c r="AF68" i="9"/>
  <c r="AW68" i="9" s="1"/>
  <c r="AE68" i="9"/>
  <c r="AV68" i="9" s="1"/>
  <c r="AD68" i="9"/>
  <c r="AU68" i="9" s="1"/>
  <c r="AC68" i="9"/>
  <c r="AT68" i="9" s="1"/>
  <c r="AA68" i="9"/>
  <c r="AR68" i="9" s="1"/>
  <c r="Y68" i="9"/>
  <c r="AM67" i="9"/>
  <c r="BD67" i="9" s="1"/>
  <c r="AL67" i="9"/>
  <c r="BC67" i="9" s="1"/>
  <c r="BL67" i="9" s="1"/>
  <c r="AI67" i="9"/>
  <c r="AZ67" i="9" s="1"/>
  <c r="AH67" i="9"/>
  <c r="AY67" i="9" s="1"/>
  <c r="AG67" i="9"/>
  <c r="AX67" i="9" s="1"/>
  <c r="AF67" i="9"/>
  <c r="AW67" i="9" s="1"/>
  <c r="AE67" i="9"/>
  <c r="AV67" i="9" s="1"/>
  <c r="AD67" i="9"/>
  <c r="AU67" i="9" s="1"/>
  <c r="AC67" i="9"/>
  <c r="AT67" i="9" s="1"/>
  <c r="AA67" i="9"/>
  <c r="AR67" i="9" s="1"/>
  <c r="Y67" i="9"/>
  <c r="AM66" i="9"/>
  <c r="BD66" i="9" s="1"/>
  <c r="AL66" i="9"/>
  <c r="BC66" i="9" s="1"/>
  <c r="AI66" i="9"/>
  <c r="AZ66" i="9" s="1"/>
  <c r="AH66" i="9"/>
  <c r="AY66" i="9" s="1"/>
  <c r="AG66" i="9"/>
  <c r="AX66" i="9" s="1"/>
  <c r="AF66" i="9"/>
  <c r="AW66" i="9" s="1"/>
  <c r="AE66" i="9"/>
  <c r="AV66" i="9" s="1"/>
  <c r="AD66" i="9"/>
  <c r="AU66" i="9" s="1"/>
  <c r="AC66" i="9"/>
  <c r="AT66" i="9" s="1"/>
  <c r="AA66" i="9"/>
  <c r="AR66" i="9" s="1"/>
  <c r="Y66" i="9"/>
  <c r="AP66" i="9" s="1"/>
  <c r="AM65" i="9"/>
  <c r="BD65" i="9" s="1"/>
  <c r="AL65" i="9"/>
  <c r="BC65" i="9" s="1"/>
  <c r="AK65" i="9"/>
  <c r="BB65" i="9" s="1"/>
  <c r="AJ65" i="9"/>
  <c r="BA65" i="9" s="1"/>
  <c r="AI65" i="9"/>
  <c r="AZ65" i="9" s="1"/>
  <c r="AH65" i="9"/>
  <c r="AY65" i="9" s="1"/>
  <c r="AG65" i="9"/>
  <c r="AX65" i="9" s="1"/>
  <c r="AF65" i="9"/>
  <c r="AW65" i="9" s="1"/>
  <c r="AE65" i="9"/>
  <c r="AV65" i="9" s="1"/>
  <c r="AD65" i="9"/>
  <c r="AU65" i="9" s="1"/>
  <c r="AC65" i="9"/>
  <c r="AT65" i="9" s="1"/>
  <c r="AB65" i="9"/>
  <c r="AS65" i="9" s="1"/>
  <c r="AA65" i="9"/>
  <c r="AR65" i="9" s="1"/>
  <c r="Z65" i="9"/>
  <c r="AQ65" i="9" s="1"/>
  <c r="Y65" i="9"/>
  <c r="X65" i="9"/>
  <c r="AM64" i="9"/>
  <c r="BD64" i="9" s="1"/>
  <c r="AL64" i="9"/>
  <c r="BC64" i="9" s="1"/>
  <c r="AI64" i="9"/>
  <c r="AZ64" i="9" s="1"/>
  <c r="AH64" i="9"/>
  <c r="AY64" i="9" s="1"/>
  <c r="AG64" i="9"/>
  <c r="AX64" i="9" s="1"/>
  <c r="AF64" i="9"/>
  <c r="AW64" i="9" s="1"/>
  <c r="AE64" i="9"/>
  <c r="AV64" i="9" s="1"/>
  <c r="AD64" i="9"/>
  <c r="AU64" i="9" s="1"/>
  <c r="AC64" i="9"/>
  <c r="AT64" i="9" s="1"/>
  <c r="AA64" i="9"/>
  <c r="AR64" i="9" s="1"/>
  <c r="Y64" i="9"/>
  <c r="AM63" i="9"/>
  <c r="BD63" i="9" s="1"/>
  <c r="AL63" i="9"/>
  <c r="BC63" i="9" s="1"/>
  <c r="AI63" i="9"/>
  <c r="AZ63" i="9" s="1"/>
  <c r="AH63" i="9"/>
  <c r="AY63" i="9" s="1"/>
  <c r="AG63" i="9"/>
  <c r="AX63" i="9" s="1"/>
  <c r="AF63" i="9"/>
  <c r="AW63" i="9" s="1"/>
  <c r="AE63" i="9"/>
  <c r="AV63" i="9" s="1"/>
  <c r="AD63" i="9"/>
  <c r="AU63" i="9" s="1"/>
  <c r="AC63" i="9"/>
  <c r="AT63" i="9" s="1"/>
  <c r="AA63" i="9"/>
  <c r="AR63" i="9" s="1"/>
  <c r="Y63" i="9"/>
  <c r="AM62" i="9"/>
  <c r="BD62" i="9" s="1"/>
  <c r="AL62" i="9"/>
  <c r="BC62" i="9" s="1"/>
  <c r="AI62" i="9"/>
  <c r="AZ62" i="9" s="1"/>
  <c r="AH62" i="9"/>
  <c r="AY62" i="9" s="1"/>
  <c r="AG62" i="9"/>
  <c r="AX62" i="9" s="1"/>
  <c r="AF62" i="9"/>
  <c r="AW62" i="9" s="1"/>
  <c r="AE62" i="9"/>
  <c r="AV62" i="9" s="1"/>
  <c r="AD62" i="9"/>
  <c r="AU62" i="9" s="1"/>
  <c r="AC62" i="9"/>
  <c r="AT62" i="9" s="1"/>
  <c r="AA62" i="9"/>
  <c r="AR62" i="9" s="1"/>
  <c r="Y62" i="9"/>
  <c r="AP62" i="9" s="1"/>
  <c r="AM61" i="9"/>
  <c r="BD61" i="9" s="1"/>
  <c r="AL61" i="9"/>
  <c r="BC61" i="9" s="1"/>
  <c r="AI61" i="9"/>
  <c r="AZ61" i="9" s="1"/>
  <c r="AH61" i="9"/>
  <c r="AY61" i="9" s="1"/>
  <c r="AG61" i="9"/>
  <c r="AX61" i="9" s="1"/>
  <c r="AF61" i="9"/>
  <c r="AW61" i="9" s="1"/>
  <c r="AE61" i="9"/>
  <c r="AV61" i="9" s="1"/>
  <c r="AD61" i="9"/>
  <c r="AU61" i="9" s="1"/>
  <c r="AC61" i="9"/>
  <c r="AT61" i="9" s="1"/>
  <c r="AA61" i="9"/>
  <c r="AR61" i="9" s="1"/>
  <c r="Y61" i="9"/>
  <c r="AM60" i="9"/>
  <c r="BD60" i="9" s="1"/>
  <c r="AL60" i="9"/>
  <c r="BC60" i="9" s="1"/>
  <c r="AI60" i="9"/>
  <c r="AZ60" i="9" s="1"/>
  <c r="AH60" i="9"/>
  <c r="AY60" i="9" s="1"/>
  <c r="AG60" i="9"/>
  <c r="AX60" i="9" s="1"/>
  <c r="AF60" i="9"/>
  <c r="AW60" i="9" s="1"/>
  <c r="AE60" i="9"/>
  <c r="AV60" i="9" s="1"/>
  <c r="AD60" i="9"/>
  <c r="AU60" i="9" s="1"/>
  <c r="AC60" i="9"/>
  <c r="AT60" i="9" s="1"/>
  <c r="AA60" i="9"/>
  <c r="AR60" i="9" s="1"/>
  <c r="Y60" i="9"/>
  <c r="AM59" i="9"/>
  <c r="BD59" i="9" s="1"/>
  <c r="AL59" i="9"/>
  <c r="BC59" i="9" s="1"/>
  <c r="AI59" i="9"/>
  <c r="AZ59" i="9" s="1"/>
  <c r="AH59" i="9"/>
  <c r="AY59" i="9" s="1"/>
  <c r="AG59" i="9"/>
  <c r="AX59" i="9" s="1"/>
  <c r="AF59" i="9"/>
  <c r="AW59" i="9" s="1"/>
  <c r="AE59" i="9"/>
  <c r="AV59" i="9" s="1"/>
  <c r="AD59" i="9"/>
  <c r="AU59" i="9" s="1"/>
  <c r="AC59" i="9"/>
  <c r="AT59" i="9" s="1"/>
  <c r="AA59" i="9"/>
  <c r="AR59" i="9" s="1"/>
  <c r="Y59" i="9"/>
  <c r="AM58" i="9"/>
  <c r="BD58" i="9" s="1"/>
  <c r="AL58" i="9"/>
  <c r="BC58" i="9" s="1"/>
  <c r="AI58" i="9"/>
  <c r="AZ58" i="9" s="1"/>
  <c r="AH58" i="9"/>
  <c r="AY58" i="9" s="1"/>
  <c r="AG58" i="9"/>
  <c r="AX58" i="9" s="1"/>
  <c r="AF58" i="9"/>
  <c r="AW58" i="9" s="1"/>
  <c r="AE58" i="9"/>
  <c r="AV58" i="9" s="1"/>
  <c r="AD58" i="9"/>
  <c r="AU58" i="9" s="1"/>
  <c r="AC58" i="9"/>
  <c r="AT58" i="9" s="1"/>
  <c r="AA58" i="9"/>
  <c r="AR58" i="9" s="1"/>
  <c r="Y58" i="9"/>
  <c r="AM57" i="9"/>
  <c r="BD57" i="9" s="1"/>
  <c r="AL57" i="9"/>
  <c r="BC57" i="9" s="1"/>
  <c r="AK57" i="9"/>
  <c r="BB57" i="9" s="1"/>
  <c r="AJ57" i="9"/>
  <c r="BA57" i="9" s="1"/>
  <c r="AI57" i="9"/>
  <c r="AZ57" i="9" s="1"/>
  <c r="AH57" i="9"/>
  <c r="AY57" i="9" s="1"/>
  <c r="AG57" i="9"/>
  <c r="AX57" i="9" s="1"/>
  <c r="AF57" i="9"/>
  <c r="AW57" i="9" s="1"/>
  <c r="AE57" i="9"/>
  <c r="AV57" i="9" s="1"/>
  <c r="AD57" i="9"/>
  <c r="AU57" i="9" s="1"/>
  <c r="AC57" i="9"/>
  <c r="AT57" i="9" s="1"/>
  <c r="AB57" i="9"/>
  <c r="AS57" i="9" s="1"/>
  <c r="AA57" i="9"/>
  <c r="AR57" i="9" s="1"/>
  <c r="Z57" i="9"/>
  <c r="AQ57" i="9" s="1"/>
  <c r="Y57" i="9"/>
  <c r="X57" i="9"/>
  <c r="AM56" i="9"/>
  <c r="BD56" i="9" s="1"/>
  <c r="AL56" i="9"/>
  <c r="BC56" i="9" s="1"/>
  <c r="AI56" i="9"/>
  <c r="AZ56" i="9" s="1"/>
  <c r="AH56" i="9"/>
  <c r="AY56" i="9" s="1"/>
  <c r="AG56" i="9"/>
  <c r="AX56" i="9" s="1"/>
  <c r="AF56" i="9"/>
  <c r="AW56" i="9" s="1"/>
  <c r="AE56" i="9"/>
  <c r="AV56" i="9" s="1"/>
  <c r="AD56" i="9"/>
  <c r="AU56" i="9" s="1"/>
  <c r="AC56" i="9"/>
  <c r="AT56" i="9" s="1"/>
  <c r="AA56" i="9"/>
  <c r="AR56" i="9" s="1"/>
  <c r="Y56" i="9"/>
  <c r="AM55" i="9"/>
  <c r="BD55" i="9" s="1"/>
  <c r="AL55" i="9"/>
  <c r="BC55" i="9" s="1"/>
  <c r="AI55" i="9"/>
  <c r="AZ55" i="9" s="1"/>
  <c r="AH55" i="9"/>
  <c r="AY55" i="9" s="1"/>
  <c r="AG55" i="9"/>
  <c r="AX55" i="9" s="1"/>
  <c r="AF55" i="9"/>
  <c r="AW55" i="9" s="1"/>
  <c r="AE55" i="9"/>
  <c r="AV55" i="9" s="1"/>
  <c r="AD55" i="9"/>
  <c r="AU55" i="9" s="1"/>
  <c r="AC55" i="9"/>
  <c r="AT55" i="9" s="1"/>
  <c r="AA55" i="9"/>
  <c r="AR55" i="9" s="1"/>
  <c r="Y55" i="9"/>
  <c r="AM54" i="9"/>
  <c r="BD54" i="9" s="1"/>
  <c r="AL54" i="9"/>
  <c r="BC54" i="9" s="1"/>
  <c r="AK54" i="9"/>
  <c r="BB54" i="9" s="1"/>
  <c r="AJ54" i="9"/>
  <c r="BA54" i="9" s="1"/>
  <c r="AI54" i="9"/>
  <c r="AZ54" i="9" s="1"/>
  <c r="AH54" i="9"/>
  <c r="AY54" i="9" s="1"/>
  <c r="AG54" i="9"/>
  <c r="AX54" i="9" s="1"/>
  <c r="AF54" i="9"/>
  <c r="AW54" i="9" s="1"/>
  <c r="AE54" i="9"/>
  <c r="AV54" i="9" s="1"/>
  <c r="AD54" i="9"/>
  <c r="AU54" i="9" s="1"/>
  <c r="AC54" i="9"/>
  <c r="AT54" i="9" s="1"/>
  <c r="AB54" i="9"/>
  <c r="AS54" i="9" s="1"/>
  <c r="AA54" i="9"/>
  <c r="AR54" i="9" s="1"/>
  <c r="Z54" i="9"/>
  <c r="AQ54" i="9" s="1"/>
  <c r="Y54" i="9"/>
  <c r="AP54" i="9" s="1"/>
  <c r="X54" i="9"/>
  <c r="AM68" i="8"/>
  <c r="BD68" i="8" s="1"/>
  <c r="AL68" i="8"/>
  <c r="BC68" i="8" s="1"/>
  <c r="BL68" i="8" s="1"/>
  <c r="AI68" i="8"/>
  <c r="AZ68" i="8" s="1"/>
  <c r="AH68" i="8"/>
  <c r="AY68" i="8" s="1"/>
  <c r="AG68" i="8"/>
  <c r="AX68" i="8" s="1"/>
  <c r="AF68" i="8"/>
  <c r="AW68" i="8" s="1"/>
  <c r="AE68" i="8"/>
  <c r="AV68" i="8" s="1"/>
  <c r="AD68" i="8"/>
  <c r="AU68" i="8" s="1"/>
  <c r="AC68" i="8"/>
  <c r="AT68" i="8" s="1"/>
  <c r="AA68" i="8"/>
  <c r="AR68" i="8" s="1"/>
  <c r="Y68" i="8"/>
  <c r="AP68" i="8" s="1"/>
  <c r="AM67" i="8"/>
  <c r="BD67" i="8" s="1"/>
  <c r="AL67" i="8"/>
  <c r="BC67" i="8" s="1"/>
  <c r="BL67" i="8" s="1"/>
  <c r="AI67" i="8"/>
  <c r="AZ67" i="8" s="1"/>
  <c r="AH67" i="8"/>
  <c r="AY67" i="8" s="1"/>
  <c r="AG67" i="8"/>
  <c r="AX67" i="8" s="1"/>
  <c r="AF67" i="8"/>
  <c r="AW67" i="8" s="1"/>
  <c r="AE67" i="8"/>
  <c r="AV67" i="8" s="1"/>
  <c r="AD67" i="8"/>
  <c r="AU67" i="8" s="1"/>
  <c r="AC67" i="8"/>
  <c r="AT67" i="8" s="1"/>
  <c r="AA67" i="8"/>
  <c r="AR67" i="8" s="1"/>
  <c r="Y67" i="8"/>
  <c r="AM66" i="8"/>
  <c r="BD66" i="8" s="1"/>
  <c r="AL66" i="8"/>
  <c r="BC66" i="8" s="1"/>
  <c r="AI66" i="8"/>
  <c r="AZ66" i="8" s="1"/>
  <c r="AH66" i="8"/>
  <c r="AY66" i="8" s="1"/>
  <c r="AG66" i="8"/>
  <c r="AX66" i="8" s="1"/>
  <c r="AF66" i="8"/>
  <c r="AW66" i="8" s="1"/>
  <c r="AE66" i="8"/>
  <c r="AV66" i="8" s="1"/>
  <c r="AD66" i="8"/>
  <c r="AU66" i="8" s="1"/>
  <c r="AC66" i="8"/>
  <c r="AT66" i="8" s="1"/>
  <c r="AA66" i="8"/>
  <c r="AR66" i="8" s="1"/>
  <c r="Y66" i="8"/>
  <c r="AM65" i="8"/>
  <c r="BD65" i="8" s="1"/>
  <c r="AL65" i="8"/>
  <c r="BC65" i="8" s="1"/>
  <c r="AK65" i="8"/>
  <c r="BB65" i="8" s="1"/>
  <c r="AJ65" i="8"/>
  <c r="BA65" i="8" s="1"/>
  <c r="AI65" i="8"/>
  <c r="AZ65" i="8" s="1"/>
  <c r="AH65" i="8"/>
  <c r="AY65" i="8" s="1"/>
  <c r="AG65" i="8"/>
  <c r="AX65" i="8" s="1"/>
  <c r="AF65" i="8"/>
  <c r="AW65" i="8" s="1"/>
  <c r="AE65" i="8"/>
  <c r="AV65" i="8" s="1"/>
  <c r="AD65" i="8"/>
  <c r="AU65" i="8" s="1"/>
  <c r="AC65" i="8"/>
  <c r="AT65" i="8" s="1"/>
  <c r="AB65" i="8"/>
  <c r="AS65" i="8" s="1"/>
  <c r="AA65" i="8"/>
  <c r="AR65" i="8" s="1"/>
  <c r="Z65" i="8"/>
  <c r="AQ65" i="8" s="1"/>
  <c r="Y65" i="8"/>
  <c r="X65" i="8"/>
  <c r="AM64" i="8"/>
  <c r="BD64" i="8" s="1"/>
  <c r="AL64" i="8"/>
  <c r="BC64" i="8" s="1"/>
  <c r="BL64" i="8" s="1"/>
  <c r="AI64" i="8"/>
  <c r="AZ64" i="8" s="1"/>
  <c r="AH64" i="8"/>
  <c r="AY64" i="8" s="1"/>
  <c r="AG64" i="8"/>
  <c r="AX64" i="8" s="1"/>
  <c r="AF64" i="8"/>
  <c r="AW64" i="8" s="1"/>
  <c r="AE64" i="8"/>
  <c r="AV64" i="8" s="1"/>
  <c r="AD64" i="8"/>
  <c r="AU64" i="8" s="1"/>
  <c r="AC64" i="8"/>
  <c r="AT64" i="8" s="1"/>
  <c r="AA64" i="8"/>
  <c r="AR64" i="8" s="1"/>
  <c r="Y64" i="8"/>
  <c r="AM63" i="8"/>
  <c r="BD63" i="8" s="1"/>
  <c r="AL63" i="8"/>
  <c r="BC63" i="8" s="1"/>
  <c r="BL63" i="8" s="1"/>
  <c r="AI63" i="8"/>
  <c r="AZ63" i="8" s="1"/>
  <c r="AH63" i="8"/>
  <c r="AY63" i="8" s="1"/>
  <c r="AG63" i="8"/>
  <c r="AX63" i="8" s="1"/>
  <c r="AF63" i="8"/>
  <c r="AW63" i="8" s="1"/>
  <c r="AE63" i="8"/>
  <c r="AV63" i="8" s="1"/>
  <c r="AD63" i="8"/>
  <c r="AU63" i="8" s="1"/>
  <c r="AC63" i="8"/>
  <c r="AT63" i="8" s="1"/>
  <c r="AA63" i="8"/>
  <c r="AR63" i="8" s="1"/>
  <c r="Y63" i="8"/>
  <c r="AM62" i="8"/>
  <c r="BD62" i="8" s="1"/>
  <c r="AL62" i="8"/>
  <c r="BC62" i="8" s="1"/>
  <c r="AI62" i="8"/>
  <c r="AZ62" i="8" s="1"/>
  <c r="AH62" i="8"/>
  <c r="AY62" i="8" s="1"/>
  <c r="AG62" i="8"/>
  <c r="AX62" i="8" s="1"/>
  <c r="AF62" i="8"/>
  <c r="AW62" i="8" s="1"/>
  <c r="AE62" i="8"/>
  <c r="AV62" i="8" s="1"/>
  <c r="AD62" i="8"/>
  <c r="AU62" i="8" s="1"/>
  <c r="AC62" i="8"/>
  <c r="AT62" i="8" s="1"/>
  <c r="AA62" i="8"/>
  <c r="AR62" i="8" s="1"/>
  <c r="Y62" i="8"/>
  <c r="AM61" i="8"/>
  <c r="BD61" i="8" s="1"/>
  <c r="AL61" i="8"/>
  <c r="BC61" i="8" s="1"/>
  <c r="AI61" i="8"/>
  <c r="AZ61" i="8" s="1"/>
  <c r="AH61" i="8"/>
  <c r="AY61" i="8" s="1"/>
  <c r="AG61" i="8"/>
  <c r="AX61" i="8" s="1"/>
  <c r="AF61" i="8"/>
  <c r="AW61" i="8" s="1"/>
  <c r="AE61" i="8"/>
  <c r="AV61" i="8" s="1"/>
  <c r="AD61" i="8"/>
  <c r="AU61" i="8" s="1"/>
  <c r="AC61" i="8"/>
  <c r="AT61" i="8" s="1"/>
  <c r="AA61" i="8"/>
  <c r="AR61" i="8" s="1"/>
  <c r="Y61" i="8"/>
  <c r="AM60" i="8"/>
  <c r="BD60" i="8" s="1"/>
  <c r="AL60" i="8"/>
  <c r="BC60" i="8" s="1"/>
  <c r="BL60" i="8" s="1"/>
  <c r="AI60" i="8"/>
  <c r="AZ60" i="8" s="1"/>
  <c r="AH60" i="8"/>
  <c r="AY60" i="8" s="1"/>
  <c r="AG60" i="8"/>
  <c r="AX60" i="8" s="1"/>
  <c r="AF60" i="8"/>
  <c r="AW60" i="8" s="1"/>
  <c r="AE60" i="8"/>
  <c r="AV60" i="8" s="1"/>
  <c r="AD60" i="8"/>
  <c r="AU60" i="8" s="1"/>
  <c r="AC60" i="8"/>
  <c r="AT60" i="8" s="1"/>
  <c r="AA60" i="8"/>
  <c r="AR60" i="8" s="1"/>
  <c r="Y60" i="8"/>
  <c r="AM59" i="8"/>
  <c r="BD59" i="8" s="1"/>
  <c r="AL59" i="8"/>
  <c r="BC59" i="8" s="1"/>
  <c r="BL59" i="8" s="1"/>
  <c r="AI59" i="8"/>
  <c r="AZ59" i="8" s="1"/>
  <c r="AH59" i="8"/>
  <c r="AY59" i="8" s="1"/>
  <c r="AG59" i="8"/>
  <c r="AX59" i="8" s="1"/>
  <c r="AF59" i="8"/>
  <c r="AW59" i="8" s="1"/>
  <c r="AE59" i="8"/>
  <c r="AV59" i="8" s="1"/>
  <c r="AD59" i="8"/>
  <c r="AU59" i="8" s="1"/>
  <c r="AC59" i="8"/>
  <c r="AT59" i="8" s="1"/>
  <c r="AA59" i="8"/>
  <c r="AR59" i="8" s="1"/>
  <c r="Y59" i="8"/>
  <c r="AM58" i="8"/>
  <c r="BD58" i="8" s="1"/>
  <c r="AL58" i="8"/>
  <c r="BC58" i="8" s="1"/>
  <c r="BL58" i="8" s="1"/>
  <c r="AI58" i="8"/>
  <c r="AZ58" i="8" s="1"/>
  <c r="AH58" i="8"/>
  <c r="AY58" i="8" s="1"/>
  <c r="AG58" i="8"/>
  <c r="AX58" i="8" s="1"/>
  <c r="AF58" i="8"/>
  <c r="AW58" i="8" s="1"/>
  <c r="AE58" i="8"/>
  <c r="AV58" i="8" s="1"/>
  <c r="AD58" i="8"/>
  <c r="AU58" i="8" s="1"/>
  <c r="AC58" i="8"/>
  <c r="AT58" i="8" s="1"/>
  <c r="AA58" i="8"/>
  <c r="AR58" i="8" s="1"/>
  <c r="Y58" i="8"/>
  <c r="AM57" i="8"/>
  <c r="BD57" i="8" s="1"/>
  <c r="AL57" i="8"/>
  <c r="BC57" i="8" s="1"/>
  <c r="AK57" i="8"/>
  <c r="BB57" i="8" s="1"/>
  <c r="AJ57" i="8"/>
  <c r="BA57" i="8" s="1"/>
  <c r="AI57" i="8"/>
  <c r="AZ57" i="8" s="1"/>
  <c r="AH57" i="8"/>
  <c r="AY57" i="8" s="1"/>
  <c r="AG57" i="8"/>
  <c r="AX57" i="8" s="1"/>
  <c r="AF57" i="8"/>
  <c r="AW57" i="8" s="1"/>
  <c r="AE57" i="8"/>
  <c r="AV57" i="8" s="1"/>
  <c r="AD57" i="8"/>
  <c r="AU57" i="8" s="1"/>
  <c r="AC57" i="8"/>
  <c r="AT57" i="8" s="1"/>
  <c r="AB57" i="8"/>
  <c r="AS57" i="8" s="1"/>
  <c r="AA57" i="8"/>
  <c r="AR57" i="8" s="1"/>
  <c r="Z57" i="8"/>
  <c r="AQ57" i="8" s="1"/>
  <c r="Y57" i="8"/>
  <c r="X57" i="8"/>
  <c r="AM56" i="8"/>
  <c r="BD56" i="8" s="1"/>
  <c r="AL56" i="8"/>
  <c r="BC56" i="8" s="1"/>
  <c r="AI56" i="8"/>
  <c r="AZ56" i="8" s="1"/>
  <c r="AH56" i="8"/>
  <c r="AY56" i="8" s="1"/>
  <c r="AG56" i="8"/>
  <c r="AX56" i="8" s="1"/>
  <c r="AF56" i="8"/>
  <c r="AW56" i="8" s="1"/>
  <c r="AE56" i="8"/>
  <c r="AV56" i="8" s="1"/>
  <c r="AD56" i="8"/>
  <c r="AU56" i="8" s="1"/>
  <c r="AC56" i="8"/>
  <c r="AT56" i="8" s="1"/>
  <c r="AA56" i="8"/>
  <c r="AR56" i="8" s="1"/>
  <c r="Y56" i="8"/>
  <c r="AM55" i="8"/>
  <c r="BD55" i="8" s="1"/>
  <c r="AL55" i="8"/>
  <c r="BC55" i="8" s="1"/>
  <c r="AI55" i="8"/>
  <c r="AZ55" i="8" s="1"/>
  <c r="AH55" i="8"/>
  <c r="AY55" i="8" s="1"/>
  <c r="AG55" i="8"/>
  <c r="AX55" i="8" s="1"/>
  <c r="AF55" i="8"/>
  <c r="AW55" i="8" s="1"/>
  <c r="AE55" i="8"/>
  <c r="AV55" i="8" s="1"/>
  <c r="AD55" i="8"/>
  <c r="AU55" i="8" s="1"/>
  <c r="AC55" i="8"/>
  <c r="AT55" i="8" s="1"/>
  <c r="AA55" i="8"/>
  <c r="AR55" i="8" s="1"/>
  <c r="Y55" i="8"/>
  <c r="AP55" i="8" s="1"/>
  <c r="AM54" i="8"/>
  <c r="BD54" i="8" s="1"/>
  <c r="AL54" i="8"/>
  <c r="BC54" i="8" s="1"/>
  <c r="AK54" i="8"/>
  <c r="BB54" i="8" s="1"/>
  <c r="AJ54" i="8"/>
  <c r="BA54" i="8" s="1"/>
  <c r="AI54" i="8"/>
  <c r="AZ54" i="8" s="1"/>
  <c r="AH54" i="8"/>
  <c r="AY54" i="8" s="1"/>
  <c r="AG54" i="8"/>
  <c r="AX54" i="8" s="1"/>
  <c r="AF54" i="8"/>
  <c r="AW54" i="8" s="1"/>
  <c r="AE54" i="8"/>
  <c r="AV54" i="8" s="1"/>
  <c r="AD54" i="8"/>
  <c r="AU54" i="8" s="1"/>
  <c r="AC54" i="8"/>
  <c r="AT54" i="8" s="1"/>
  <c r="AB54" i="8"/>
  <c r="AS54" i="8" s="1"/>
  <c r="AA54" i="8"/>
  <c r="AR54" i="8" s="1"/>
  <c r="Z54" i="8"/>
  <c r="AQ54" i="8" s="1"/>
  <c r="Y54" i="8"/>
  <c r="X54" i="8"/>
  <c r="AM67" i="2"/>
  <c r="BD67" i="2" s="1"/>
  <c r="AL67" i="2"/>
  <c r="BC67" i="2" s="1"/>
  <c r="BL67" i="2" s="1"/>
  <c r="AI67" i="2"/>
  <c r="AZ67" i="2" s="1"/>
  <c r="AH67" i="2"/>
  <c r="AY67" i="2" s="1"/>
  <c r="AG67" i="2"/>
  <c r="AX67" i="2" s="1"/>
  <c r="AF67" i="2"/>
  <c r="AW67" i="2" s="1"/>
  <c r="AE67" i="2"/>
  <c r="AV67" i="2" s="1"/>
  <c r="AD67" i="2"/>
  <c r="AU67" i="2" s="1"/>
  <c r="AC67" i="2"/>
  <c r="AT67" i="2" s="1"/>
  <c r="AA67" i="2"/>
  <c r="AR67" i="2" s="1"/>
  <c r="Y67" i="2"/>
  <c r="AP67" i="2" s="1"/>
  <c r="AM66" i="2"/>
  <c r="BD66" i="2" s="1"/>
  <c r="AL66" i="2"/>
  <c r="BC66" i="2" s="1"/>
  <c r="BL66" i="2" s="1"/>
  <c r="AI66" i="2"/>
  <c r="AZ66" i="2" s="1"/>
  <c r="AH66" i="2"/>
  <c r="AY66" i="2" s="1"/>
  <c r="AG66" i="2"/>
  <c r="AX66" i="2" s="1"/>
  <c r="AF66" i="2"/>
  <c r="AW66" i="2" s="1"/>
  <c r="AE66" i="2"/>
  <c r="AV66" i="2" s="1"/>
  <c r="AD66" i="2"/>
  <c r="AU66" i="2" s="1"/>
  <c r="AC66" i="2"/>
  <c r="AT66" i="2" s="1"/>
  <c r="AA66" i="2"/>
  <c r="AR66" i="2" s="1"/>
  <c r="Y66" i="2"/>
  <c r="AM65" i="2"/>
  <c r="BD65" i="2" s="1"/>
  <c r="AL65" i="2"/>
  <c r="BC65" i="2" s="1"/>
  <c r="BL65" i="2" s="1"/>
  <c r="AK65" i="2"/>
  <c r="BB65" i="2" s="1"/>
  <c r="AJ65" i="2"/>
  <c r="BA65" i="2" s="1"/>
  <c r="AI65" i="2"/>
  <c r="AZ65" i="2" s="1"/>
  <c r="AH65" i="2"/>
  <c r="AY65" i="2" s="1"/>
  <c r="AG65" i="2"/>
  <c r="AX65" i="2" s="1"/>
  <c r="AF65" i="2"/>
  <c r="AW65" i="2" s="1"/>
  <c r="AE65" i="2"/>
  <c r="AV65" i="2" s="1"/>
  <c r="AD65" i="2"/>
  <c r="AU65" i="2" s="1"/>
  <c r="AC65" i="2"/>
  <c r="AT65" i="2" s="1"/>
  <c r="AB65" i="2"/>
  <c r="AS65" i="2" s="1"/>
  <c r="AA65" i="2"/>
  <c r="AR65" i="2" s="1"/>
  <c r="Z65" i="2"/>
  <c r="AQ65" i="2" s="1"/>
  <c r="Y65" i="2"/>
  <c r="X65" i="2"/>
  <c r="AM64" i="2"/>
  <c r="BD64" i="2" s="1"/>
  <c r="AL64" i="2"/>
  <c r="BC64" i="2" s="1"/>
  <c r="BL64" i="2" s="1"/>
  <c r="AI64" i="2"/>
  <c r="AZ64" i="2" s="1"/>
  <c r="AH64" i="2"/>
  <c r="AY64" i="2" s="1"/>
  <c r="AG64" i="2"/>
  <c r="AX64" i="2" s="1"/>
  <c r="AF64" i="2"/>
  <c r="AW64" i="2" s="1"/>
  <c r="AE64" i="2"/>
  <c r="AV64" i="2" s="1"/>
  <c r="AD64" i="2"/>
  <c r="AU64" i="2" s="1"/>
  <c r="AC64" i="2"/>
  <c r="AT64" i="2" s="1"/>
  <c r="AA64" i="2"/>
  <c r="AR64" i="2" s="1"/>
  <c r="Y64" i="2"/>
  <c r="AM63" i="2"/>
  <c r="BD63" i="2" s="1"/>
  <c r="AL63" i="2"/>
  <c r="BC63" i="2" s="1"/>
  <c r="AI63" i="2"/>
  <c r="AZ63" i="2" s="1"/>
  <c r="AH63" i="2"/>
  <c r="AY63" i="2" s="1"/>
  <c r="AG63" i="2"/>
  <c r="AX63" i="2" s="1"/>
  <c r="AF63" i="2"/>
  <c r="AW63" i="2" s="1"/>
  <c r="AE63" i="2"/>
  <c r="AV63" i="2" s="1"/>
  <c r="AD63" i="2"/>
  <c r="AU63" i="2" s="1"/>
  <c r="AC63" i="2"/>
  <c r="AT63" i="2" s="1"/>
  <c r="BJ63" i="2" s="1"/>
  <c r="AA63" i="2"/>
  <c r="AR63" i="2" s="1"/>
  <c r="Y63" i="2"/>
  <c r="AM62" i="2"/>
  <c r="BD62" i="2" s="1"/>
  <c r="AL62" i="2"/>
  <c r="BC62" i="2" s="1"/>
  <c r="BL62" i="2" s="1"/>
  <c r="AI62" i="2"/>
  <c r="AZ62" i="2" s="1"/>
  <c r="AH62" i="2"/>
  <c r="AY62" i="2" s="1"/>
  <c r="AG62" i="2"/>
  <c r="AX62" i="2" s="1"/>
  <c r="AF62" i="2"/>
  <c r="AW62" i="2" s="1"/>
  <c r="AE62" i="2"/>
  <c r="AV62" i="2" s="1"/>
  <c r="AD62" i="2"/>
  <c r="AU62" i="2" s="1"/>
  <c r="AC62" i="2"/>
  <c r="AT62" i="2" s="1"/>
  <c r="AA62" i="2"/>
  <c r="AR62" i="2" s="1"/>
  <c r="Y62" i="2"/>
  <c r="AM61" i="2"/>
  <c r="BD61" i="2" s="1"/>
  <c r="AL61" i="2"/>
  <c r="BC61" i="2" s="1"/>
  <c r="AI61" i="2"/>
  <c r="AZ61" i="2" s="1"/>
  <c r="AH61" i="2"/>
  <c r="AY61" i="2" s="1"/>
  <c r="AG61" i="2"/>
  <c r="AX61" i="2" s="1"/>
  <c r="AF61" i="2"/>
  <c r="AW61" i="2" s="1"/>
  <c r="AE61" i="2"/>
  <c r="AV61" i="2" s="1"/>
  <c r="AD61" i="2"/>
  <c r="AU61" i="2" s="1"/>
  <c r="AC61" i="2"/>
  <c r="AT61" i="2" s="1"/>
  <c r="AA61" i="2"/>
  <c r="AR61" i="2" s="1"/>
  <c r="Y61" i="2"/>
  <c r="AM60" i="2"/>
  <c r="BD60" i="2" s="1"/>
  <c r="AL60" i="2"/>
  <c r="BC60" i="2" s="1"/>
  <c r="AI60" i="2"/>
  <c r="AZ60" i="2" s="1"/>
  <c r="AH60" i="2"/>
  <c r="AY60" i="2" s="1"/>
  <c r="AG60" i="2"/>
  <c r="AX60" i="2" s="1"/>
  <c r="AF60" i="2"/>
  <c r="AW60" i="2" s="1"/>
  <c r="AE60" i="2"/>
  <c r="AV60" i="2" s="1"/>
  <c r="AD60" i="2"/>
  <c r="AU60" i="2" s="1"/>
  <c r="AC60" i="2"/>
  <c r="AT60" i="2" s="1"/>
  <c r="AA60" i="2"/>
  <c r="AR60" i="2" s="1"/>
  <c r="Y60" i="2"/>
  <c r="AM59" i="2"/>
  <c r="BD59" i="2" s="1"/>
  <c r="AL59" i="2"/>
  <c r="BC59" i="2" s="1"/>
  <c r="AI59" i="2"/>
  <c r="AZ59" i="2" s="1"/>
  <c r="AH59" i="2"/>
  <c r="AY59" i="2" s="1"/>
  <c r="AG59" i="2"/>
  <c r="AX59" i="2" s="1"/>
  <c r="AF59" i="2"/>
  <c r="AW59" i="2" s="1"/>
  <c r="AE59" i="2"/>
  <c r="AV59" i="2" s="1"/>
  <c r="AD59" i="2"/>
  <c r="AU59" i="2" s="1"/>
  <c r="AC59" i="2"/>
  <c r="AT59" i="2" s="1"/>
  <c r="AA59" i="2"/>
  <c r="AR59" i="2" s="1"/>
  <c r="Y59" i="2"/>
  <c r="AP59" i="2" s="1"/>
  <c r="AM58" i="2"/>
  <c r="BD58" i="2" s="1"/>
  <c r="AL58" i="2"/>
  <c r="BC58" i="2" s="1"/>
  <c r="AI58" i="2"/>
  <c r="AZ58" i="2" s="1"/>
  <c r="AH58" i="2"/>
  <c r="AY58" i="2" s="1"/>
  <c r="AG58" i="2"/>
  <c r="AX58" i="2" s="1"/>
  <c r="AF58" i="2"/>
  <c r="AW58" i="2" s="1"/>
  <c r="AE58" i="2"/>
  <c r="AV58" i="2" s="1"/>
  <c r="AD58" i="2"/>
  <c r="AU58" i="2" s="1"/>
  <c r="AC58" i="2"/>
  <c r="AT58" i="2" s="1"/>
  <c r="AA58" i="2"/>
  <c r="AR58" i="2" s="1"/>
  <c r="Y58" i="2"/>
  <c r="AM57" i="2"/>
  <c r="BD57" i="2" s="1"/>
  <c r="AL57" i="2"/>
  <c r="BC57" i="2" s="1"/>
  <c r="AK57" i="2"/>
  <c r="BB57" i="2" s="1"/>
  <c r="AJ57" i="2"/>
  <c r="BA57" i="2" s="1"/>
  <c r="AI57" i="2"/>
  <c r="AZ57" i="2" s="1"/>
  <c r="AH57" i="2"/>
  <c r="AY57" i="2" s="1"/>
  <c r="AG57" i="2"/>
  <c r="AX57" i="2" s="1"/>
  <c r="AF57" i="2"/>
  <c r="AW57" i="2" s="1"/>
  <c r="AE57" i="2"/>
  <c r="AV57" i="2" s="1"/>
  <c r="AD57" i="2"/>
  <c r="AU57" i="2" s="1"/>
  <c r="AC57" i="2"/>
  <c r="AT57" i="2" s="1"/>
  <c r="AB57" i="2"/>
  <c r="AS57" i="2" s="1"/>
  <c r="AA57" i="2"/>
  <c r="AR57" i="2" s="1"/>
  <c r="Z57" i="2"/>
  <c r="AQ57" i="2" s="1"/>
  <c r="Y57" i="2"/>
  <c r="X57" i="2"/>
  <c r="AM56" i="2"/>
  <c r="BD56" i="2" s="1"/>
  <c r="AL56" i="2"/>
  <c r="BC56" i="2" s="1"/>
  <c r="AI56" i="2"/>
  <c r="AZ56" i="2" s="1"/>
  <c r="AH56" i="2"/>
  <c r="AY56" i="2" s="1"/>
  <c r="AG56" i="2"/>
  <c r="AX56" i="2" s="1"/>
  <c r="AF56" i="2"/>
  <c r="AW56" i="2" s="1"/>
  <c r="AE56" i="2"/>
  <c r="AV56" i="2" s="1"/>
  <c r="AD56" i="2"/>
  <c r="AU56" i="2" s="1"/>
  <c r="AC56" i="2"/>
  <c r="AT56" i="2" s="1"/>
  <c r="AA56" i="2"/>
  <c r="AR56" i="2" s="1"/>
  <c r="Y56" i="2"/>
  <c r="AM55" i="2"/>
  <c r="BD55" i="2" s="1"/>
  <c r="AL55" i="2"/>
  <c r="BC55" i="2" s="1"/>
  <c r="AI55" i="2"/>
  <c r="AZ55" i="2" s="1"/>
  <c r="AH55" i="2"/>
  <c r="AY55" i="2" s="1"/>
  <c r="AG55" i="2"/>
  <c r="AX55" i="2" s="1"/>
  <c r="AF55" i="2"/>
  <c r="AW55" i="2" s="1"/>
  <c r="AE55" i="2"/>
  <c r="AV55" i="2" s="1"/>
  <c r="AD55" i="2"/>
  <c r="AU55" i="2" s="1"/>
  <c r="AC55" i="2"/>
  <c r="AT55" i="2" s="1"/>
  <c r="AA55" i="2"/>
  <c r="AR55" i="2" s="1"/>
  <c r="Y55" i="2"/>
  <c r="AM54" i="2"/>
  <c r="BD54" i="2" s="1"/>
  <c r="AL54" i="2"/>
  <c r="BC54" i="2" s="1"/>
  <c r="AK54" i="2"/>
  <c r="BB54" i="2" s="1"/>
  <c r="AJ54" i="2"/>
  <c r="BA54" i="2" s="1"/>
  <c r="AI54" i="2"/>
  <c r="AZ54" i="2" s="1"/>
  <c r="AH54" i="2"/>
  <c r="AY54" i="2" s="1"/>
  <c r="AG54" i="2"/>
  <c r="AX54" i="2" s="1"/>
  <c r="AF54" i="2"/>
  <c r="AW54" i="2" s="1"/>
  <c r="AE54" i="2"/>
  <c r="AV54" i="2" s="1"/>
  <c r="AD54" i="2"/>
  <c r="AU54" i="2" s="1"/>
  <c r="AC54" i="2"/>
  <c r="AT54" i="2" s="1"/>
  <c r="AB54" i="2"/>
  <c r="AS54" i="2" s="1"/>
  <c r="AA54" i="2"/>
  <c r="AR54" i="2" s="1"/>
  <c r="Z54" i="2"/>
  <c r="AQ54" i="2" s="1"/>
  <c r="Y54" i="2"/>
  <c r="X54" i="2"/>
  <c r="G129" i="11" a="1"/>
  <c r="G129" i="11" s="1"/>
  <c r="G128" i="11" a="1"/>
  <c r="G128" i="11" s="1"/>
  <c r="F129" i="11" a="1"/>
  <c r="F129" i="11" s="1"/>
  <c r="F128" i="11" a="1"/>
  <c r="F128" i="11" s="1"/>
  <c r="F127" i="11"/>
  <c r="BL61" i="2" l="1"/>
  <c r="BF57" i="16"/>
  <c r="BO57" i="16" s="1"/>
  <c r="BJ59" i="2"/>
  <c r="BF54" i="16"/>
  <c r="BO54" i="16" s="1"/>
  <c r="BJ54" i="2"/>
  <c r="BJ56" i="2"/>
  <c r="BL60" i="2"/>
  <c r="BL56" i="8"/>
  <c r="BL57" i="8"/>
  <c r="BL66" i="8"/>
  <c r="BJ55" i="2"/>
  <c r="BJ65" i="2"/>
  <c r="BJ67" i="2"/>
  <c r="BJ57" i="2"/>
  <c r="BJ61" i="2"/>
  <c r="BL59" i="2"/>
  <c r="BJ64" i="2"/>
  <c r="BJ62" i="2"/>
  <c r="BF65" i="2"/>
  <c r="BO65" i="2" s="1"/>
  <c r="BF57" i="2"/>
  <c r="BO57" i="2" s="1"/>
  <c r="BJ66" i="2"/>
  <c r="BJ58" i="2"/>
  <c r="BJ60" i="2"/>
  <c r="BL63" i="2"/>
  <c r="BF54" i="2"/>
  <c r="BO54" i="2" s="1"/>
  <c r="BL65" i="8"/>
  <c r="BF65" i="9"/>
  <c r="BO65" i="9" s="1"/>
  <c r="BF57" i="9"/>
  <c r="BO57" i="9" s="1"/>
  <c r="BF65" i="8"/>
  <c r="BO65" i="8" s="1"/>
  <c r="BL54" i="8"/>
  <c r="BK57" i="8"/>
  <c r="BF57" i="8"/>
  <c r="BO57" i="8" s="1"/>
  <c r="BF54" i="8"/>
  <c r="BO54" i="8" s="1"/>
  <c r="BK54" i="8"/>
  <c r="BL55" i="8"/>
  <c r="BJ54" i="9"/>
  <c r="BJ55" i="9"/>
  <c r="BJ56" i="9"/>
  <c r="BJ57" i="9"/>
  <c r="BJ58" i="9"/>
  <c r="BJ59" i="9"/>
  <c r="BJ60" i="9"/>
  <c r="BJ61" i="9"/>
  <c r="BL54" i="9"/>
  <c r="BL55" i="9"/>
  <c r="BL56" i="9"/>
  <c r="BL57" i="9"/>
  <c r="BL58" i="9"/>
  <c r="BL59" i="9"/>
  <c r="BL60" i="9"/>
  <c r="BL61" i="9"/>
  <c r="BL62" i="9"/>
  <c r="BJ63" i="9"/>
  <c r="BJ64" i="9"/>
  <c r="BJ65" i="9"/>
  <c r="BJ66" i="9"/>
  <c r="BL63" i="9"/>
  <c r="BL64" i="9"/>
  <c r="BL65" i="9"/>
  <c r="BL66" i="9"/>
  <c r="BJ67" i="9"/>
  <c r="BJ68" i="9"/>
  <c r="BJ62" i="9"/>
  <c r="BI54" i="9"/>
  <c r="BK54" i="9"/>
  <c r="BK57" i="9"/>
  <c r="BK65" i="9"/>
  <c r="AP67" i="9"/>
  <c r="AP60" i="9"/>
  <c r="AP68" i="9"/>
  <c r="AP59" i="9"/>
  <c r="AO54" i="9"/>
  <c r="BH54" i="9" s="1"/>
  <c r="AP61" i="9"/>
  <c r="AP58" i="9"/>
  <c r="AP55" i="9"/>
  <c r="AP63" i="9"/>
  <c r="BF54" i="9"/>
  <c r="BO54" i="9" s="1"/>
  <c r="AP56" i="9"/>
  <c r="AO57" i="9"/>
  <c r="BH57" i="9" s="1"/>
  <c r="AP64" i="9"/>
  <c r="AO65" i="9"/>
  <c r="BH65" i="9" s="1"/>
  <c r="AP57" i="9"/>
  <c r="BI57" i="9" s="1"/>
  <c r="AP65" i="9"/>
  <c r="BI65" i="9" s="1"/>
  <c r="BK65" i="8"/>
  <c r="BJ54" i="8"/>
  <c r="BJ55" i="8"/>
  <c r="BJ56" i="8"/>
  <c r="BJ57" i="8"/>
  <c r="BJ58" i="8"/>
  <c r="BJ59" i="8"/>
  <c r="BJ60" i="8"/>
  <c r="BJ61" i="8"/>
  <c r="BJ62" i="8"/>
  <c r="BL61" i="8"/>
  <c r="BL62" i="8"/>
  <c r="BJ63" i="8"/>
  <c r="BJ64" i="8"/>
  <c r="BJ65" i="8"/>
  <c r="BJ66" i="8"/>
  <c r="BJ67" i="8"/>
  <c r="BJ68" i="8"/>
  <c r="AO54" i="8"/>
  <c r="BH54" i="8" s="1"/>
  <c r="AP61" i="8"/>
  <c r="AP59" i="8"/>
  <c r="AP60" i="8"/>
  <c r="AP54" i="8"/>
  <c r="BI54" i="8" s="1"/>
  <c r="AP62" i="8"/>
  <c r="AP63" i="8"/>
  <c r="AP56" i="8"/>
  <c r="AO57" i="8"/>
  <c r="BH57" i="8" s="1"/>
  <c r="AP64" i="8"/>
  <c r="AO65" i="8"/>
  <c r="BH65" i="8" s="1"/>
  <c r="AP57" i="8"/>
  <c r="BI57" i="8" s="1"/>
  <c r="AP65" i="8"/>
  <c r="BI65" i="8" s="1"/>
  <c r="AP58" i="8"/>
  <c r="AP66" i="8"/>
  <c r="AP67" i="8"/>
  <c r="BL54" i="2"/>
  <c r="BL55" i="2"/>
  <c r="BL56" i="2"/>
  <c r="BL57" i="2"/>
  <c r="BL58" i="2"/>
  <c r="BK54" i="2"/>
  <c r="BK57" i="2"/>
  <c r="BK65" i="2"/>
  <c r="AO54" i="2"/>
  <c r="BH54" i="2" s="1"/>
  <c r="AP61" i="2"/>
  <c r="AP54" i="2"/>
  <c r="BI54" i="2" s="1"/>
  <c r="AP62" i="2"/>
  <c r="AP55" i="2"/>
  <c r="AP63" i="2"/>
  <c r="AP60" i="2"/>
  <c r="AP56" i="2"/>
  <c r="AO57" i="2"/>
  <c r="BH57" i="2" s="1"/>
  <c r="AP64" i="2"/>
  <c r="AO65" i="2"/>
  <c r="BH65" i="2" s="1"/>
  <c r="AP57" i="2"/>
  <c r="BI57" i="2" s="1"/>
  <c r="AP65" i="2"/>
  <c r="BI65" i="2" s="1"/>
  <c r="AP58" i="2"/>
  <c r="AP66" i="2"/>
  <c r="G131" i="11"/>
  <c r="H131" i="11"/>
  <c r="H130" i="11"/>
  <c r="G130" i="11"/>
  <c r="F131" i="11"/>
  <c r="F130" i="11"/>
  <c r="H92" i="11"/>
  <c r="H91" i="11"/>
  <c r="G92" i="11"/>
  <c r="G91" i="11"/>
  <c r="F92" i="11"/>
  <c r="F91" i="11"/>
  <c r="BM57" i="2" l="1"/>
  <c r="BM65" i="9"/>
  <c r="BM54" i="9"/>
  <c r="BM57" i="9"/>
  <c r="BM57" i="8"/>
  <c r="BM65" i="8"/>
  <c r="BM54" i="8"/>
  <c r="BM65" i="2"/>
  <c r="BM54" i="2"/>
  <c r="R45" i="4"/>
  <c r="AM129" i="24"/>
  <c r="AL129" i="24"/>
  <c r="AK129" i="24"/>
  <c r="AJ129" i="24"/>
  <c r="AI129" i="24"/>
  <c r="AH129" i="24"/>
  <c r="AG129" i="24"/>
  <c r="AF129" i="24"/>
  <c r="AE129" i="24"/>
  <c r="AD129" i="24"/>
  <c r="AC129" i="24"/>
  <c r="AB129" i="24"/>
  <c r="AA129" i="24"/>
  <c r="Z129" i="24"/>
  <c r="Y129" i="24"/>
  <c r="X129" i="24"/>
  <c r="AM128" i="24"/>
  <c r="AL128" i="24"/>
  <c r="AI128" i="24"/>
  <c r="AH128" i="24"/>
  <c r="AG128" i="24"/>
  <c r="AF128" i="24"/>
  <c r="AE128" i="24"/>
  <c r="AD128" i="24"/>
  <c r="AC128" i="24"/>
  <c r="AB128" i="24"/>
  <c r="AA128" i="24"/>
  <c r="Z128" i="24"/>
  <c r="AM127" i="24"/>
  <c r="AL127" i="24"/>
  <c r="AI127" i="24"/>
  <c r="AH127" i="24"/>
  <c r="AG127" i="24"/>
  <c r="AF127" i="24"/>
  <c r="AE127" i="24"/>
  <c r="AD127" i="24"/>
  <c r="AC127" i="24"/>
  <c r="AB127" i="24"/>
  <c r="AA127" i="24"/>
  <c r="Z127" i="24"/>
  <c r="AM126" i="24"/>
  <c r="AL126" i="24"/>
  <c r="AI126" i="24"/>
  <c r="AH126" i="24"/>
  <c r="AG126" i="24"/>
  <c r="AF126" i="24"/>
  <c r="AE126" i="24"/>
  <c r="AD126" i="24"/>
  <c r="AC126" i="24"/>
  <c r="AB126" i="24"/>
  <c r="AA126" i="24"/>
  <c r="Z126" i="24"/>
  <c r="AM125" i="24"/>
  <c r="AL125" i="24"/>
  <c r="AI125" i="24"/>
  <c r="AH125" i="24"/>
  <c r="AG125" i="24"/>
  <c r="AF125" i="24"/>
  <c r="AE125" i="24"/>
  <c r="AD125" i="24"/>
  <c r="AC125" i="24"/>
  <c r="AB125" i="24"/>
  <c r="AA125" i="24"/>
  <c r="Z125" i="24"/>
  <c r="AM124" i="24"/>
  <c r="AL124" i="24"/>
  <c r="AI124" i="24"/>
  <c r="AH124" i="24"/>
  <c r="AG124" i="24"/>
  <c r="AF124" i="24"/>
  <c r="AE124" i="24"/>
  <c r="AD124" i="24"/>
  <c r="AC124" i="24"/>
  <c r="AB124" i="24"/>
  <c r="AA124" i="24"/>
  <c r="Z124" i="24"/>
  <c r="AM123" i="24"/>
  <c r="AL123" i="24"/>
  <c r="AI123" i="24"/>
  <c r="AH123" i="24"/>
  <c r="AG123" i="24"/>
  <c r="AF123" i="24"/>
  <c r="AE123" i="24"/>
  <c r="AD123" i="24"/>
  <c r="AC123" i="24"/>
  <c r="AB123" i="24"/>
  <c r="AA123" i="24"/>
  <c r="Z123" i="24"/>
  <c r="AM122" i="24"/>
  <c r="AL122" i="24"/>
  <c r="AI122" i="24"/>
  <c r="AH122" i="24"/>
  <c r="AG122" i="24"/>
  <c r="AF122" i="24"/>
  <c r="AE122" i="24"/>
  <c r="AD122" i="24"/>
  <c r="AC122" i="24"/>
  <c r="AB122" i="24"/>
  <c r="AA122" i="24"/>
  <c r="Z122" i="24"/>
  <c r="AM121" i="24"/>
  <c r="AL121" i="24"/>
  <c r="AI121" i="24"/>
  <c r="AH121" i="24"/>
  <c r="AG121" i="24"/>
  <c r="AF121" i="24"/>
  <c r="AE121" i="24"/>
  <c r="AD121" i="24"/>
  <c r="AC121" i="24"/>
  <c r="AB121" i="24"/>
  <c r="AA121" i="24"/>
  <c r="Z121" i="24"/>
  <c r="AM120" i="24"/>
  <c r="AL120" i="24"/>
  <c r="AK120" i="24"/>
  <c r="AJ120" i="24"/>
  <c r="AI120" i="24"/>
  <c r="AH120" i="24"/>
  <c r="AG120" i="24"/>
  <c r="AF120" i="24"/>
  <c r="AE120" i="24"/>
  <c r="AD120" i="24"/>
  <c r="AC120" i="24"/>
  <c r="AB120" i="24"/>
  <c r="AA120" i="24"/>
  <c r="Z120" i="24"/>
  <c r="Y120" i="24"/>
  <c r="X120" i="24"/>
  <c r="AM119" i="24"/>
  <c r="AL119" i="24"/>
  <c r="AI119" i="24"/>
  <c r="AH119" i="24"/>
  <c r="AG119" i="24"/>
  <c r="AF119" i="24"/>
  <c r="AE119" i="24"/>
  <c r="AD119" i="24"/>
  <c r="AC119" i="24"/>
  <c r="AB119" i="24"/>
  <c r="AA119" i="24"/>
  <c r="Z119" i="24"/>
  <c r="AM118" i="24"/>
  <c r="AL118" i="24"/>
  <c r="AI118" i="24"/>
  <c r="AH118" i="24"/>
  <c r="AG118" i="24"/>
  <c r="AF118" i="24"/>
  <c r="AE118" i="24"/>
  <c r="AD118" i="24"/>
  <c r="AC118" i="24"/>
  <c r="AB118" i="24"/>
  <c r="AA118" i="24"/>
  <c r="Z118" i="24"/>
  <c r="AM117" i="24"/>
  <c r="AL117" i="24"/>
  <c r="AI117" i="24"/>
  <c r="AH117" i="24"/>
  <c r="AG117" i="24"/>
  <c r="AF117" i="24"/>
  <c r="AE117" i="24"/>
  <c r="AD117" i="24"/>
  <c r="AC117" i="24"/>
  <c r="AB117" i="24"/>
  <c r="AA117" i="24"/>
  <c r="Z117" i="24"/>
  <c r="AM116" i="24"/>
  <c r="AL116" i="24"/>
  <c r="AI116" i="24"/>
  <c r="AH116" i="24"/>
  <c r="AG116" i="24"/>
  <c r="AF116" i="24"/>
  <c r="AE116" i="24"/>
  <c r="AD116" i="24"/>
  <c r="AC116" i="24"/>
  <c r="AB116" i="24"/>
  <c r="AA116" i="24"/>
  <c r="Z116" i="24"/>
  <c r="AM115" i="24"/>
  <c r="AL115" i="24"/>
  <c r="AK115" i="24"/>
  <c r="AJ115" i="24"/>
  <c r="AI115" i="24"/>
  <c r="AH115" i="24"/>
  <c r="AG115" i="24"/>
  <c r="AF115" i="24"/>
  <c r="AE115" i="24"/>
  <c r="AD115" i="24"/>
  <c r="AC115" i="24"/>
  <c r="AB115" i="24"/>
  <c r="AA115" i="24"/>
  <c r="Z115" i="24"/>
  <c r="Y115" i="24"/>
  <c r="X115" i="24"/>
  <c r="AM114" i="24"/>
  <c r="AL114" i="24"/>
  <c r="AI114" i="24"/>
  <c r="AH114" i="24"/>
  <c r="AG114" i="24"/>
  <c r="AF114" i="24"/>
  <c r="AE114" i="24"/>
  <c r="AD114" i="24"/>
  <c r="AC114" i="24"/>
  <c r="AB114" i="24"/>
  <c r="AA114" i="24"/>
  <c r="Z114" i="24"/>
  <c r="AM113" i="24"/>
  <c r="AL113" i="24"/>
  <c r="AI113" i="24"/>
  <c r="AH113" i="24"/>
  <c r="AG113" i="24"/>
  <c r="AF113" i="24"/>
  <c r="AE113" i="24"/>
  <c r="AD113" i="24"/>
  <c r="AC113" i="24"/>
  <c r="AB113" i="24"/>
  <c r="AA113" i="24"/>
  <c r="Z113" i="24"/>
  <c r="AM112" i="24"/>
  <c r="AL112" i="24"/>
  <c r="AI112" i="24"/>
  <c r="AH112" i="24"/>
  <c r="AG112" i="24"/>
  <c r="AF112" i="24"/>
  <c r="AE112" i="24"/>
  <c r="AD112" i="24"/>
  <c r="AC112" i="24"/>
  <c r="AB112" i="24"/>
  <c r="AA112" i="24"/>
  <c r="Z112" i="24"/>
  <c r="AM111" i="24"/>
  <c r="AL111" i="24"/>
  <c r="AI111" i="24"/>
  <c r="AH111" i="24"/>
  <c r="AG111" i="24"/>
  <c r="AF111" i="24"/>
  <c r="AE111" i="24"/>
  <c r="AD111" i="24"/>
  <c r="AC111" i="24"/>
  <c r="AB111" i="24"/>
  <c r="AA111" i="24"/>
  <c r="Z111" i="24"/>
  <c r="AM110" i="24"/>
  <c r="AL110" i="24"/>
  <c r="AI110" i="24"/>
  <c r="AH110" i="24"/>
  <c r="AG110" i="24"/>
  <c r="AF110" i="24"/>
  <c r="AE110" i="24"/>
  <c r="AD110" i="24"/>
  <c r="AC110" i="24"/>
  <c r="AB110" i="24"/>
  <c r="AA110" i="24"/>
  <c r="Z110" i="24"/>
  <c r="AM109" i="24"/>
  <c r="AL109" i="24"/>
  <c r="AI109" i="24"/>
  <c r="AH109" i="24"/>
  <c r="AG109" i="24"/>
  <c r="AF109" i="24"/>
  <c r="AE109" i="24"/>
  <c r="AD109" i="24"/>
  <c r="AC109" i="24"/>
  <c r="AB109" i="24"/>
  <c r="AA109" i="24"/>
  <c r="Z109" i="24"/>
  <c r="AM108" i="24"/>
  <c r="AL108" i="24"/>
  <c r="AI108" i="24"/>
  <c r="AH108" i="24"/>
  <c r="AG108" i="24"/>
  <c r="AF108" i="24"/>
  <c r="AE108" i="24"/>
  <c r="AD108" i="24"/>
  <c r="AC108" i="24"/>
  <c r="AB108" i="24"/>
  <c r="AA108" i="24"/>
  <c r="Z108" i="24"/>
  <c r="AM107" i="24"/>
  <c r="AL107" i="24"/>
  <c r="AI107" i="24"/>
  <c r="AH107" i="24"/>
  <c r="AG107" i="24"/>
  <c r="AF107" i="24"/>
  <c r="AE107" i="24"/>
  <c r="AD107" i="24"/>
  <c r="AC107" i="24"/>
  <c r="AB107" i="24"/>
  <c r="AA107" i="24"/>
  <c r="Z107" i="24"/>
  <c r="AM106" i="24"/>
  <c r="AL106" i="24"/>
  <c r="AI106" i="24"/>
  <c r="AH106" i="24"/>
  <c r="AG106" i="24"/>
  <c r="AF106" i="24"/>
  <c r="AE106" i="24"/>
  <c r="AD106" i="24"/>
  <c r="AC106" i="24"/>
  <c r="AB106" i="24"/>
  <c r="AA106" i="24"/>
  <c r="Z106" i="24"/>
  <c r="AM105" i="24"/>
  <c r="AL105" i="24"/>
  <c r="AI105" i="24"/>
  <c r="AH105" i="24"/>
  <c r="AG105" i="24"/>
  <c r="AF105" i="24"/>
  <c r="AE105" i="24"/>
  <c r="AD105" i="24"/>
  <c r="AC105" i="24"/>
  <c r="AB105" i="24"/>
  <c r="AA105" i="24"/>
  <c r="Z105" i="24"/>
  <c r="AM104" i="24"/>
  <c r="AL104" i="24"/>
  <c r="AK104" i="24"/>
  <c r="AJ104" i="24"/>
  <c r="AI104" i="24"/>
  <c r="AH104" i="24"/>
  <c r="AG104" i="24"/>
  <c r="AF104" i="24"/>
  <c r="AE104" i="24"/>
  <c r="AD104" i="24"/>
  <c r="AC104" i="24"/>
  <c r="AB104" i="24"/>
  <c r="AA104" i="24"/>
  <c r="Z104" i="24"/>
  <c r="Y104" i="24"/>
  <c r="X104" i="24"/>
  <c r="AM103" i="24"/>
  <c r="AL103" i="24"/>
  <c r="AI103" i="24"/>
  <c r="AH103" i="24"/>
  <c r="AG103" i="24"/>
  <c r="AF103" i="24"/>
  <c r="AE103" i="24"/>
  <c r="AD103" i="24"/>
  <c r="AC103" i="24"/>
  <c r="AB103" i="24"/>
  <c r="AA103" i="24"/>
  <c r="Z103" i="24"/>
  <c r="AM102" i="24"/>
  <c r="AL102" i="24"/>
  <c r="AI102" i="24"/>
  <c r="AH102" i="24"/>
  <c r="AG102" i="24"/>
  <c r="AF102" i="24"/>
  <c r="AE102" i="24"/>
  <c r="AD102" i="24"/>
  <c r="AC102" i="24"/>
  <c r="AB102" i="24"/>
  <c r="AA102" i="24"/>
  <c r="Z102" i="24"/>
  <c r="AM101" i="24"/>
  <c r="AL101" i="24"/>
  <c r="AI101" i="24"/>
  <c r="AH101" i="24"/>
  <c r="AG101" i="24"/>
  <c r="AF101" i="24"/>
  <c r="AE101" i="24"/>
  <c r="AD101" i="24"/>
  <c r="AC101" i="24"/>
  <c r="AB101" i="24"/>
  <c r="AA101" i="24"/>
  <c r="Z101" i="24"/>
  <c r="AM100" i="24"/>
  <c r="AL100" i="24"/>
  <c r="AI100" i="24"/>
  <c r="AH100" i="24"/>
  <c r="AG100" i="24"/>
  <c r="AF100" i="24"/>
  <c r="AE100" i="24"/>
  <c r="AD100" i="24"/>
  <c r="AC100" i="24"/>
  <c r="AB100" i="24"/>
  <c r="AA100" i="24"/>
  <c r="Z100" i="24"/>
  <c r="AM99" i="24"/>
  <c r="AL99" i="24"/>
  <c r="AI99" i="24"/>
  <c r="AH99" i="24"/>
  <c r="AG99" i="24"/>
  <c r="AF99" i="24"/>
  <c r="AE99" i="24"/>
  <c r="AD99" i="24"/>
  <c r="AC99" i="24"/>
  <c r="AB99" i="24"/>
  <c r="AA99" i="24"/>
  <c r="Z99" i="24"/>
  <c r="AM98" i="24"/>
  <c r="AL98" i="24"/>
  <c r="AI98" i="24"/>
  <c r="AH98" i="24"/>
  <c r="AG98" i="24"/>
  <c r="AF98" i="24"/>
  <c r="AE98" i="24"/>
  <c r="AD98" i="24"/>
  <c r="AC98" i="24"/>
  <c r="AB98" i="24"/>
  <c r="AA98" i="24"/>
  <c r="Z98" i="24"/>
  <c r="AM97" i="24"/>
  <c r="AL97" i="24"/>
  <c r="AI97" i="24"/>
  <c r="AH97" i="24"/>
  <c r="AG97" i="24"/>
  <c r="AF97" i="24"/>
  <c r="AE97" i="24"/>
  <c r="AD97" i="24"/>
  <c r="AC97" i="24"/>
  <c r="AB97" i="24"/>
  <c r="AA97" i="24"/>
  <c r="Z97" i="24"/>
  <c r="AM96" i="24"/>
  <c r="AL96" i="24"/>
  <c r="AI96" i="24"/>
  <c r="AH96" i="24"/>
  <c r="AG96" i="24"/>
  <c r="AF96" i="24"/>
  <c r="AE96" i="24"/>
  <c r="AD96" i="24"/>
  <c r="AC96" i="24"/>
  <c r="AB96" i="24"/>
  <c r="AA96" i="24"/>
  <c r="Z96" i="24"/>
  <c r="AM87" i="24"/>
  <c r="AL87" i="24"/>
  <c r="AK87" i="24"/>
  <c r="AJ87" i="24"/>
  <c r="AI87" i="24"/>
  <c r="AH87" i="24"/>
  <c r="AG87" i="24"/>
  <c r="AF87" i="24"/>
  <c r="AE87" i="24"/>
  <c r="AD87" i="24"/>
  <c r="AC87" i="24"/>
  <c r="AB87" i="24"/>
  <c r="AA87" i="24"/>
  <c r="Z87" i="24"/>
  <c r="Y87" i="24"/>
  <c r="X87" i="24"/>
  <c r="AM86" i="24"/>
  <c r="AL86" i="24"/>
  <c r="AI86" i="24"/>
  <c r="AH86" i="24"/>
  <c r="AG86" i="24"/>
  <c r="AF86" i="24"/>
  <c r="AE86" i="24"/>
  <c r="AD86" i="24"/>
  <c r="AC86" i="24"/>
  <c r="AA86" i="24"/>
  <c r="Y86" i="24"/>
  <c r="AM85" i="24"/>
  <c r="AL85" i="24"/>
  <c r="AI85" i="24"/>
  <c r="AH85" i="24"/>
  <c r="AG85" i="24"/>
  <c r="AF85" i="24"/>
  <c r="AE85" i="24"/>
  <c r="AD85" i="24"/>
  <c r="AC85" i="24"/>
  <c r="AA85" i="24"/>
  <c r="Y85" i="24"/>
  <c r="AM84" i="24"/>
  <c r="AL84" i="24"/>
  <c r="AK84" i="24"/>
  <c r="AJ84" i="24"/>
  <c r="AI84" i="24"/>
  <c r="AH84" i="24"/>
  <c r="AG84" i="24"/>
  <c r="AF84" i="24"/>
  <c r="AE84" i="24"/>
  <c r="AD84" i="24"/>
  <c r="AC84" i="24"/>
  <c r="AB84" i="24"/>
  <c r="AA84" i="24"/>
  <c r="Z84" i="24"/>
  <c r="Y84" i="24"/>
  <c r="X84" i="24"/>
  <c r="AM83" i="24"/>
  <c r="AL83" i="24"/>
  <c r="AK83" i="24"/>
  <c r="AJ83" i="24"/>
  <c r="AI83" i="24"/>
  <c r="AH83" i="24"/>
  <c r="AG83" i="24"/>
  <c r="AF83" i="24"/>
  <c r="AE83" i="24"/>
  <c r="AD83" i="24"/>
  <c r="AC83" i="24"/>
  <c r="AB83" i="24"/>
  <c r="AA83" i="24"/>
  <c r="Z83" i="24"/>
  <c r="Y83" i="24"/>
  <c r="X83" i="24"/>
  <c r="AM82" i="24"/>
  <c r="AL82" i="24"/>
  <c r="AK82" i="24"/>
  <c r="AJ82" i="24"/>
  <c r="AI82" i="24"/>
  <c r="AH82" i="24"/>
  <c r="AG82" i="24"/>
  <c r="AF82" i="24"/>
  <c r="AE82" i="24"/>
  <c r="AD82" i="24"/>
  <c r="AC82" i="24"/>
  <c r="AB82" i="24"/>
  <c r="AA82" i="24"/>
  <c r="Z82" i="24"/>
  <c r="Y82" i="24"/>
  <c r="X82" i="24"/>
  <c r="AM81" i="24"/>
  <c r="AL81" i="24"/>
  <c r="AI81" i="24"/>
  <c r="AH81" i="24"/>
  <c r="AG81" i="24"/>
  <c r="AF81" i="24"/>
  <c r="AE81" i="24"/>
  <c r="AD81" i="24"/>
  <c r="AC81" i="24"/>
  <c r="AA81" i="24"/>
  <c r="Y81" i="24"/>
  <c r="AM80" i="24"/>
  <c r="AL80" i="24"/>
  <c r="AK80" i="24"/>
  <c r="AJ80" i="24"/>
  <c r="AI80" i="24"/>
  <c r="AH80" i="24"/>
  <c r="AG80" i="24"/>
  <c r="AF80" i="24"/>
  <c r="AE80" i="24"/>
  <c r="AD80" i="24"/>
  <c r="AC80" i="24"/>
  <c r="AB80" i="24"/>
  <c r="AA80" i="24"/>
  <c r="Z80" i="24"/>
  <c r="Y80" i="24"/>
  <c r="X80" i="24"/>
  <c r="AM79" i="24"/>
  <c r="AL79" i="24"/>
  <c r="AK79" i="24"/>
  <c r="AJ79" i="24"/>
  <c r="AI79" i="24"/>
  <c r="AH79" i="24"/>
  <c r="AG79" i="24"/>
  <c r="AF79" i="24"/>
  <c r="AE79" i="24"/>
  <c r="AD79" i="24"/>
  <c r="AC79" i="24"/>
  <c r="AB79" i="24"/>
  <c r="AA79" i="24"/>
  <c r="Z79" i="24"/>
  <c r="Y79" i="24"/>
  <c r="X79" i="24"/>
  <c r="AM78" i="24"/>
  <c r="AL78" i="24"/>
  <c r="AK78" i="24"/>
  <c r="AJ78" i="24"/>
  <c r="AI78" i="24"/>
  <c r="AH78" i="24"/>
  <c r="AG78" i="24"/>
  <c r="AF78" i="24"/>
  <c r="AE78" i="24"/>
  <c r="AD78" i="24"/>
  <c r="AC78" i="24"/>
  <c r="AB78" i="24"/>
  <c r="AA78" i="24"/>
  <c r="Z78" i="24"/>
  <c r="Y78" i="24"/>
  <c r="X78" i="24"/>
  <c r="AM77" i="24"/>
  <c r="AL77" i="24"/>
  <c r="AI77" i="24"/>
  <c r="AH77" i="24"/>
  <c r="AG77" i="24"/>
  <c r="AF77" i="24"/>
  <c r="AE77" i="24"/>
  <c r="AD77" i="24"/>
  <c r="AC77" i="24"/>
  <c r="AA77" i="24"/>
  <c r="Y77" i="24"/>
  <c r="AM76" i="24"/>
  <c r="AL76" i="24"/>
  <c r="AI76" i="24"/>
  <c r="AH76" i="24"/>
  <c r="AG76" i="24"/>
  <c r="AF76" i="24"/>
  <c r="AE76" i="24"/>
  <c r="AD76" i="24"/>
  <c r="AC76" i="24"/>
  <c r="AA76" i="24"/>
  <c r="Y76" i="24"/>
  <c r="AM75" i="24"/>
  <c r="AL75" i="24"/>
  <c r="AK75" i="24"/>
  <c r="AJ75" i="24"/>
  <c r="AG75" i="24"/>
  <c r="AF75" i="24"/>
  <c r="AE75" i="24"/>
  <c r="AD75" i="24"/>
  <c r="AC75" i="24"/>
  <c r="AB75" i="24"/>
  <c r="AA75" i="24"/>
  <c r="Z75" i="24"/>
  <c r="AM74" i="24"/>
  <c r="AL74" i="24"/>
  <c r="AK74" i="24"/>
  <c r="AJ74" i="24"/>
  <c r="AI74" i="24"/>
  <c r="AH74" i="24"/>
  <c r="AG74" i="24"/>
  <c r="AF74" i="24"/>
  <c r="AE74" i="24"/>
  <c r="AD74" i="24"/>
  <c r="AC74" i="24"/>
  <c r="AB74" i="24"/>
  <c r="AA74" i="24"/>
  <c r="Z74" i="24"/>
  <c r="Y74" i="24"/>
  <c r="X74" i="24"/>
  <c r="AM73" i="24"/>
  <c r="AL73" i="24"/>
  <c r="AJ73" i="24"/>
  <c r="AI73" i="24"/>
  <c r="AH73" i="24"/>
  <c r="AF73" i="24"/>
  <c r="AE73" i="24"/>
  <c r="AD73" i="24"/>
  <c r="AC73" i="24"/>
  <c r="AA73" i="24"/>
  <c r="Y73" i="24"/>
  <c r="AM72" i="24"/>
  <c r="AL72" i="24"/>
  <c r="AI72" i="24"/>
  <c r="AH72" i="24"/>
  <c r="AG72" i="24"/>
  <c r="AF72" i="24"/>
  <c r="AE72" i="24"/>
  <c r="AD72" i="24"/>
  <c r="AC72" i="24"/>
  <c r="AA72" i="24"/>
  <c r="Y72" i="24"/>
  <c r="AM69" i="24"/>
  <c r="AL69" i="24"/>
  <c r="AJ69" i="24"/>
  <c r="AI69" i="24"/>
  <c r="AH69" i="24"/>
  <c r="AF69" i="24"/>
  <c r="AE69" i="24"/>
  <c r="AD69" i="24"/>
  <c r="AC69" i="24"/>
  <c r="AA69" i="24"/>
  <c r="Y69" i="24"/>
  <c r="AM68" i="24"/>
  <c r="AL68" i="24"/>
  <c r="AI68" i="24"/>
  <c r="AH68" i="24"/>
  <c r="AG68" i="24"/>
  <c r="AF68" i="24"/>
  <c r="AE68" i="24"/>
  <c r="AD68" i="24"/>
  <c r="AC68" i="24"/>
  <c r="AA68" i="24"/>
  <c r="Y68" i="24"/>
  <c r="AM67" i="24"/>
  <c r="AL67" i="24"/>
  <c r="AI67" i="24"/>
  <c r="AH67" i="24"/>
  <c r="AG67" i="24"/>
  <c r="AF67" i="24"/>
  <c r="AE67" i="24"/>
  <c r="AD67" i="24"/>
  <c r="AC67" i="24"/>
  <c r="AA67" i="24"/>
  <c r="Y67" i="24"/>
  <c r="AM66" i="24"/>
  <c r="AL66" i="24"/>
  <c r="AI66" i="24"/>
  <c r="AH66" i="24"/>
  <c r="AG66" i="24"/>
  <c r="AF66" i="24"/>
  <c r="AE66" i="24"/>
  <c r="AD66" i="24"/>
  <c r="AC66" i="24"/>
  <c r="AA66" i="24"/>
  <c r="Y66" i="24"/>
  <c r="AM65" i="24"/>
  <c r="AL65" i="24"/>
  <c r="AK65" i="24"/>
  <c r="AJ65" i="24"/>
  <c r="AI65" i="24"/>
  <c r="AH65" i="24"/>
  <c r="AG65" i="24"/>
  <c r="AF65" i="24"/>
  <c r="AE65" i="24"/>
  <c r="AD65" i="24"/>
  <c r="AC65" i="24"/>
  <c r="AB65" i="24"/>
  <c r="AA65" i="24"/>
  <c r="Z65" i="24"/>
  <c r="Y65" i="24"/>
  <c r="X65" i="24"/>
  <c r="AM64" i="24"/>
  <c r="AL64" i="24"/>
  <c r="AI64" i="24"/>
  <c r="AH64" i="24"/>
  <c r="AG64" i="24"/>
  <c r="AF64" i="24"/>
  <c r="AE64" i="24"/>
  <c r="AD64" i="24"/>
  <c r="AC64" i="24"/>
  <c r="AA64" i="24"/>
  <c r="Y64" i="24"/>
  <c r="AM63" i="24"/>
  <c r="AL63" i="24"/>
  <c r="AI63" i="24"/>
  <c r="AH63" i="24"/>
  <c r="AG63" i="24"/>
  <c r="AF63" i="24"/>
  <c r="AE63" i="24"/>
  <c r="AD63" i="24"/>
  <c r="AC63" i="24"/>
  <c r="AA63" i="24"/>
  <c r="Y63" i="24"/>
  <c r="AM62" i="24"/>
  <c r="AL62" i="24"/>
  <c r="AI62" i="24"/>
  <c r="AH62" i="24"/>
  <c r="AG62" i="24"/>
  <c r="AF62" i="24"/>
  <c r="AE62" i="24"/>
  <c r="AD62" i="24"/>
  <c r="AC62" i="24"/>
  <c r="AA62" i="24"/>
  <c r="Y62" i="24"/>
  <c r="AM61" i="24"/>
  <c r="AL61" i="24"/>
  <c r="AI61" i="24"/>
  <c r="AH61" i="24"/>
  <c r="AG61" i="24"/>
  <c r="AF61" i="24"/>
  <c r="AE61" i="24"/>
  <c r="AD61" i="24"/>
  <c r="AC61" i="24"/>
  <c r="AA61" i="24"/>
  <c r="Y61" i="24"/>
  <c r="AM60" i="24"/>
  <c r="AL60" i="24"/>
  <c r="AI60" i="24"/>
  <c r="AH60" i="24"/>
  <c r="AG60" i="24"/>
  <c r="AF60" i="24"/>
  <c r="AE60" i="24"/>
  <c r="AD60" i="24"/>
  <c r="AC60" i="24"/>
  <c r="AA60" i="24"/>
  <c r="Y60" i="24"/>
  <c r="AM59" i="24"/>
  <c r="AL59" i="24"/>
  <c r="AI59" i="24"/>
  <c r="AH59" i="24"/>
  <c r="AG59" i="24"/>
  <c r="AF59" i="24"/>
  <c r="AE59" i="24"/>
  <c r="AD59" i="24"/>
  <c r="AC59" i="24"/>
  <c r="AA59" i="24"/>
  <c r="Y59" i="24"/>
  <c r="AM58" i="24"/>
  <c r="AL58" i="24"/>
  <c r="AI58" i="24"/>
  <c r="AH58" i="24"/>
  <c r="AG58" i="24"/>
  <c r="AF58" i="24"/>
  <c r="AE58" i="24"/>
  <c r="AD58" i="24"/>
  <c r="AC58" i="24"/>
  <c r="AA58" i="24"/>
  <c r="Y58" i="24"/>
  <c r="AM57" i="24"/>
  <c r="AL57" i="24"/>
  <c r="AK57" i="24"/>
  <c r="AJ57" i="24"/>
  <c r="AI57" i="24"/>
  <c r="AH57" i="24"/>
  <c r="AG57" i="24"/>
  <c r="AF57" i="24"/>
  <c r="AE57" i="24"/>
  <c r="AD57" i="24"/>
  <c r="AC57" i="24"/>
  <c r="AB57" i="24"/>
  <c r="AA57" i="24"/>
  <c r="Z57" i="24"/>
  <c r="Y57" i="24"/>
  <c r="X57" i="24"/>
  <c r="AM56" i="24"/>
  <c r="AL56" i="24"/>
  <c r="AI56" i="24"/>
  <c r="AH56" i="24"/>
  <c r="AG56" i="24"/>
  <c r="AF56" i="24"/>
  <c r="AE56" i="24"/>
  <c r="AD56" i="24"/>
  <c r="AC56" i="24"/>
  <c r="AA56" i="24"/>
  <c r="Y56" i="24"/>
  <c r="AM55" i="24"/>
  <c r="AL55" i="24"/>
  <c r="AI55" i="24"/>
  <c r="AH55" i="24"/>
  <c r="AG55" i="24"/>
  <c r="AF55" i="24"/>
  <c r="AE55" i="24"/>
  <c r="AD55" i="24"/>
  <c r="AC55" i="24"/>
  <c r="AA55" i="24"/>
  <c r="Y55" i="24"/>
  <c r="AM54" i="24"/>
  <c r="AL54" i="24"/>
  <c r="AK54" i="24"/>
  <c r="AJ54" i="24"/>
  <c r="AI54" i="24"/>
  <c r="AH54" i="24"/>
  <c r="AG54" i="24"/>
  <c r="AF54" i="24"/>
  <c r="AE54" i="24"/>
  <c r="AD54" i="24"/>
  <c r="AC54" i="24"/>
  <c r="AB54" i="24"/>
  <c r="AA54" i="24"/>
  <c r="Z54" i="24"/>
  <c r="Y54" i="24"/>
  <c r="X54" i="24"/>
  <c r="AM53" i="24"/>
  <c r="AL53" i="24"/>
  <c r="AI53" i="24"/>
  <c r="AH53" i="24"/>
  <c r="AG53" i="24"/>
  <c r="AF53" i="24"/>
  <c r="AE53" i="24"/>
  <c r="AD53" i="24"/>
  <c r="AC53" i="24"/>
  <c r="AA53" i="24"/>
  <c r="Y53" i="24"/>
  <c r="AM52" i="24"/>
  <c r="AL52" i="24"/>
  <c r="AK52" i="24"/>
  <c r="AJ52" i="24"/>
  <c r="AG52" i="24"/>
  <c r="AF52" i="24"/>
  <c r="AE52" i="24"/>
  <c r="AD52" i="24"/>
  <c r="AC52" i="24"/>
  <c r="AB52" i="24"/>
  <c r="AA52" i="24"/>
  <c r="AM51" i="24"/>
  <c r="AL51" i="24"/>
  <c r="AK51" i="24"/>
  <c r="AJ51" i="24"/>
  <c r="AI51" i="24"/>
  <c r="AH51" i="24"/>
  <c r="AG51" i="24"/>
  <c r="AF51" i="24"/>
  <c r="AE51" i="24"/>
  <c r="AD51" i="24"/>
  <c r="AC51" i="24"/>
  <c r="AB51" i="24"/>
  <c r="AA51" i="24"/>
  <c r="Z51" i="24"/>
  <c r="Y51" i="24"/>
  <c r="X51" i="24"/>
  <c r="AM50" i="24"/>
  <c r="AL50" i="24"/>
  <c r="AJ50" i="24"/>
  <c r="AI50" i="24"/>
  <c r="AH50" i="24"/>
  <c r="AF50" i="24"/>
  <c r="AE50" i="24"/>
  <c r="AD50" i="24"/>
  <c r="AC50" i="24"/>
  <c r="AA50" i="24"/>
  <c r="Y50" i="24"/>
  <c r="AM49" i="24"/>
  <c r="AL49" i="24"/>
  <c r="AI49" i="24"/>
  <c r="AH49" i="24"/>
  <c r="AG49" i="24"/>
  <c r="AF49" i="24"/>
  <c r="AE49" i="24"/>
  <c r="AD49" i="24"/>
  <c r="AC49" i="24"/>
  <c r="AA49" i="24"/>
  <c r="Y49" i="24"/>
  <c r="AM48" i="24"/>
  <c r="AL48" i="24"/>
  <c r="AK48" i="24"/>
  <c r="AJ48" i="24"/>
  <c r="AI48" i="24"/>
  <c r="AH48" i="24"/>
  <c r="AG48" i="24"/>
  <c r="AF48" i="24"/>
  <c r="AE48" i="24"/>
  <c r="AD48" i="24"/>
  <c r="AC48" i="24"/>
  <c r="AB48" i="24"/>
  <c r="AA48" i="24"/>
  <c r="Z48" i="24"/>
  <c r="Y48" i="24"/>
  <c r="X48" i="24"/>
  <c r="AM47" i="24"/>
  <c r="AL47" i="24"/>
  <c r="AK47" i="24"/>
  <c r="AJ47" i="24"/>
  <c r="AI47" i="24"/>
  <c r="AH47" i="24"/>
  <c r="AG47" i="24"/>
  <c r="AF47" i="24"/>
  <c r="AE47" i="24"/>
  <c r="AD47" i="24"/>
  <c r="AA47" i="24"/>
  <c r="Y47" i="24"/>
  <c r="AM46" i="24"/>
  <c r="AL46" i="24"/>
  <c r="AK46" i="24"/>
  <c r="AJ46" i="24"/>
  <c r="AI46" i="24"/>
  <c r="AH46" i="24"/>
  <c r="AG46" i="24"/>
  <c r="AF46" i="24"/>
  <c r="AE46" i="24"/>
  <c r="AD46" i="24"/>
  <c r="AC46" i="24"/>
  <c r="AA46" i="24"/>
  <c r="Y46" i="24"/>
  <c r="AM45" i="24"/>
  <c r="AL45" i="24"/>
  <c r="AK45" i="24"/>
  <c r="AJ45" i="24"/>
  <c r="AI45" i="24"/>
  <c r="AH45" i="24"/>
  <c r="AG45" i="24"/>
  <c r="AF45" i="24"/>
  <c r="AE45" i="24"/>
  <c r="AD45" i="24"/>
  <c r="AB45" i="24"/>
  <c r="AA45" i="24"/>
  <c r="Z45" i="24"/>
  <c r="AM44" i="24"/>
  <c r="AL44" i="24"/>
  <c r="AK44" i="24"/>
  <c r="AJ44" i="24"/>
  <c r="AI44" i="24"/>
  <c r="AH44" i="24"/>
  <c r="AG44" i="24"/>
  <c r="AF44" i="24"/>
  <c r="AE44" i="24"/>
  <c r="AD44" i="24"/>
  <c r="AC44" i="24"/>
  <c r="AB44" i="24"/>
  <c r="AA44" i="24"/>
  <c r="Z44" i="24"/>
  <c r="AM41" i="24"/>
  <c r="AL41" i="24"/>
  <c r="AK41" i="24"/>
  <c r="AJ41" i="24"/>
  <c r="AG41" i="24"/>
  <c r="AF41" i="24"/>
  <c r="AE41" i="24"/>
  <c r="AD41" i="24"/>
  <c r="AC41" i="24"/>
  <c r="AB41" i="24"/>
  <c r="AA41" i="24"/>
  <c r="Z41" i="24"/>
  <c r="AM40" i="24"/>
  <c r="AL40" i="24"/>
  <c r="AJ40" i="24"/>
  <c r="AI40" i="24"/>
  <c r="AH40" i="24"/>
  <c r="AG40" i="24"/>
  <c r="AF40" i="24"/>
  <c r="AE40" i="24"/>
  <c r="AD40" i="24"/>
  <c r="AC40" i="24"/>
  <c r="Y40" i="24"/>
  <c r="AM39" i="24"/>
  <c r="AL39" i="24"/>
  <c r="AK39" i="24"/>
  <c r="AJ39" i="24"/>
  <c r="AI39" i="24"/>
  <c r="AH39" i="24"/>
  <c r="AG39" i="24"/>
  <c r="AF39" i="24"/>
  <c r="AE39" i="24"/>
  <c r="AD39" i="24"/>
  <c r="AC39" i="24"/>
  <c r="Y39" i="24"/>
  <c r="AM38" i="24"/>
  <c r="AL38" i="24"/>
  <c r="AK38" i="24"/>
  <c r="AJ38" i="24"/>
  <c r="AI38" i="24"/>
  <c r="AH38" i="24"/>
  <c r="AG38" i="24"/>
  <c r="AF38" i="24"/>
  <c r="AE38" i="24"/>
  <c r="AD38" i="24"/>
  <c r="AC38" i="24"/>
  <c r="AB38" i="24"/>
  <c r="AA38" i="24"/>
  <c r="Z38" i="24"/>
  <c r="Y38" i="24"/>
  <c r="X38" i="24"/>
  <c r="AM37" i="24"/>
  <c r="AL37" i="24"/>
  <c r="AK37" i="24"/>
  <c r="AJ37" i="24"/>
  <c r="AI37" i="24"/>
  <c r="AH37" i="24"/>
  <c r="AG37" i="24"/>
  <c r="AF37" i="24"/>
  <c r="AE37" i="24"/>
  <c r="AD37" i="24"/>
  <c r="AB37" i="24"/>
  <c r="AA37" i="24"/>
  <c r="Z37" i="24"/>
  <c r="Y37" i="24"/>
  <c r="AM36" i="24"/>
  <c r="AL36" i="24"/>
  <c r="AK36" i="24"/>
  <c r="AJ36" i="24"/>
  <c r="AI36" i="24"/>
  <c r="AH36" i="24"/>
  <c r="AG36" i="24"/>
  <c r="AF36" i="24"/>
  <c r="AE36" i="24"/>
  <c r="AD36" i="24"/>
  <c r="AA36" i="24"/>
  <c r="Y36" i="24"/>
  <c r="AM35" i="24"/>
  <c r="AL35" i="24"/>
  <c r="AK35" i="24"/>
  <c r="AJ35" i="24"/>
  <c r="AI35" i="24"/>
  <c r="AH35" i="24"/>
  <c r="AG35" i="24"/>
  <c r="AF35" i="24"/>
  <c r="AE35" i="24"/>
  <c r="AD35" i="24"/>
  <c r="AC35" i="24"/>
  <c r="AA35" i="24"/>
  <c r="Y35" i="24"/>
  <c r="AM34" i="24"/>
  <c r="AL34" i="24"/>
  <c r="AK34" i="24"/>
  <c r="AJ34" i="24"/>
  <c r="AI34" i="24"/>
  <c r="AH34" i="24"/>
  <c r="AG34" i="24"/>
  <c r="AF34" i="24"/>
  <c r="AE34" i="24"/>
  <c r="AD34" i="24"/>
  <c r="AB34" i="24"/>
  <c r="AA34" i="24"/>
  <c r="Z34" i="24"/>
  <c r="AM33" i="24"/>
  <c r="AL33" i="24"/>
  <c r="AK33" i="24"/>
  <c r="AJ33" i="24"/>
  <c r="AI33" i="24"/>
  <c r="AH33" i="24"/>
  <c r="AG33" i="24"/>
  <c r="AF33" i="24"/>
  <c r="AE33" i="24"/>
  <c r="AD33" i="24"/>
  <c r="AC33" i="24"/>
  <c r="AB33" i="24"/>
  <c r="AA33" i="24"/>
  <c r="Z33" i="24"/>
  <c r="AM32" i="24"/>
  <c r="AL32" i="24"/>
  <c r="AK32" i="24"/>
  <c r="AJ32" i="24"/>
  <c r="AI32" i="24"/>
  <c r="AH32" i="24"/>
  <c r="AG32" i="24"/>
  <c r="AF32" i="24"/>
  <c r="AE32" i="24"/>
  <c r="AD32" i="24"/>
  <c r="AC32" i="24"/>
  <c r="AB32" i="24"/>
  <c r="AA32" i="24"/>
  <c r="Z32" i="24"/>
  <c r="Y32" i="24"/>
  <c r="X32" i="24"/>
  <c r="AM31" i="24"/>
  <c r="AL31" i="24"/>
  <c r="AK31" i="24"/>
  <c r="AJ31" i="24"/>
  <c r="AI31" i="24"/>
  <c r="AH31" i="24"/>
  <c r="AG31" i="24"/>
  <c r="AF31" i="24"/>
  <c r="AE31" i="24"/>
  <c r="AD31" i="24"/>
  <c r="AC31" i="24"/>
  <c r="AB31" i="24"/>
  <c r="AA31" i="24"/>
  <c r="Z31" i="24"/>
  <c r="AM30" i="24"/>
  <c r="AL30" i="24"/>
  <c r="AK30" i="24"/>
  <c r="AJ30" i="24"/>
  <c r="AI30" i="24"/>
  <c r="AH30" i="24"/>
  <c r="AG30" i="24"/>
  <c r="AF30" i="24"/>
  <c r="AE30" i="24"/>
  <c r="AD30" i="24"/>
  <c r="AC30" i="24"/>
  <c r="AB30" i="24"/>
  <c r="AA30" i="24"/>
  <c r="Z30" i="24"/>
  <c r="AM27" i="24"/>
  <c r="AL27" i="24"/>
  <c r="AK27" i="24"/>
  <c r="AJ27" i="24"/>
  <c r="AI27" i="24"/>
  <c r="AH27" i="24"/>
  <c r="AG27" i="24"/>
  <c r="AC27" i="24"/>
  <c r="Y27" i="24"/>
  <c r="AM26" i="24"/>
  <c r="AL26" i="24"/>
  <c r="AK26" i="24"/>
  <c r="AJ26" i="24"/>
  <c r="AI26" i="24"/>
  <c r="AH26" i="24"/>
  <c r="AG26" i="24"/>
  <c r="AF26" i="24"/>
  <c r="AE26" i="24"/>
  <c r="AD26" i="24"/>
  <c r="AC26" i="24"/>
  <c r="Y26" i="24"/>
  <c r="AM25" i="24"/>
  <c r="AK25" i="24"/>
  <c r="AJ25" i="24"/>
  <c r="AI25" i="24"/>
  <c r="AH25" i="24"/>
  <c r="AG25" i="24"/>
  <c r="AC25" i="24"/>
  <c r="Y25" i="24"/>
  <c r="AM24" i="24"/>
  <c r="AK24" i="24"/>
  <c r="AJ24" i="24"/>
  <c r="AI24" i="24"/>
  <c r="AH24" i="24"/>
  <c r="AG24" i="24"/>
  <c r="AF24" i="24"/>
  <c r="AE24" i="24"/>
  <c r="AD24" i="24"/>
  <c r="AC24" i="24"/>
  <c r="Y24" i="24"/>
  <c r="AM23" i="24"/>
  <c r="AL23" i="24"/>
  <c r="AK23" i="24"/>
  <c r="AJ23" i="24"/>
  <c r="AI23" i="24"/>
  <c r="AH23" i="24"/>
  <c r="AG23" i="24"/>
  <c r="AC23" i="24"/>
  <c r="Y23" i="24"/>
  <c r="AM22" i="24"/>
  <c r="AL22" i="24"/>
  <c r="AK22" i="24"/>
  <c r="AJ22" i="24"/>
  <c r="AI22" i="24"/>
  <c r="AH22" i="24"/>
  <c r="AG22" i="24"/>
  <c r="AF22" i="24"/>
  <c r="AE22" i="24"/>
  <c r="AD22" i="24"/>
  <c r="AC22" i="24"/>
  <c r="Y22" i="24"/>
  <c r="AM21" i="24"/>
  <c r="AL21" i="24"/>
  <c r="AK21" i="24"/>
  <c r="AJ21" i="24"/>
  <c r="AI21" i="24"/>
  <c r="AH21" i="24"/>
  <c r="AG21" i="24"/>
  <c r="AC21" i="24"/>
  <c r="AB21" i="24"/>
  <c r="AA21" i="24"/>
  <c r="Z21" i="24"/>
  <c r="AM20" i="24"/>
  <c r="AL20" i="24"/>
  <c r="AK20" i="24"/>
  <c r="AJ20" i="24"/>
  <c r="AI20" i="24"/>
  <c r="AH20" i="24"/>
  <c r="AG20" i="24"/>
  <c r="AF20" i="24"/>
  <c r="AE20" i="24"/>
  <c r="AD20" i="24"/>
  <c r="AC20" i="24"/>
  <c r="AB20" i="24"/>
  <c r="AA20" i="24"/>
  <c r="Z20" i="24"/>
  <c r="Y20" i="24"/>
  <c r="X20" i="24"/>
  <c r="AM19" i="24"/>
  <c r="AL19" i="24"/>
  <c r="AK19" i="24"/>
  <c r="AJ19" i="24"/>
  <c r="AI19" i="24"/>
  <c r="AH19" i="24"/>
  <c r="AG19" i="24"/>
  <c r="AF19" i="24"/>
  <c r="AE19" i="24"/>
  <c r="AD19" i="24"/>
  <c r="AB19" i="24"/>
  <c r="AA19" i="24"/>
  <c r="Z19" i="24"/>
  <c r="AM18" i="24"/>
  <c r="AL18" i="24"/>
  <c r="AK18" i="24"/>
  <c r="AJ18" i="24"/>
  <c r="AI18" i="24"/>
  <c r="AH18" i="24"/>
  <c r="AG18" i="24"/>
  <c r="AF18" i="24"/>
  <c r="AE18" i="24"/>
  <c r="AD18" i="24"/>
  <c r="AC18" i="24"/>
  <c r="AB18" i="24"/>
  <c r="AA18" i="24"/>
  <c r="Z18" i="24"/>
  <c r="AM129" i="23"/>
  <c r="AL129" i="23"/>
  <c r="AK129" i="23"/>
  <c r="AJ129" i="23"/>
  <c r="AI129" i="23"/>
  <c r="AH129" i="23"/>
  <c r="AG129" i="23"/>
  <c r="AF129" i="23"/>
  <c r="AE129" i="23"/>
  <c r="AD129" i="23"/>
  <c r="AC129" i="23"/>
  <c r="AB129" i="23"/>
  <c r="AA129" i="23"/>
  <c r="Z129" i="23"/>
  <c r="Y129" i="23"/>
  <c r="X129" i="23"/>
  <c r="AM128" i="23"/>
  <c r="AL128" i="23"/>
  <c r="AI128" i="23"/>
  <c r="AH128" i="23"/>
  <c r="AG128" i="23"/>
  <c r="AF128" i="23"/>
  <c r="AE128" i="23"/>
  <c r="AD128" i="23"/>
  <c r="AC128" i="23"/>
  <c r="AB128" i="23"/>
  <c r="AA128" i="23"/>
  <c r="Z128" i="23"/>
  <c r="AM127" i="23"/>
  <c r="AL127" i="23"/>
  <c r="AI127" i="23"/>
  <c r="AH127" i="23"/>
  <c r="AG127" i="23"/>
  <c r="AF127" i="23"/>
  <c r="AE127" i="23"/>
  <c r="AD127" i="23"/>
  <c r="AC127" i="23"/>
  <c r="AB127" i="23"/>
  <c r="AA127" i="23"/>
  <c r="Z127" i="23"/>
  <c r="AM126" i="23"/>
  <c r="AL126" i="23"/>
  <c r="AI126" i="23"/>
  <c r="AH126" i="23"/>
  <c r="AG126" i="23"/>
  <c r="AF126" i="23"/>
  <c r="AE126" i="23"/>
  <c r="AD126" i="23"/>
  <c r="AC126" i="23"/>
  <c r="AB126" i="23"/>
  <c r="AA126" i="23"/>
  <c r="Z126" i="23"/>
  <c r="AM125" i="23"/>
  <c r="AL125" i="23"/>
  <c r="AI125" i="23"/>
  <c r="AH125" i="23"/>
  <c r="AG125" i="23"/>
  <c r="AF125" i="23"/>
  <c r="AE125" i="23"/>
  <c r="AD125" i="23"/>
  <c r="AC125" i="23"/>
  <c r="AB125" i="23"/>
  <c r="AA125" i="23"/>
  <c r="Z125" i="23"/>
  <c r="AM124" i="23"/>
  <c r="AL124" i="23"/>
  <c r="AI124" i="23"/>
  <c r="AH124" i="23"/>
  <c r="AG124" i="23"/>
  <c r="AF124" i="23"/>
  <c r="AE124" i="23"/>
  <c r="AD124" i="23"/>
  <c r="AC124" i="23"/>
  <c r="AB124" i="23"/>
  <c r="AA124" i="23"/>
  <c r="Z124" i="23"/>
  <c r="AM123" i="23"/>
  <c r="AL123" i="23"/>
  <c r="AI123" i="23"/>
  <c r="AH123" i="23"/>
  <c r="AG123" i="23"/>
  <c r="AF123" i="23"/>
  <c r="AE123" i="23"/>
  <c r="AD123" i="23"/>
  <c r="AC123" i="23"/>
  <c r="AB123" i="23"/>
  <c r="AA123" i="23"/>
  <c r="Z123" i="23"/>
  <c r="AM122" i="23"/>
  <c r="AL122" i="23"/>
  <c r="AI122" i="23"/>
  <c r="AH122" i="23"/>
  <c r="AG122" i="23"/>
  <c r="AF122" i="23"/>
  <c r="AE122" i="23"/>
  <c r="AD122" i="23"/>
  <c r="AC122" i="23"/>
  <c r="AB122" i="23"/>
  <c r="AA122" i="23"/>
  <c r="Z122" i="23"/>
  <c r="AM121" i="23"/>
  <c r="AL121" i="23"/>
  <c r="AI121" i="23"/>
  <c r="AH121" i="23"/>
  <c r="AG121" i="23"/>
  <c r="AF121" i="23"/>
  <c r="AE121" i="23"/>
  <c r="AD121" i="23"/>
  <c r="AC121" i="23"/>
  <c r="AB121" i="23"/>
  <c r="AA121" i="23"/>
  <c r="Z121" i="23"/>
  <c r="AM120" i="23"/>
  <c r="AL120" i="23"/>
  <c r="AK120" i="23"/>
  <c r="AJ120" i="23"/>
  <c r="AI120" i="23"/>
  <c r="AH120" i="23"/>
  <c r="AG120" i="23"/>
  <c r="AF120" i="23"/>
  <c r="AE120" i="23"/>
  <c r="AD120" i="23"/>
  <c r="AC120" i="23"/>
  <c r="AB120" i="23"/>
  <c r="AA120" i="23"/>
  <c r="Z120" i="23"/>
  <c r="Y120" i="23"/>
  <c r="X120" i="23"/>
  <c r="AM119" i="23"/>
  <c r="AL119" i="23"/>
  <c r="AI119" i="23"/>
  <c r="AH119" i="23"/>
  <c r="AG119" i="23"/>
  <c r="AF119" i="23"/>
  <c r="AE119" i="23"/>
  <c r="AD119" i="23"/>
  <c r="AC119" i="23"/>
  <c r="AB119" i="23"/>
  <c r="AA119" i="23"/>
  <c r="Z119" i="23"/>
  <c r="AM118" i="23"/>
  <c r="AL118" i="23"/>
  <c r="AI118" i="23"/>
  <c r="AH118" i="23"/>
  <c r="AG118" i="23"/>
  <c r="AF118" i="23"/>
  <c r="AE118" i="23"/>
  <c r="AD118" i="23"/>
  <c r="AC118" i="23"/>
  <c r="AB118" i="23"/>
  <c r="AA118" i="23"/>
  <c r="Z118" i="23"/>
  <c r="AM117" i="23"/>
  <c r="AL117" i="23"/>
  <c r="AI117" i="23"/>
  <c r="AH117" i="23"/>
  <c r="AG117" i="23"/>
  <c r="AF117" i="23"/>
  <c r="AE117" i="23"/>
  <c r="AD117" i="23"/>
  <c r="AC117" i="23"/>
  <c r="AB117" i="23"/>
  <c r="AA117" i="23"/>
  <c r="Z117" i="23"/>
  <c r="AM116" i="23"/>
  <c r="AL116" i="23"/>
  <c r="AI116" i="23"/>
  <c r="AH116" i="23"/>
  <c r="AG116" i="23"/>
  <c r="AF116" i="23"/>
  <c r="AE116" i="23"/>
  <c r="AD116" i="23"/>
  <c r="AC116" i="23"/>
  <c r="AB116" i="23"/>
  <c r="AA116" i="23"/>
  <c r="Z116" i="23"/>
  <c r="AM115" i="23"/>
  <c r="AL115" i="23"/>
  <c r="AK115" i="23"/>
  <c r="AJ115" i="23"/>
  <c r="AI115" i="23"/>
  <c r="AH115" i="23"/>
  <c r="AG115" i="23"/>
  <c r="AF115" i="23"/>
  <c r="AE115" i="23"/>
  <c r="AD115" i="23"/>
  <c r="AC115" i="23"/>
  <c r="AB115" i="23"/>
  <c r="AA115" i="23"/>
  <c r="Z115" i="23"/>
  <c r="Y115" i="23"/>
  <c r="X115" i="23"/>
  <c r="AM114" i="23"/>
  <c r="AL114" i="23"/>
  <c r="AI114" i="23"/>
  <c r="AH114" i="23"/>
  <c r="AG114" i="23"/>
  <c r="AF114" i="23"/>
  <c r="AE114" i="23"/>
  <c r="AD114" i="23"/>
  <c r="AC114" i="23"/>
  <c r="AB114" i="23"/>
  <c r="AA114" i="23"/>
  <c r="Z114" i="23"/>
  <c r="AM113" i="23"/>
  <c r="AL113" i="23"/>
  <c r="AI113" i="23"/>
  <c r="AH113" i="23"/>
  <c r="AG113" i="23"/>
  <c r="AF113" i="23"/>
  <c r="AE113" i="23"/>
  <c r="AD113" i="23"/>
  <c r="AC113" i="23"/>
  <c r="AB113" i="23"/>
  <c r="AA113" i="23"/>
  <c r="Z113" i="23"/>
  <c r="AM112" i="23"/>
  <c r="AL112" i="23"/>
  <c r="AI112" i="23"/>
  <c r="AH112" i="23"/>
  <c r="AG112" i="23"/>
  <c r="AF112" i="23"/>
  <c r="AE112" i="23"/>
  <c r="AD112" i="23"/>
  <c r="AC112" i="23"/>
  <c r="AB112" i="23"/>
  <c r="AA112" i="23"/>
  <c r="Z112" i="23"/>
  <c r="AM111" i="23"/>
  <c r="AL111" i="23"/>
  <c r="AI111" i="23"/>
  <c r="AH111" i="23"/>
  <c r="AG111" i="23"/>
  <c r="AF111" i="23"/>
  <c r="AE111" i="23"/>
  <c r="AD111" i="23"/>
  <c r="AC111" i="23"/>
  <c r="AB111" i="23"/>
  <c r="AA111" i="23"/>
  <c r="Z111" i="23"/>
  <c r="AM110" i="23"/>
  <c r="AL110" i="23"/>
  <c r="AI110" i="23"/>
  <c r="AH110" i="23"/>
  <c r="AG110" i="23"/>
  <c r="AF110" i="23"/>
  <c r="AE110" i="23"/>
  <c r="AD110" i="23"/>
  <c r="AC110" i="23"/>
  <c r="AB110" i="23"/>
  <c r="AA110" i="23"/>
  <c r="Z110" i="23"/>
  <c r="AM109" i="23"/>
  <c r="AL109" i="23"/>
  <c r="AI109" i="23"/>
  <c r="AH109" i="23"/>
  <c r="AG109" i="23"/>
  <c r="AF109" i="23"/>
  <c r="AE109" i="23"/>
  <c r="AD109" i="23"/>
  <c r="AC109" i="23"/>
  <c r="AB109" i="23"/>
  <c r="AA109" i="23"/>
  <c r="Z109" i="23"/>
  <c r="AM108" i="23"/>
  <c r="AL108" i="23"/>
  <c r="AI108" i="23"/>
  <c r="AH108" i="23"/>
  <c r="AG108" i="23"/>
  <c r="AF108" i="23"/>
  <c r="AE108" i="23"/>
  <c r="AD108" i="23"/>
  <c r="AC108" i="23"/>
  <c r="AB108" i="23"/>
  <c r="AA108" i="23"/>
  <c r="Z108" i="23"/>
  <c r="AM107" i="23"/>
  <c r="AL107" i="23"/>
  <c r="AI107" i="23"/>
  <c r="AH107" i="23"/>
  <c r="AG107" i="23"/>
  <c r="AF107" i="23"/>
  <c r="AE107" i="23"/>
  <c r="AD107" i="23"/>
  <c r="AC107" i="23"/>
  <c r="AB107" i="23"/>
  <c r="AA107" i="23"/>
  <c r="Z107" i="23"/>
  <c r="AM106" i="23"/>
  <c r="AL106" i="23"/>
  <c r="AI106" i="23"/>
  <c r="AH106" i="23"/>
  <c r="AG106" i="23"/>
  <c r="AF106" i="23"/>
  <c r="AE106" i="23"/>
  <c r="AD106" i="23"/>
  <c r="AC106" i="23"/>
  <c r="AB106" i="23"/>
  <c r="AA106" i="23"/>
  <c r="Z106" i="23"/>
  <c r="AM105" i="23"/>
  <c r="AL105" i="23"/>
  <c r="AI105" i="23"/>
  <c r="AH105" i="23"/>
  <c r="AG105" i="23"/>
  <c r="AF105" i="23"/>
  <c r="AE105" i="23"/>
  <c r="AD105" i="23"/>
  <c r="AC105" i="23"/>
  <c r="AB105" i="23"/>
  <c r="AA105" i="23"/>
  <c r="Z105" i="23"/>
  <c r="AM104" i="23"/>
  <c r="AL104" i="23"/>
  <c r="AK104" i="23"/>
  <c r="AJ104" i="23"/>
  <c r="AI104" i="23"/>
  <c r="AH104" i="23"/>
  <c r="AG104" i="23"/>
  <c r="AF104" i="23"/>
  <c r="AE104" i="23"/>
  <c r="AD104" i="23"/>
  <c r="AC104" i="23"/>
  <c r="AB104" i="23"/>
  <c r="AA104" i="23"/>
  <c r="Z104" i="23"/>
  <c r="Y104" i="23"/>
  <c r="X104" i="23"/>
  <c r="AM103" i="23"/>
  <c r="AL103" i="23"/>
  <c r="AI103" i="23"/>
  <c r="AH103" i="23"/>
  <c r="AG103" i="23"/>
  <c r="AF103" i="23"/>
  <c r="AE103" i="23"/>
  <c r="AD103" i="23"/>
  <c r="AC103" i="23"/>
  <c r="AB103" i="23"/>
  <c r="AA103" i="23"/>
  <c r="Z103" i="23"/>
  <c r="AM102" i="23"/>
  <c r="AL102" i="23"/>
  <c r="AI102" i="23"/>
  <c r="AH102" i="23"/>
  <c r="AG102" i="23"/>
  <c r="AF102" i="23"/>
  <c r="AE102" i="23"/>
  <c r="AD102" i="23"/>
  <c r="AC102" i="23"/>
  <c r="AB102" i="23"/>
  <c r="AA102" i="23"/>
  <c r="Z102" i="23"/>
  <c r="AM101" i="23"/>
  <c r="AL101" i="23"/>
  <c r="AI101" i="23"/>
  <c r="AH101" i="23"/>
  <c r="AG101" i="23"/>
  <c r="AF101" i="23"/>
  <c r="AE101" i="23"/>
  <c r="AD101" i="23"/>
  <c r="AC101" i="23"/>
  <c r="AB101" i="23"/>
  <c r="AA101" i="23"/>
  <c r="Z101" i="23"/>
  <c r="AM100" i="23"/>
  <c r="AL100" i="23"/>
  <c r="AI100" i="23"/>
  <c r="AH100" i="23"/>
  <c r="AG100" i="23"/>
  <c r="AF100" i="23"/>
  <c r="AE100" i="23"/>
  <c r="AD100" i="23"/>
  <c r="AC100" i="23"/>
  <c r="AB100" i="23"/>
  <c r="AA100" i="23"/>
  <c r="Z100" i="23"/>
  <c r="AM99" i="23"/>
  <c r="AL99" i="23"/>
  <c r="AI99" i="23"/>
  <c r="AH99" i="23"/>
  <c r="AG99" i="23"/>
  <c r="AF99" i="23"/>
  <c r="AE99" i="23"/>
  <c r="AD99" i="23"/>
  <c r="AC99" i="23"/>
  <c r="AB99" i="23"/>
  <c r="AA99" i="23"/>
  <c r="Z99" i="23"/>
  <c r="AM98" i="23"/>
  <c r="AL98" i="23"/>
  <c r="AI98" i="23"/>
  <c r="AH98" i="23"/>
  <c r="AG98" i="23"/>
  <c r="AF98" i="23"/>
  <c r="AE98" i="23"/>
  <c r="AD98" i="23"/>
  <c r="AC98" i="23"/>
  <c r="AB98" i="23"/>
  <c r="AA98" i="23"/>
  <c r="Z98" i="23"/>
  <c r="AM97" i="23"/>
  <c r="AL97" i="23"/>
  <c r="AI97" i="23"/>
  <c r="AH97" i="23"/>
  <c r="AG97" i="23"/>
  <c r="AF97" i="23"/>
  <c r="AE97" i="23"/>
  <c r="AD97" i="23"/>
  <c r="AC97" i="23"/>
  <c r="AB97" i="23"/>
  <c r="AA97" i="23"/>
  <c r="Z97" i="23"/>
  <c r="AM96" i="23"/>
  <c r="AL96" i="23"/>
  <c r="AI96" i="23"/>
  <c r="AH96" i="23"/>
  <c r="AG96" i="23"/>
  <c r="AF96" i="23"/>
  <c r="AE96" i="23"/>
  <c r="AD96" i="23"/>
  <c r="AC96" i="23"/>
  <c r="AB96" i="23"/>
  <c r="AA96" i="23"/>
  <c r="Z96" i="23"/>
  <c r="AM87" i="23"/>
  <c r="AL87" i="23"/>
  <c r="AK87" i="23"/>
  <c r="AJ87" i="23"/>
  <c r="AI87" i="23"/>
  <c r="AH87" i="23"/>
  <c r="AG87" i="23"/>
  <c r="AF87" i="23"/>
  <c r="AE87" i="23"/>
  <c r="AD87" i="23"/>
  <c r="AC87" i="23"/>
  <c r="AB87" i="23"/>
  <c r="AA87" i="23"/>
  <c r="Z87" i="23"/>
  <c r="Y87" i="23"/>
  <c r="X87" i="23"/>
  <c r="AM86" i="23"/>
  <c r="AL86" i="23"/>
  <c r="AI86" i="23"/>
  <c r="AH86" i="23"/>
  <c r="AG86" i="23"/>
  <c r="AF86" i="23"/>
  <c r="AE86" i="23"/>
  <c r="AD86" i="23"/>
  <c r="AC86" i="23"/>
  <c r="AA86" i="23"/>
  <c r="Y86" i="23"/>
  <c r="AM85" i="23"/>
  <c r="AL85" i="23"/>
  <c r="AI85" i="23"/>
  <c r="AH85" i="23"/>
  <c r="AG85" i="23"/>
  <c r="AF85" i="23"/>
  <c r="AE85" i="23"/>
  <c r="AD85" i="23"/>
  <c r="AC85" i="23"/>
  <c r="AA85" i="23"/>
  <c r="Y85" i="23"/>
  <c r="AM84" i="23"/>
  <c r="AL84" i="23"/>
  <c r="AK84" i="23"/>
  <c r="AJ84" i="23"/>
  <c r="AI84" i="23"/>
  <c r="AH84" i="23"/>
  <c r="AG84" i="23"/>
  <c r="AF84" i="23"/>
  <c r="AE84" i="23"/>
  <c r="AD84" i="23"/>
  <c r="AC84" i="23"/>
  <c r="AB84" i="23"/>
  <c r="AA84" i="23"/>
  <c r="Z84" i="23"/>
  <c r="Y84" i="23"/>
  <c r="X84" i="23"/>
  <c r="AM83" i="23"/>
  <c r="AL83" i="23"/>
  <c r="AK83" i="23"/>
  <c r="AJ83" i="23"/>
  <c r="AI83" i="23"/>
  <c r="AH83" i="23"/>
  <c r="AG83" i="23"/>
  <c r="AF83" i="23"/>
  <c r="AE83" i="23"/>
  <c r="AD83" i="23"/>
  <c r="AC83" i="23"/>
  <c r="AB83" i="23"/>
  <c r="AA83" i="23"/>
  <c r="Z83" i="23"/>
  <c r="Y83" i="23"/>
  <c r="X83" i="23"/>
  <c r="AM82" i="23"/>
  <c r="AL82" i="23"/>
  <c r="AK82" i="23"/>
  <c r="AJ82" i="23"/>
  <c r="AI82" i="23"/>
  <c r="AH82" i="23"/>
  <c r="AG82" i="23"/>
  <c r="AF82" i="23"/>
  <c r="AE82" i="23"/>
  <c r="AD82" i="23"/>
  <c r="AC82" i="23"/>
  <c r="AB82" i="23"/>
  <c r="AA82" i="23"/>
  <c r="Z82" i="23"/>
  <c r="Y82" i="23"/>
  <c r="X82" i="23"/>
  <c r="AM81" i="23"/>
  <c r="AL81" i="23"/>
  <c r="AI81" i="23"/>
  <c r="AH81" i="23"/>
  <c r="AG81" i="23"/>
  <c r="AF81" i="23"/>
  <c r="AE81" i="23"/>
  <c r="AD81" i="23"/>
  <c r="AC81" i="23"/>
  <c r="AA81" i="23"/>
  <c r="Y81" i="23"/>
  <c r="AM80" i="23"/>
  <c r="AL80" i="23"/>
  <c r="AK80" i="23"/>
  <c r="AJ80" i="23"/>
  <c r="AI80" i="23"/>
  <c r="AH80" i="23"/>
  <c r="AG80" i="23"/>
  <c r="AF80" i="23"/>
  <c r="AE80" i="23"/>
  <c r="AD80" i="23"/>
  <c r="AC80" i="23"/>
  <c r="AB80" i="23"/>
  <c r="AA80" i="23"/>
  <c r="Z80" i="23"/>
  <c r="Y80" i="23"/>
  <c r="X80" i="23"/>
  <c r="AM79" i="23"/>
  <c r="AL79" i="23"/>
  <c r="AK79" i="23"/>
  <c r="AJ79" i="23"/>
  <c r="AI79" i="23"/>
  <c r="AH79" i="23"/>
  <c r="AG79" i="23"/>
  <c r="AF79" i="23"/>
  <c r="AE79" i="23"/>
  <c r="AD79" i="23"/>
  <c r="AC79" i="23"/>
  <c r="AB79" i="23"/>
  <c r="AA79" i="23"/>
  <c r="Z79" i="23"/>
  <c r="Y79" i="23"/>
  <c r="X79" i="23"/>
  <c r="AM78" i="23"/>
  <c r="AL78" i="23"/>
  <c r="AK78" i="23"/>
  <c r="AJ78" i="23"/>
  <c r="AI78" i="23"/>
  <c r="AH78" i="23"/>
  <c r="AG78" i="23"/>
  <c r="AF78" i="23"/>
  <c r="AE78" i="23"/>
  <c r="AD78" i="23"/>
  <c r="AC78" i="23"/>
  <c r="AB78" i="23"/>
  <c r="AA78" i="23"/>
  <c r="Z78" i="23"/>
  <c r="Y78" i="23"/>
  <c r="X78" i="23"/>
  <c r="AM77" i="23"/>
  <c r="AL77" i="23"/>
  <c r="AI77" i="23"/>
  <c r="AH77" i="23"/>
  <c r="AG77" i="23"/>
  <c r="AF77" i="23"/>
  <c r="AE77" i="23"/>
  <c r="AD77" i="23"/>
  <c r="AC77" i="23"/>
  <c r="AA77" i="23"/>
  <c r="Y77" i="23"/>
  <c r="AM76" i="23"/>
  <c r="AL76" i="23"/>
  <c r="AI76" i="23"/>
  <c r="AH76" i="23"/>
  <c r="AG76" i="23"/>
  <c r="AF76" i="23"/>
  <c r="AE76" i="23"/>
  <c r="AD76" i="23"/>
  <c r="AC76" i="23"/>
  <c r="AA76" i="23"/>
  <c r="Y76" i="23"/>
  <c r="AM75" i="23"/>
  <c r="AL75" i="23"/>
  <c r="AK75" i="23"/>
  <c r="AJ75" i="23"/>
  <c r="AG75" i="23"/>
  <c r="AF75" i="23"/>
  <c r="AE75" i="23"/>
  <c r="AD75" i="23"/>
  <c r="AC75" i="23"/>
  <c r="AB75" i="23"/>
  <c r="AA75" i="23"/>
  <c r="Z75" i="23"/>
  <c r="AM74" i="23"/>
  <c r="AL74" i="23"/>
  <c r="AK74" i="23"/>
  <c r="AJ74" i="23"/>
  <c r="AI74" i="23"/>
  <c r="AH74" i="23"/>
  <c r="AG74" i="23"/>
  <c r="AF74" i="23"/>
  <c r="AE74" i="23"/>
  <c r="AD74" i="23"/>
  <c r="AC74" i="23"/>
  <c r="AB74" i="23"/>
  <c r="AA74" i="23"/>
  <c r="Z74" i="23"/>
  <c r="Y74" i="23"/>
  <c r="X74" i="23"/>
  <c r="AM73" i="23"/>
  <c r="AL73" i="23"/>
  <c r="AJ73" i="23"/>
  <c r="AI73" i="23"/>
  <c r="AH73" i="23"/>
  <c r="AF73" i="23"/>
  <c r="AE73" i="23"/>
  <c r="AD73" i="23"/>
  <c r="AC73" i="23"/>
  <c r="AA73" i="23"/>
  <c r="Y73" i="23"/>
  <c r="AM72" i="23"/>
  <c r="AL72" i="23"/>
  <c r="AI72" i="23"/>
  <c r="AH72" i="23"/>
  <c r="AG72" i="23"/>
  <c r="AF72" i="23"/>
  <c r="AE72" i="23"/>
  <c r="AD72" i="23"/>
  <c r="AC72" i="23"/>
  <c r="AA72" i="23"/>
  <c r="Y72" i="23"/>
  <c r="AM69" i="23"/>
  <c r="AL69" i="23"/>
  <c r="AJ69" i="23"/>
  <c r="AI69" i="23"/>
  <c r="AH69" i="23"/>
  <c r="AF69" i="23"/>
  <c r="AE69" i="23"/>
  <c r="AD69" i="23"/>
  <c r="AC69" i="23"/>
  <c r="AA69" i="23"/>
  <c r="Y69" i="23"/>
  <c r="AM68" i="23"/>
  <c r="AL68" i="23"/>
  <c r="AI68" i="23"/>
  <c r="AH68" i="23"/>
  <c r="AG68" i="23"/>
  <c r="AF68" i="23"/>
  <c r="AE68" i="23"/>
  <c r="AD68" i="23"/>
  <c r="AC68" i="23"/>
  <c r="AA68" i="23"/>
  <c r="Y68" i="23"/>
  <c r="AM67" i="23"/>
  <c r="BD67" i="23" s="1"/>
  <c r="AL67" i="23"/>
  <c r="BC67" i="23" s="1"/>
  <c r="BL67" i="23" s="1"/>
  <c r="AI67" i="23"/>
  <c r="AZ67" i="23" s="1"/>
  <c r="AH67" i="23"/>
  <c r="AY67" i="23" s="1"/>
  <c r="AG67" i="23"/>
  <c r="AX67" i="23" s="1"/>
  <c r="AF67" i="23"/>
  <c r="AW67" i="23" s="1"/>
  <c r="AE67" i="23"/>
  <c r="AV67" i="23" s="1"/>
  <c r="AD67" i="23"/>
  <c r="AU67" i="23" s="1"/>
  <c r="AC67" i="23"/>
  <c r="AT67" i="23" s="1"/>
  <c r="AA67" i="23"/>
  <c r="AR67" i="23" s="1"/>
  <c r="Y67" i="23"/>
  <c r="AP67" i="23" s="1"/>
  <c r="AM66" i="23"/>
  <c r="BD66" i="23" s="1"/>
  <c r="AL66" i="23"/>
  <c r="BC66" i="23" s="1"/>
  <c r="AI66" i="23"/>
  <c r="AZ66" i="23" s="1"/>
  <c r="AH66" i="23"/>
  <c r="AY66" i="23" s="1"/>
  <c r="AG66" i="23"/>
  <c r="AX66" i="23" s="1"/>
  <c r="AF66" i="23"/>
  <c r="AW66" i="23" s="1"/>
  <c r="AE66" i="23"/>
  <c r="AV66" i="23" s="1"/>
  <c r="AD66" i="23"/>
  <c r="AU66" i="23" s="1"/>
  <c r="BJ66" i="23" s="1"/>
  <c r="AC66" i="23"/>
  <c r="AT66" i="23" s="1"/>
  <c r="AA66" i="23"/>
  <c r="AR66" i="23" s="1"/>
  <c r="Y66" i="23"/>
  <c r="AP66" i="23" s="1"/>
  <c r="AM65" i="23"/>
  <c r="BD65" i="23" s="1"/>
  <c r="BL65" i="23" s="1"/>
  <c r="AL65" i="23"/>
  <c r="BC65" i="23" s="1"/>
  <c r="AK65" i="23"/>
  <c r="AJ65" i="23"/>
  <c r="AI65" i="23"/>
  <c r="AZ65" i="23" s="1"/>
  <c r="AH65" i="23"/>
  <c r="AY65" i="23" s="1"/>
  <c r="AG65" i="23"/>
  <c r="AX65" i="23" s="1"/>
  <c r="AF65" i="23"/>
  <c r="AW65" i="23" s="1"/>
  <c r="AE65" i="23"/>
  <c r="AV65" i="23" s="1"/>
  <c r="AD65" i="23"/>
  <c r="AU65" i="23" s="1"/>
  <c r="AC65" i="23"/>
  <c r="AT65" i="23" s="1"/>
  <c r="AB65" i="23"/>
  <c r="AA65" i="23"/>
  <c r="AR65" i="23" s="1"/>
  <c r="Z65" i="23"/>
  <c r="Y65" i="23"/>
  <c r="AP65" i="23" s="1"/>
  <c r="X65" i="23"/>
  <c r="BE65" i="23" s="1"/>
  <c r="AM64" i="23"/>
  <c r="BD64" i="23" s="1"/>
  <c r="AL64" i="23"/>
  <c r="BC64" i="23" s="1"/>
  <c r="AI64" i="23"/>
  <c r="AZ64" i="23" s="1"/>
  <c r="AH64" i="23"/>
  <c r="AY64" i="23" s="1"/>
  <c r="AG64" i="23"/>
  <c r="AX64" i="23" s="1"/>
  <c r="AF64" i="23"/>
  <c r="AW64" i="23" s="1"/>
  <c r="AE64" i="23"/>
  <c r="AV64" i="23" s="1"/>
  <c r="AD64" i="23"/>
  <c r="AU64" i="23" s="1"/>
  <c r="AC64" i="23"/>
  <c r="AT64" i="23" s="1"/>
  <c r="AA64" i="23"/>
  <c r="AR64" i="23" s="1"/>
  <c r="Y64" i="23"/>
  <c r="AP64" i="23" s="1"/>
  <c r="AM63" i="23"/>
  <c r="BD63" i="23" s="1"/>
  <c r="AL63" i="23"/>
  <c r="BC63" i="23" s="1"/>
  <c r="AI63" i="23"/>
  <c r="AZ63" i="23" s="1"/>
  <c r="AH63" i="23"/>
  <c r="AY63" i="23" s="1"/>
  <c r="AG63" i="23"/>
  <c r="AX63" i="23" s="1"/>
  <c r="AF63" i="23"/>
  <c r="AW63" i="23" s="1"/>
  <c r="AE63" i="23"/>
  <c r="AV63" i="23" s="1"/>
  <c r="AD63" i="23"/>
  <c r="AU63" i="23" s="1"/>
  <c r="AC63" i="23"/>
  <c r="AT63" i="23" s="1"/>
  <c r="AA63" i="23"/>
  <c r="AR63" i="23" s="1"/>
  <c r="Y63" i="23"/>
  <c r="AP63" i="23" s="1"/>
  <c r="AM62" i="23"/>
  <c r="BD62" i="23" s="1"/>
  <c r="AL62" i="23"/>
  <c r="BC62" i="23" s="1"/>
  <c r="BL62" i="23" s="1"/>
  <c r="AI62" i="23"/>
  <c r="AZ62" i="23" s="1"/>
  <c r="AH62" i="23"/>
  <c r="AY62" i="23" s="1"/>
  <c r="AG62" i="23"/>
  <c r="AX62" i="23" s="1"/>
  <c r="AF62" i="23"/>
  <c r="AW62" i="23" s="1"/>
  <c r="AE62" i="23"/>
  <c r="AV62" i="23" s="1"/>
  <c r="AD62" i="23"/>
  <c r="AU62" i="23" s="1"/>
  <c r="AC62" i="23"/>
  <c r="AT62" i="23" s="1"/>
  <c r="AA62" i="23"/>
  <c r="AR62" i="23" s="1"/>
  <c r="Y62" i="23"/>
  <c r="AP62" i="23" s="1"/>
  <c r="AM61" i="23"/>
  <c r="BD61" i="23" s="1"/>
  <c r="AL61" i="23"/>
  <c r="BC61" i="23" s="1"/>
  <c r="BL61" i="23" s="1"/>
  <c r="AI61" i="23"/>
  <c r="AZ61" i="23" s="1"/>
  <c r="AH61" i="23"/>
  <c r="AY61" i="23" s="1"/>
  <c r="AG61" i="23"/>
  <c r="AX61" i="23" s="1"/>
  <c r="AF61" i="23"/>
  <c r="AW61" i="23" s="1"/>
  <c r="AE61" i="23"/>
  <c r="AV61" i="23" s="1"/>
  <c r="AD61" i="23"/>
  <c r="AU61" i="23" s="1"/>
  <c r="AC61" i="23"/>
  <c r="AT61" i="23" s="1"/>
  <c r="AA61" i="23"/>
  <c r="AR61" i="23" s="1"/>
  <c r="Y61" i="23"/>
  <c r="AP61" i="23" s="1"/>
  <c r="AM60" i="23"/>
  <c r="AL60" i="23"/>
  <c r="AI60" i="23"/>
  <c r="AH60" i="23"/>
  <c r="AG60" i="23"/>
  <c r="AF60" i="23"/>
  <c r="AE60" i="23"/>
  <c r="AD60" i="23"/>
  <c r="AC60" i="23"/>
  <c r="AA60" i="23"/>
  <c r="Y60" i="23"/>
  <c r="AM59" i="23"/>
  <c r="AL59" i="23"/>
  <c r="AI59" i="23"/>
  <c r="AH59" i="23"/>
  <c r="AG59" i="23"/>
  <c r="AF59" i="23"/>
  <c r="AE59" i="23"/>
  <c r="AD59" i="23"/>
  <c r="AC59" i="23"/>
  <c r="AA59" i="23"/>
  <c r="Y59" i="23"/>
  <c r="AM58" i="23"/>
  <c r="AL58" i="23"/>
  <c r="AI58" i="23"/>
  <c r="AH58" i="23"/>
  <c r="AG58" i="23"/>
  <c r="AF58" i="23"/>
  <c r="AE58" i="23"/>
  <c r="AD58" i="23"/>
  <c r="AC58" i="23"/>
  <c r="AA58" i="23"/>
  <c r="Y58" i="23"/>
  <c r="AM57" i="23"/>
  <c r="AL57" i="23"/>
  <c r="AK57" i="23"/>
  <c r="AJ57" i="23"/>
  <c r="AI57" i="23"/>
  <c r="AH57" i="23"/>
  <c r="AG57" i="23"/>
  <c r="AF57" i="23"/>
  <c r="AE57" i="23"/>
  <c r="AD57" i="23"/>
  <c r="AC57" i="23"/>
  <c r="AB57" i="23"/>
  <c r="AA57" i="23"/>
  <c r="Z57" i="23"/>
  <c r="Y57" i="23"/>
  <c r="X57" i="23"/>
  <c r="AM56" i="23"/>
  <c r="AL56" i="23"/>
  <c r="AI56" i="23"/>
  <c r="AH56" i="23"/>
  <c r="AG56" i="23"/>
  <c r="AF56" i="23"/>
  <c r="AE56" i="23"/>
  <c r="AD56" i="23"/>
  <c r="AC56" i="23"/>
  <c r="AA56" i="23"/>
  <c r="Y56" i="23"/>
  <c r="AM55" i="23"/>
  <c r="BD55" i="23" s="1"/>
  <c r="AL55" i="23"/>
  <c r="BC55" i="23" s="1"/>
  <c r="AI55" i="23"/>
  <c r="AZ55" i="23" s="1"/>
  <c r="AH55" i="23"/>
  <c r="AY55" i="23" s="1"/>
  <c r="AG55" i="23"/>
  <c r="AX55" i="23" s="1"/>
  <c r="AF55" i="23"/>
  <c r="AW55" i="23" s="1"/>
  <c r="AE55" i="23"/>
  <c r="AV55" i="23" s="1"/>
  <c r="AD55" i="23"/>
  <c r="AU55" i="23" s="1"/>
  <c r="AC55" i="23"/>
  <c r="AT55" i="23" s="1"/>
  <c r="BJ55" i="23" s="1"/>
  <c r="AA55" i="23"/>
  <c r="AR55" i="23" s="1"/>
  <c r="Y55" i="23"/>
  <c r="AP55" i="23" s="1"/>
  <c r="AM54" i="23"/>
  <c r="AL54" i="23"/>
  <c r="AK54" i="23"/>
  <c r="AJ54" i="23"/>
  <c r="AI54" i="23"/>
  <c r="AH54" i="23"/>
  <c r="AG54" i="23"/>
  <c r="AF54" i="23"/>
  <c r="AE54" i="23"/>
  <c r="AD54" i="23"/>
  <c r="AC54" i="23"/>
  <c r="AB54" i="23"/>
  <c r="AA54" i="23"/>
  <c r="Z54" i="23"/>
  <c r="Y54" i="23"/>
  <c r="X54" i="23"/>
  <c r="AM53" i="23"/>
  <c r="AL53" i="23"/>
  <c r="AI53" i="23"/>
  <c r="AH53" i="23"/>
  <c r="AG53" i="23"/>
  <c r="AF53" i="23"/>
  <c r="AE53" i="23"/>
  <c r="AD53" i="23"/>
  <c r="AC53" i="23"/>
  <c r="AA53" i="23"/>
  <c r="Y53" i="23"/>
  <c r="AM52" i="23"/>
  <c r="AL52" i="23"/>
  <c r="AK52" i="23"/>
  <c r="AJ52" i="23"/>
  <c r="AG52" i="23"/>
  <c r="AF52" i="23"/>
  <c r="AE52" i="23"/>
  <c r="AD52" i="23"/>
  <c r="AC52" i="23"/>
  <c r="AB52" i="23"/>
  <c r="AA52" i="23"/>
  <c r="AM51" i="23"/>
  <c r="AL51" i="23"/>
  <c r="AK51" i="23"/>
  <c r="AJ51" i="23"/>
  <c r="AI51" i="23"/>
  <c r="AH51" i="23"/>
  <c r="AG51" i="23"/>
  <c r="AF51" i="23"/>
  <c r="AE51" i="23"/>
  <c r="AD51" i="23"/>
  <c r="AC51" i="23"/>
  <c r="AB51" i="23"/>
  <c r="AA51" i="23"/>
  <c r="Z51" i="23"/>
  <c r="Y51" i="23"/>
  <c r="X51" i="23"/>
  <c r="AM50" i="23"/>
  <c r="AL50" i="23"/>
  <c r="AJ50" i="23"/>
  <c r="AI50" i="23"/>
  <c r="AH50" i="23"/>
  <c r="AF50" i="23"/>
  <c r="AE50" i="23"/>
  <c r="AD50" i="23"/>
  <c r="AC50" i="23"/>
  <c r="AA50" i="23"/>
  <c r="Y50" i="23"/>
  <c r="AM49" i="23"/>
  <c r="AL49" i="23"/>
  <c r="AI49" i="23"/>
  <c r="AH49" i="23"/>
  <c r="AG49" i="23"/>
  <c r="AF49" i="23"/>
  <c r="AE49" i="23"/>
  <c r="AD49" i="23"/>
  <c r="AC49" i="23"/>
  <c r="AA49" i="23"/>
  <c r="Y49" i="23"/>
  <c r="AM48" i="23"/>
  <c r="AL48" i="23"/>
  <c r="AK48" i="23"/>
  <c r="AJ48" i="23"/>
  <c r="AI48" i="23"/>
  <c r="AH48" i="23"/>
  <c r="AG48" i="23"/>
  <c r="AF48" i="23"/>
  <c r="AE48" i="23"/>
  <c r="AD48" i="23"/>
  <c r="AC48" i="23"/>
  <c r="AB48" i="23"/>
  <c r="AA48" i="23"/>
  <c r="Z48" i="23"/>
  <c r="Y48" i="23"/>
  <c r="X48" i="23"/>
  <c r="AM47" i="23"/>
  <c r="AL47" i="23"/>
  <c r="AK47" i="23"/>
  <c r="AJ47" i="23"/>
  <c r="AI47" i="23"/>
  <c r="AH47" i="23"/>
  <c r="AG47" i="23"/>
  <c r="AF47" i="23"/>
  <c r="AE47" i="23"/>
  <c r="AD47" i="23"/>
  <c r="AA47" i="23"/>
  <c r="Y47" i="23"/>
  <c r="AM46" i="23"/>
  <c r="AL46" i="23"/>
  <c r="AK46" i="23"/>
  <c r="AJ46" i="23"/>
  <c r="AI46" i="23"/>
  <c r="AH46" i="23"/>
  <c r="AG46" i="23"/>
  <c r="AF46" i="23"/>
  <c r="AE46" i="23"/>
  <c r="AD46" i="23"/>
  <c r="AC46" i="23"/>
  <c r="AA46" i="23"/>
  <c r="Y46" i="23"/>
  <c r="AM45" i="23"/>
  <c r="AL45" i="23"/>
  <c r="AK45" i="23"/>
  <c r="AJ45" i="23"/>
  <c r="AI45" i="23"/>
  <c r="AH45" i="23"/>
  <c r="AG45" i="23"/>
  <c r="AF45" i="23"/>
  <c r="AE45" i="23"/>
  <c r="AD45" i="23"/>
  <c r="AB45" i="23"/>
  <c r="AA45" i="23"/>
  <c r="Z45" i="23"/>
  <c r="AM44" i="23"/>
  <c r="AL44" i="23"/>
  <c r="AK44" i="23"/>
  <c r="AJ44" i="23"/>
  <c r="AI44" i="23"/>
  <c r="AH44" i="23"/>
  <c r="AG44" i="23"/>
  <c r="AF44" i="23"/>
  <c r="AE44" i="23"/>
  <c r="AD44" i="23"/>
  <c r="AC44" i="23"/>
  <c r="AB44" i="23"/>
  <c r="AA44" i="23"/>
  <c r="Z44" i="23"/>
  <c r="AM41" i="23"/>
  <c r="AL41" i="23"/>
  <c r="AK41" i="23"/>
  <c r="AJ41" i="23"/>
  <c r="AG41" i="23"/>
  <c r="AF41" i="23"/>
  <c r="AE41" i="23"/>
  <c r="AD41" i="23"/>
  <c r="AC41" i="23"/>
  <c r="AB41" i="23"/>
  <c r="AA41" i="23"/>
  <c r="Z41" i="23"/>
  <c r="AM40" i="23"/>
  <c r="AL40" i="23"/>
  <c r="AJ40" i="23"/>
  <c r="AI40" i="23"/>
  <c r="AH40" i="23"/>
  <c r="AG40" i="23"/>
  <c r="AF40" i="23"/>
  <c r="AE40" i="23"/>
  <c r="AD40" i="23"/>
  <c r="AC40" i="23"/>
  <c r="Y40" i="23"/>
  <c r="AM39" i="23"/>
  <c r="AL39" i="23"/>
  <c r="AK39" i="23"/>
  <c r="AJ39" i="23"/>
  <c r="AI39" i="23"/>
  <c r="AH39" i="23"/>
  <c r="AG39" i="23"/>
  <c r="AF39" i="23"/>
  <c r="AE39" i="23"/>
  <c r="AD39" i="23"/>
  <c r="AC39" i="23"/>
  <c r="Y39" i="23"/>
  <c r="AM38" i="23"/>
  <c r="AL38" i="23"/>
  <c r="AK38" i="23"/>
  <c r="AJ38" i="23"/>
  <c r="AI38" i="23"/>
  <c r="AH38" i="23"/>
  <c r="AG38" i="23"/>
  <c r="AF38" i="23"/>
  <c r="AE38" i="23"/>
  <c r="AD38" i="23"/>
  <c r="AC38" i="23"/>
  <c r="AB38" i="23"/>
  <c r="AA38" i="23"/>
  <c r="Z38" i="23"/>
  <c r="Y38" i="23"/>
  <c r="X38" i="23"/>
  <c r="AM37" i="23"/>
  <c r="AL37" i="23"/>
  <c r="AK37" i="23"/>
  <c r="AJ37" i="23"/>
  <c r="AI37" i="23"/>
  <c r="AH37" i="23"/>
  <c r="AG37" i="23"/>
  <c r="AF37" i="23"/>
  <c r="AE37" i="23"/>
  <c r="AD37" i="23"/>
  <c r="AB37" i="23"/>
  <c r="AA37" i="23"/>
  <c r="Z37" i="23"/>
  <c r="Y37" i="23"/>
  <c r="AM36" i="23"/>
  <c r="AL36" i="23"/>
  <c r="AK36" i="23"/>
  <c r="AJ36" i="23"/>
  <c r="AI36" i="23"/>
  <c r="AH36" i="23"/>
  <c r="AG36" i="23"/>
  <c r="AF36" i="23"/>
  <c r="AE36" i="23"/>
  <c r="AD36" i="23"/>
  <c r="AA36" i="23"/>
  <c r="Y36" i="23"/>
  <c r="AM35" i="23"/>
  <c r="AL35" i="23"/>
  <c r="AK35" i="23"/>
  <c r="AJ35" i="23"/>
  <c r="AI35" i="23"/>
  <c r="AH35" i="23"/>
  <c r="AG35" i="23"/>
  <c r="AF35" i="23"/>
  <c r="AE35" i="23"/>
  <c r="AD35" i="23"/>
  <c r="AC35" i="23"/>
  <c r="AA35" i="23"/>
  <c r="Y35" i="23"/>
  <c r="AM34" i="23"/>
  <c r="AL34" i="23"/>
  <c r="AK34" i="23"/>
  <c r="AJ34" i="23"/>
  <c r="AI34" i="23"/>
  <c r="AH34" i="23"/>
  <c r="AG34" i="23"/>
  <c r="AF34" i="23"/>
  <c r="AE34" i="23"/>
  <c r="AD34" i="23"/>
  <c r="AB34" i="23"/>
  <c r="AA34" i="23"/>
  <c r="Z34" i="23"/>
  <c r="AM33" i="23"/>
  <c r="AL33" i="23"/>
  <c r="AK33" i="23"/>
  <c r="AJ33" i="23"/>
  <c r="AI33" i="23"/>
  <c r="AH33" i="23"/>
  <c r="AG33" i="23"/>
  <c r="AF33" i="23"/>
  <c r="AE33" i="23"/>
  <c r="AD33" i="23"/>
  <c r="AC33" i="23"/>
  <c r="AB33" i="23"/>
  <c r="AA33" i="23"/>
  <c r="Z33" i="23"/>
  <c r="AM32" i="23"/>
  <c r="AL32" i="23"/>
  <c r="AK32" i="23"/>
  <c r="AJ32" i="23"/>
  <c r="AI32" i="23"/>
  <c r="AH32" i="23"/>
  <c r="AG32" i="23"/>
  <c r="AF32" i="23"/>
  <c r="AE32" i="23"/>
  <c r="AD32" i="23"/>
  <c r="AC32" i="23"/>
  <c r="AB32" i="23"/>
  <c r="AA32" i="23"/>
  <c r="Z32" i="23"/>
  <c r="Y32" i="23"/>
  <c r="X32" i="23"/>
  <c r="AM31" i="23"/>
  <c r="AL31" i="23"/>
  <c r="AK31" i="23"/>
  <c r="AJ31" i="23"/>
  <c r="AI31" i="23"/>
  <c r="AH31" i="23"/>
  <c r="AG31" i="23"/>
  <c r="AF31" i="23"/>
  <c r="AE31" i="23"/>
  <c r="AD31" i="23"/>
  <c r="AC31" i="23"/>
  <c r="AB31" i="23"/>
  <c r="AA31" i="23"/>
  <c r="Z31" i="23"/>
  <c r="AM30" i="23"/>
  <c r="AL30" i="23"/>
  <c r="AK30" i="23"/>
  <c r="AJ30" i="23"/>
  <c r="AI30" i="23"/>
  <c r="AH30" i="23"/>
  <c r="AG30" i="23"/>
  <c r="AF30" i="23"/>
  <c r="AE30" i="23"/>
  <c r="AD30" i="23"/>
  <c r="AC30" i="23"/>
  <c r="AB30" i="23"/>
  <c r="AA30" i="23"/>
  <c r="Z30" i="23"/>
  <c r="AM27" i="23"/>
  <c r="AL27" i="23"/>
  <c r="AK27" i="23"/>
  <c r="AJ27" i="23"/>
  <c r="AI27" i="23"/>
  <c r="AH27" i="23"/>
  <c r="AG27" i="23"/>
  <c r="AC27" i="23"/>
  <c r="Y27" i="23"/>
  <c r="AM26" i="23"/>
  <c r="AL26" i="23"/>
  <c r="AK26" i="23"/>
  <c r="AJ26" i="23"/>
  <c r="AI26" i="23"/>
  <c r="AH26" i="23"/>
  <c r="AG26" i="23"/>
  <c r="AF26" i="23"/>
  <c r="AE26" i="23"/>
  <c r="AD26" i="23"/>
  <c r="AC26" i="23"/>
  <c r="Y26" i="23"/>
  <c r="AM25" i="23"/>
  <c r="AK25" i="23"/>
  <c r="AJ25" i="23"/>
  <c r="AI25" i="23"/>
  <c r="AH25" i="23"/>
  <c r="AG25" i="23"/>
  <c r="AC25" i="23"/>
  <c r="Y25" i="23"/>
  <c r="AM24" i="23"/>
  <c r="AK24" i="23"/>
  <c r="AJ24" i="23"/>
  <c r="AI24" i="23"/>
  <c r="AH24" i="23"/>
  <c r="AG24" i="23"/>
  <c r="AF24" i="23"/>
  <c r="AE24" i="23"/>
  <c r="AD24" i="23"/>
  <c r="AC24" i="23"/>
  <c r="Y24" i="23"/>
  <c r="AM23" i="23"/>
  <c r="AL23" i="23"/>
  <c r="AK23" i="23"/>
  <c r="AJ23" i="23"/>
  <c r="AI23" i="23"/>
  <c r="AH23" i="23"/>
  <c r="AG23" i="23"/>
  <c r="AC23" i="23"/>
  <c r="Y23" i="23"/>
  <c r="AM22" i="23"/>
  <c r="AL22" i="23"/>
  <c r="AK22" i="23"/>
  <c r="AJ22" i="23"/>
  <c r="AI22" i="23"/>
  <c r="AH22" i="23"/>
  <c r="AG22" i="23"/>
  <c r="AF22" i="23"/>
  <c r="AE22" i="23"/>
  <c r="AD22" i="23"/>
  <c r="AC22" i="23"/>
  <c r="Y22" i="23"/>
  <c r="AM21" i="23"/>
  <c r="AL21" i="23"/>
  <c r="AK21" i="23"/>
  <c r="AJ21" i="23"/>
  <c r="AI21" i="23"/>
  <c r="AH21" i="23"/>
  <c r="AG21" i="23"/>
  <c r="AC21" i="23"/>
  <c r="AB21" i="23"/>
  <c r="AA21" i="23"/>
  <c r="Z21" i="23"/>
  <c r="AM20" i="23"/>
  <c r="AL20" i="23"/>
  <c r="AK20" i="23"/>
  <c r="AJ20" i="23"/>
  <c r="AI20" i="23"/>
  <c r="AH20" i="23"/>
  <c r="AG20" i="23"/>
  <c r="AF20" i="23"/>
  <c r="AE20" i="23"/>
  <c r="AD20" i="23"/>
  <c r="AC20" i="23"/>
  <c r="AB20" i="23"/>
  <c r="AA20" i="23"/>
  <c r="Z20" i="23"/>
  <c r="Y20" i="23"/>
  <c r="X20" i="23"/>
  <c r="AM19" i="23"/>
  <c r="AL19" i="23"/>
  <c r="AK19" i="23"/>
  <c r="AJ19" i="23"/>
  <c r="AI19" i="23"/>
  <c r="AH19" i="23"/>
  <c r="AG19" i="23"/>
  <c r="AF19" i="23"/>
  <c r="AE19" i="23"/>
  <c r="AD19" i="23"/>
  <c r="AB19" i="23"/>
  <c r="AA19" i="23"/>
  <c r="Z19" i="23"/>
  <c r="AM18" i="23"/>
  <c r="AL18" i="23"/>
  <c r="AK18" i="23"/>
  <c r="AJ18" i="23"/>
  <c r="AI18" i="23"/>
  <c r="AH18" i="23"/>
  <c r="AG18" i="23"/>
  <c r="AF18" i="23"/>
  <c r="AE18" i="23"/>
  <c r="AD18" i="23"/>
  <c r="AC18" i="23"/>
  <c r="AB18" i="23"/>
  <c r="AA18" i="23"/>
  <c r="Z18" i="23"/>
  <c r="AM129" i="22"/>
  <c r="AL129" i="22"/>
  <c r="AK129" i="22"/>
  <c r="AJ129" i="22"/>
  <c r="AI129" i="22"/>
  <c r="AH129" i="22"/>
  <c r="AG129" i="22"/>
  <c r="AF129" i="22"/>
  <c r="AE129" i="22"/>
  <c r="AD129" i="22"/>
  <c r="AC129" i="22"/>
  <c r="AB129" i="22"/>
  <c r="AA129" i="22"/>
  <c r="Z129" i="22"/>
  <c r="Y129" i="22"/>
  <c r="X129" i="22"/>
  <c r="AM128" i="22"/>
  <c r="AL128" i="22"/>
  <c r="AI128" i="22"/>
  <c r="AH128" i="22"/>
  <c r="AG128" i="22"/>
  <c r="AF128" i="22"/>
  <c r="AE128" i="22"/>
  <c r="AD128" i="22"/>
  <c r="AC128" i="22"/>
  <c r="AB128" i="22"/>
  <c r="AA128" i="22"/>
  <c r="Z128" i="22"/>
  <c r="AM127" i="22"/>
  <c r="AL127" i="22"/>
  <c r="AI127" i="22"/>
  <c r="AH127" i="22"/>
  <c r="AG127" i="22"/>
  <c r="AF127" i="22"/>
  <c r="AE127" i="22"/>
  <c r="AD127" i="22"/>
  <c r="AC127" i="22"/>
  <c r="AB127" i="22"/>
  <c r="AA127" i="22"/>
  <c r="Z127" i="22"/>
  <c r="AM126" i="22"/>
  <c r="AL126" i="22"/>
  <c r="AI126" i="22"/>
  <c r="AH126" i="22"/>
  <c r="AG126" i="22"/>
  <c r="AF126" i="22"/>
  <c r="AE126" i="22"/>
  <c r="AD126" i="22"/>
  <c r="AC126" i="22"/>
  <c r="AB126" i="22"/>
  <c r="AA126" i="22"/>
  <c r="Z126" i="22"/>
  <c r="AM125" i="22"/>
  <c r="AL125" i="22"/>
  <c r="AI125" i="22"/>
  <c r="AH125" i="22"/>
  <c r="AG125" i="22"/>
  <c r="AF125" i="22"/>
  <c r="AE125" i="22"/>
  <c r="AD125" i="22"/>
  <c r="AC125" i="22"/>
  <c r="AB125" i="22"/>
  <c r="AA125" i="22"/>
  <c r="Z125" i="22"/>
  <c r="AM124" i="22"/>
  <c r="AL124" i="22"/>
  <c r="AI124" i="22"/>
  <c r="AH124" i="22"/>
  <c r="AG124" i="22"/>
  <c r="AF124" i="22"/>
  <c r="AE124" i="22"/>
  <c r="AD124" i="22"/>
  <c r="AC124" i="22"/>
  <c r="AB124" i="22"/>
  <c r="AA124" i="22"/>
  <c r="Z124" i="22"/>
  <c r="AM123" i="22"/>
  <c r="AL123" i="22"/>
  <c r="AI123" i="22"/>
  <c r="AH123" i="22"/>
  <c r="AG123" i="22"/>
  <c r="AF123" i="22"/>
  <c r="AE123" i="22"/>
  <c r="AD123" i="22"/>
  <c r="AC123" i="22"/>
  <c r="AB123" i="22"/>
  <c r="AA123" i="22"/>
  <c r="Z123" i="22"/>
  <c r="AM122" i="22"/>
  <c r="AL122" i="22"/>
  <c r="AI122" i="22"/>
  <c r="AH122" i="22"/>
  <c r="AG122" i="22"/>
  <c r="AF122" i="22"/>
  <c r="AE122" i="22"/>
  <c r="AD122" i="22"/>
  <c r="AC122" i="22"/>
  <c r="AB122" i="22"/>
  <c r="AA122" i="22"/>
  <c r="Z122" i="22"/>
  <c r="AM121" i="22"/>
  <c r="AL121" i="22"/>
  <c r="AI121" i="22"/>
  <c r="AH121" i="22"/>
  <c r="AG121" i="22"/>
  <c r="AF121" i="22"/>
  <c r="AE121" i="22"/>
  <c r="AD121" i="22"/>
  <c r="AC121" i="22"/>
  <c r="AB121" i="22"/>
  <c r="AA121" i="22"/>
  <c r="Z121" i="22"/>
  <c r="AM120" i="22"/>
  <c r="AL120" i="22"/>
  <c r="AK120" i="22"/>
  <c r="AJ120" i="22"/>
  <c r="AI120" i="22"/>
  <c r="AH120" i="22"/>
  <c r="AG120" i="22"/>
  <c r="AF120" i="22"/>
  <c r="AE120" i="22"/>
  <c r="AD120" i="22"/>
  <c r="AC120" i="22"/>
  <c r="AB120" i="22"/>
  <c r="AA120" i="22"/>
  <c r="Z120" i="22"/>
  <c r="Y120" i="22"/>
  <c r="X120" i="22"/>
  <c r="AM119" i="22"/>
  <c r="AL119" i="22"/>
  <c r="AI119" i="22"/>
  <c r="AH119" i="22"/>
  <c r="AG119" i="22"/>
  <c r="AF119" i="22"/>
  <c r="AE119" i="22"/>
  <c r="AD119" i="22"/>
  <c r="AC119" i="22"/>
  <c r="AB119" i="22"/>
  <c r="AA119" i="22"/>
  <c r="Z119" i="22"/>
  <c r="AM118" i="22"/>
  <c r="AL118" i="22"/>
  <c r="AI118" i="22"/>
  <c r="AH118" i="22"/>
  <c r="AG118" i="22"/>
  <c r="AF118" i="22"/>
  <c r="AE118" i="22"/>
  <c r="AD118" i="22"/>
  <c r="AC118" i="22"/>
  <c r="AB118" i="22"/>
  <c r="AA118" i="22"/>
  <c r="Z118" i="22"/>
  <c r="AM117" i="22"/>
  <c r="AL117" i="22"/>
  <c r="AI117" i="22"/>
  <c r="AH117" i="22"/>
  <c r="AG117" i="22"/>
  <c r="AF117" i="22"/>
  <c r="AE117" i="22"/>
  <c r="AD117" i="22"/>
  <c r="AC117" i="22"/>
  <c r="AB117" i="22"/>
  <c r="AA117" i="22"/>
  <c r="Z117" i="22"/>
  <c r="AM116" i="22"/>
  <c r="AL116" i="22"/>
  <c r="AI116" i="22"/>
  <c r="AH116" i="22"/>
  <c r="AG116" i="22"/>
  <c r="AF116" i="22"/>
  <c r="AE116" i="22"/>
  <c r="AD116" i="22"/>
  <c r="AC116" i="22"/>
  <c r="AB116" i="22"/>
  <c r="AA116" i="22"/>
  <c r="Z116" i="22"/>
  <c r="AM115" i="22"/>
  <c r="AL115" i="22"/>
  <c r="AK115" i="22"/>
  <c r="AJ115" i="22"/>
  <c r="AI115" i="22"/>
  <c r="AH115" i="22"/>
  <c r="AG115" i="22"/>
  <c r="AF115" i="22"/>
  <c r="AE115" i="22"/>
  <c r="AD115" i="22"/>
  <c r="AC115" i="22"/>
  <c r="AB115" i="22"/>
  <c r="AA115" i="22"/>
  <c r="Z115" i="22"/>
  <c r="Y115" i="22"/>
  <c r="X115" i="22"/>
  <c r="AM114" i="22"/>
  <c r="AL114" i="22"/>
  <c r="AI114" i="22"/>
  <c r="AH114" i="22"/>
  <c r="AG114" i="22"/>
  <c r="AF114" i="22"/>
  <c r="AE114" i="22"/>
  <c r="AD114" i="22"/>
  <c r="AC114" i="22"/>
  <c r="AB114" i="22"/>
  <c r="AA114" i="22"/>
  <c r="Z114" i="22"/>
  <c r="AM113" i="22"/>
  <c r="AL113" i="22"/>
  <c r="AI113" i="22"/>
  <c r="AH113" i="22"/>
  <c r="AG113" i="22"/>
  <c r="AF113" i="22"/>
  <c r="AE113" i="22"/>
  <c r="AD113" i="22"/>
  <c r="AC113" i="22"/>
  <c r="AB113" i="22"/>
  <c r="AA113" i="22"/>
  <c r="Z113" i="22"/>
  <c r="AM112" i="22"/>
  <c r="AL112" i="22"/>
  <c r="AI112" i="22"/>
  <c r="AH112" i="22"/>
  <c r="AG112" i="22"/>
  <c r="AF112" i="22"/>
  <c r="AE112" i="22"/>
  <c r="AD112" i="22"/>
  <c r="AC112" i="22"/>
  <c r="AB112" i="22"/>
  <c r="AA112" i="22"/>
  <c r="Z112" i="22"/>
  <c r="AM111" i="22"/>
  <c r="AL111" i="22"/>
  <c r="AI111" i="22"/>
  <c r="AH111" i="22"/>
  <c r="AG111" i="22"/>
  <c r="AF111" i="22"/>
  <c r="AE111" i="22"/>
  <c r="AD111" i="22"/>
  <c r="AC111" i="22"/>
  <c r="AB111" i="22"/>
  <c r="AA111" i="22"/>
  <c r="Z111" i="22"/>
  <c r="AM110" i="22"/>
  <c r="AL110" i="22"/>
  <c r="AI110" i="22"/>
  <c r="AH110" i="22"/>
  <c r="AG110" i="22"/>
  <c r="AF110" i="22"/>
  <c r="AE110" i="22"/>
  <c r="AD110" i="22"/>
  <c r="AC110" i="22"/>
  <c r="AB110" i="22"/>
  <c r="AA110" i="22"/>
  <c r="Z110" i="22"/>
  <c r="AM109" i="22"/>
  <c r="AL109" i="22"/>
  <c r="AI109" i="22"/>
  <c r="AH109" i="22"/>
  <c r="AG109" i="22"/>
  <c r="AF109" i="22"/>
  <c r="AE109" i="22"/>
  <c r="AD109" i="22"/>
  <c r="AC109" i="22"/>
  <c r="AB109" i="22"/>
  <c r="AA109" i="22"/>
  <c r="Z109" i="22"/>
  <c r="AM108" i="22"/>
  <c r="AL108" i="22"/>
  <c r="AI108" i="22"/>
  <c r="AH108" i="22"/>
  <c r="AG108" i="22"/>
  <c r="AF108" i="22"/>
  <c r="AE108" i="22"/>
  <c r="AD108" i="22"/>
  <c r="AC108" i="22"/>
  <c r="AB108" i="22"/>
  <c r="AA108" i="22"/>
  <c r="Z108" i="22"/>
  <c r="AM107" i="22"/>
  <c r="AL107" i="22"/>
  <c r="AI107" i="22"/>
  <c r="AH107" i="22"/>
  <c r="AG107" i="22"/>
  <c r="AF107" i="22"/>
  <c r="AE107" i="22"/>
  <c r="AD107" i="22"/>
  <c r="AC107" i="22"/>
  <c r="AB107" i="22"/>
  <c r="AA107" i="22"/>
  <c r="Z107" i="22"/>
  <c r="AM106" i="22"/>
  <c r="AL106" i="22"/>
  <c r="AI106" i="22"/>
  <c r="AH106" i="22"/>
  <c r="AG106" i="22"/>
  <c r="AF106" i="22"/>
  <c r="AE106" i="22"/>
  <c r="AD106" i="22"/>
  <c r="AC106" i="22"/>
  <c r="AB106" i="22"/>
  <c r="AA106" i="22"/>
  <c r="Z106" i="22"/>
  <c r="AM105" i="22"/>
  <c r="AL105" i="22"/>
  <c r="AI105" i="22"/>
  <c r="AH105" i="22"/>
  <c r="AG105" i="22"/>
  <c r="AF105" i="22"/>
  <c r="AE105" i="22"/>
  <c r="AD105" i="22"/>
  <c r="AC105" i="22"/>
  <c r="AB105" i="22"/>
  <c r="AA105" i="22"/>
  <c r="Z105" i="22"/>
  <c r="AM104" i="22"/>
  <c r="AL104" i="22"/>
  <c r="AK104" i="22"/>
  <c r="AJ104" i="22"/>
  <c r="AI104" i="22"/>
  <c r="AH104" i="22"/>
  <c r="AG104" i="22"/>
  <c r="AF104" i="22"/>
  <c r="AE104" i="22"/>
  <c r="AD104" i="22"/>
  <c r="AC104" i="22"/>
  <c r="AB104" i="22"/>
  <c r="AA104" i="22"/>
  <c r="Z104" i="22"/>
  <c r="Y104" i="22"/>
  <c r="X104" i="22"/>
  <c r="AM103" i="22"/>
  <c r="AL103" i="22"/>
  <c r="AI103" i="22"/>
  <c r="AH103" i="22"/>
  <c r="AG103" i="22"/>
  <c r="AF103" i="22"/>
  <c r="AE103" i="22"/>
  <c r="AD103" i="22"/>
  <c r="AC103" i="22"/>
  <c r="AB103" i="22"/>
  <c r="AA103" i="22"/>
  <c r="Z103" i="22"/>
  <c r="AM102" i="22"/>
  <c r="AL102" i="22"/>
  <c r="AI102" i="22"/>
  <c r="AH102" i="22"/>
  <c r="AG102" i="22"/>
  <c r="AF102" i="22"/>
  <c r="AE102" i="22"/>
  <c r="AD102" i="22"/>
  <c r="AC102" i="22"/>
  <c r="AB102" i="22"/>
  <c r="AA102" i="22"/>
  <c r="Z102" i="22"/>
  <c r="AM101" i="22"/>
  <c r="AL101" i="22"/>
  <c r="AI101" i="22"/>
  <c r="AH101" i="22"/>
  <c r="AG101" i="22"/>
  <c r="AF101" i="22"/>
  <c r="AE101" i="22"/>
  <c r="AD101" i="22"/>
  <c r="AC101" i="22"/>
  <c r="AB101" i="22"/>
  <c r="AA101" i="22"/>
  <c r="Z101" i="22"/>
  <c r="AM100" i="22"/>
  <c r="AL100" i="22"/>
  <c r="AI100" i="22"/>
  <c r="AH100" i="22"/>
  <c r="AG100" i="22"/>
  <c r="AF100" i="22"/>
  <c r="AE100" i="22"/>
  <c r="AD100" i="22"/>
  <c r="AC100" i="22"/>
  <c r="AB100" i="22"/>
  <c r="AA100" i="22"/>
  <c r="Z100" i="22"/>
  <c r="AM99" i="22"/>
  <c r="AL99" i="22"/>
  <c r="AI99" i="22"/>
  <c r="AH99" i="22"/>
  <c r="AG99" i="22"/>
  <c r="AF99" i="22"/>
  <c r="AE99" i="22"/>
  <c r="AD99" i="22"/>
  <c r="AC99" i="22"/>
  <c r="AB99" i="22"/>
  <c r="AA99" i="22"/>
  <c r="Z99" i="22"/>
  <c r="AM98" i="22"/>
  <c r="AL98" i="22"/>
  <c r="AI98" i="22"/>
  <c r="AH98" i="22"/>
  <c r="AG98" i="22"/>
  <c r="AF98" i="22"/>
  <c r="AE98" i="22"/>
  <c r="AD98" i="22"/>
  <c r="AC98" i="22"/>
  <c r="AB98" i="22"/>
  <c r="AA98" i="22"/>
  <c r="Z98" i="22"/>
  <c r="AM97" i="22"/>
  <c r="AL97" i="22"/>
  <c r="AI97" i="22"/>
  <c r="AH97" i="22"/>
  <c r="AG97" i="22"/>
  <c r="AF97" i="22"/>
  <c r="AE97" i="22"/>
  <c r="AD97" i="22"/>
  <c r="AC97" i="22"/>
  <c r="AB97" i="22"/>
  <c r="AA97" i="22"/>
  <c r="Z97" i="22"/>
  <c r="AM96" i="22"/>
  <c r="AL96" i="22"/>
  <c r="AI96" i="22"/>
  <c r="AH96" i="22"/>
  <c r="AG96" i="22"/>
  <c r="AF96" i="22"/>
  <c r="AE96" i="22"/>
  <c r="AD96" i="22"/>
  <c r="AC96" i="22"/>
  <c r="AB96" i="22"/>
  <c r="AA96" i="22"/>
  <c r="Z96" i="22"/>
  <c r="AM87" i="22"/>
  <c r="AL87" i="22"/>
  <c r="AK87" i="22"/>
  <c r="AJ87" i="22"/>
  <c r="AI87" i="22"/>
  <c r="AH87" i="22"/>
  <c r="AG87" i="22"/>
  <c r="AF87" i="22"/>
  <c r="AE87" i="22"/>
  <c r="AD87" i="22"/>
  <c r="AC87" i="22"/>
  <c r="AB87" i="22"/>
  <c r="AA87" i="22"/>
  <c r="Z87" i="22"/>
  <c r="Y87" i="22"/>
  <c r="X87" i="22"/>
  <c r="AM86" i="22"/>
  <c r="AL86" i="22"/>
  <c r="AI86" i="22"/>
  <c r="AH86" i="22"/>
  <c r="AG86" i="22"/>
  <c r="AF86" i="22"/>
  <c r="AE86" i="22"/>
  <c r="AD86" i="22"/>
  <c r="AC86" i="22"/>
  <c r="AA86" i="22"/>
  <c r="Y86" i="22"/>
  <c r="AM85" i="22"/>
  <c r="AL85" i="22"/>
  <c r="AI85" i="22"/>
  <c r="AH85" i="22"/>
  <c r="AG85" i="22"/>
  <c r="AF85" i="22"/>
  <c r="AE85" i="22"/>
  <c r="AD85" i="22"/>
  <c r="AC85" i="22"/>
  <c r="AA85" i="22"/>
  <c r="Y85" i="22"/>
  <c r="AM84" i="22"/>
  <c r="AL84" i="22"/>
  <c r="AK84" i="22"/>
  <c r="AJ84" i="22"/>
  <c r="AI84" i="22"/>
  <c r="AH84" i="22"/>
  <c r="AG84" i="22"/>
  <c r="AF84" i="22"/>
  <c r="AE84" i="22"/>
  <c r="AD84" i="22"/>
  <c r="AC84" i="22"/>
  <c r="AB84" i="22"/>
  <c r="AA84" i="22"/>
  <c r="Z84" i="22"/>
  <c r="Y84" i="22"/>
  <c r="X84" i="22"/>
  <c r="AM83" i="22"/>
  <c r="AL83" i="22"/>
  <c r="AK83" i="22"/>
  <c r="AJ83" i="22"/>
  <c r="AI83" i="22"/>
  <c r="AH83" i="22"/>
  <c r="AG83" i="22"/>
  <c r="AF83" i="22"/>
  <c r="AE83" i="22"/>
  <c r="AD83" i="22"/>
  <c r="AC83" i="22"/>
  <c r="AB83" i="22"/>
  <c r="AA83" i="22"/>
  <c r="Z83" i="22"/>
  <c r="Y83" i="22"/>
  <c r="X83" i="22"/>
  <c r="AM82" i="22"/>
  <c r="AL82" i="22"/>
  <c r="AK82" i="22"/>
  <c r="AJ82" i="22"/>
  <c r="AI82" i="22"/>
  <c r="AH82" i="22"/>
  <c r="AG82" i="22"/>
  <c r="AF82" i="22"/>
  <c r="AE82" i="22"/>
  <c r="AD82" i="22"/>
  <c r="AC82" i="22"/>
  <c r="AB82" i="22"/>
  <c r="AA82" i="22"/>
  <c r="Z82" i="22"/>
  <c r="Y82" i="22"/>
  <c r="X82" i="22"/>
  <c r="AM81" i="22"/>
  <c r="AL81" i="22"/>
  <c r="AI81" i="22"/>
  <c r="AH81" i="22"/>
  <c r="AG81" i="22"/>
  <c r="AF81" i="22"/>
  <c r="AE81" i="22"/>
  <c r="AD81" i="22"/>
  <c r="AC81" i="22"/>
  <c r="AA81" i="22"/>
  <c r="Y81" i="22"/>
  <c r="AM80" i="22"/>
  <c r="AL80" i="22"/>
  <c r="AK80" i="22"/>
  <c r="AJ80" i="22"/>
  <c r="AI80" i="22"/>
  <c r="AH80" i="22"/>
  <c r="AG80" i="22"/>
  <c r="AF80" i="22"/>
  <c r="AE80" i="22"/>
  <c r="AD80" i="22"/>
  <c r="AC80" i="22"/>
  <c r="AB80" i="22"/>
  <c r="AA80" i="22"/>
  <c r="Z80" i="22"/>
  <c r="Y80" i="22"/>
  <c r="X80" i="22"/>
  <c r="AM79" i="22"/>
  <c r="AL79" i="22"/>
  <c r="AK79" i="22"/>
  <c r="AJ79" i="22"/>
  <c r="AI79" i="22"/>
  <c r="AH79" i="22"/>
  <c r="AG79" i="22"/>
  <c r="AF79" i="22"/>
  <c r="AE79" i="22"/>
  <c r="AD79" i="22"/>
  <c r="AC79" i="22"/>
  <c r="AB79" i="22"/>
  <c r="AA79" i="22"/>
  <c r="Z79" i="22"/>
  <c r="Y79" i="22"/>
  <c r="X79" i="22"/>
  <c r="AM78" i="22"/>
  <c r="AL78" i="22"/>
  <c r="AK78" i="22"/>
  <c r="AJ78" i="22"/>
  <c r="AI78" i="22"/>
  <c r="AH78" i="22"/>
  <c r="AG78" i="22"/>
  <c r="AF78" i="22"/>
  <c r="AE78" i="22"/>
  <c r="AD78" i="22"/>
  <c r="AC78" i="22"/>
  <c r="AB78" i="22"/>
  <c r="AA78" i="22"/>
  <c r="Z78" i="22"/>
  <c r="Y78" i="22"/>
  <c r="X78" i="22"/>
  <c r="AM77" i="22"/>
  <c r="AL77" i="22"/>
  <c r="AI77" i="22"/>
  <c r="AH77" i="22"/>
  <c r="AG77" i="22"/>
  <c r="AF77" i="22"/>
  <c r="AE77" i="22"/>
  <c r="AD77" i="22"/>
  <c r="AC77" i="22"/>
  <c r="AA77" i="22"/>
  <c r="Y77" i="22"/>
  <c r="AM76" i="22"/>
  <c r="AL76" i="22"/>
  <c r="AI76" i="22"/>
  <c r="AH76" i="22"/>
  <c r="AG76" i="22"/>
  <c r="AF76" i="22"/>
  <c r="AE76" i="22"/>
  <c r="AD76" i="22"/>
  <c r="AC76" i="22"/>
  <c r="AA76" i="22"/>
  <c r="Y76" i="22"/>
  <c r="AM75" i="22"/>
  <c r="AL75" i="22"/>
  <c r="AK75" i="22"/>
  <c r="AJ75" i="22"/>
  <c r="AG75" i="22"/>
  <c r="AF75" i="22"/>
  <c r="AE75" i="22"/>
  <c r="AD75" i="22"/>
  <c r="AC75" i="22"/>
  <c r="AB75" i="22"/>
  <c r="AA75" i="22"/>
  <c r="Z75" i="22"/>
  <c r="AM74" i="22"/>
  <c r="AL74" i="22"/>
  <c r="AK74" i="22"/>
  <c r="AJ74" i="22"/>
  <c r="AI74" i="22"/>
  <c r="AH74" i="22"/>
  <c r="AG74" i="22"/>
  <c r="AF74" i="22"/>
  <c r="AE74" i="22"/>
  <c r="AD74" i="22"/>
  <c r="AC74" i="22"/>
  <c r="AB74" i="22"/>
  <c r="AA74" i="22"/>
  <c r="Z74" i="22"/>
  <c r="Y74" i="22"/>
  <c r="X74" i="22"/>
  <c r="AM73" i="22"/>
  <c r="AL73" i="22"/>
  <c r="AJ73" i="22"/>
  <c r="AI73" i="22"/>
  <c r="AH73" i="22"/>
  <c r="AF73" i="22"/>
  <c r="AE73" i="22"/>
  <c r="AD73" i="22"/>
  <c r="AC73" i="22"/>
  <c r="AA73" i="22"/>
  <c r="Y73" i="22"/>
  <c r="AM72" i="22"/>
  <c r="AL72" i="22"/>
  <c r="AI72" i="22"/>
  <c r="AH72" i="22"/>
  <c r="AG72" i="22"/>
  <c r="AF72" i="22"/>
  <c r="AE72" i="22"/>
  <c r="AD72" i="22"/>
  <c r="AC72" i="22"/>
  <c r="AA72" i="22"/>
  <c r="Y72" i="22"/>
  <c r="AM69" i="22"/>
  <c r="AL69" i="22"/>
  <c r="AJ69" i="22"/>
  <c r="AI69" i="22"/>
  <c r="AH69" i="22"/>
  <c r="AF69" i="22"/>
  <c r="AE69" i="22"/>
  <c r="AD69" i="22"/>
  <c r="AC69" i="22"/>
  <c r="AA69" i="22"/>
  <c r="Y69" i="22"/>
  <c r="AM68" i="22"/>
  <c r="AL68" i="22"/>
  <c r="AI68" i="22"/>
  <c r="AH68" i="22"/>
  <c r="AG68" i="22"/>
  <c r="AF68" i="22"/>
  <c r="AE68" i="22"/>
  <c r="AD68" i="22"/>
  <c r="AC68" i="22"/>
  <c r="AA68" i="22"/>
  <c r="Y68" i="22"/>
  <c r="AM67" i="22"/>
  <c r="BD67" i="22" s="1"/>
  <c r="BL67" i="22" s="1"/>
  <c r="AL67" i="22"/>
  <c r="BC67" i="22" s="1"/>
  <c r="AI67" i="22"/>
  <c r="AZ67" i="22" s="1"/>
  <c r="AH67" i="22"/>
  <c r="AY67" i="22" s="1"/>
  <c r="AG67" i="22"/>
  <c r="AX67" i="22" s="1"/>
  <c r="AF67" i="22"/>
  <c r="AW67" i="22" s="1"/>
  <c r="AE67" i="22"/>
  <c r="AV67" i="22" s="1"/>
  <c r="AD67" i="22"/>
  <c r="AU67" i="22" s="1"/>
  <c r="AC67" i="22"/>
  <c r="AT67" i="22" s="1"/>
  <c r="AA67" i="22"/>
  <c r="AR67" i="22" s="1"/>
  <c r="Y67" i="22"/>
  <c r="AP67" i="22" s="1"/>
  <c r="AM66" i="22"/>
  <c r="BD66" i="22" s="1"/>
  <c r="AL66" i="22"/>
  <c r="BC66" i="22" s="1"/>
  <c r="AI66" i="22"/>
  <c r="AZ66" i="22" s="1"/>
  <c r="AH66" i="22"/>
  <c r="AY66" i="22" s="1"/>
  <c r="AG66" i="22"/>
  <c r="AX66" i="22" s="1"/>
  <c r="AF66" i="22"/>
  <c r="AW66" i="22" s="1"/>
  <c r="AE66" i="22"/>
  <c r="AV66" i="22" s="1"/>
  <c r="AD66" i="22"/>
  <c r="AU66" i="22" s="1"/>
  <c r="AC66" i="22"/>
  <c r="AT66" i="22" s="1"/>
  <c r="AA66" i="22"/>
  <c r="AR66" i="22" s="1"/>
  <c r="Y66" i="22"/>
  <c r="AP66" i="22" s="1"/>
  <c r="AM65" i="22"/>
  <c r="BD65" i="22" s="1"/>
  <c r="BL65" i="22" s="1"/>
  <c r="AL65" i="22"/>
  <c r="BC65" i="22" s="1"/>
  <c r="AK65" i="22"/>
  <c r="AJ65" i="22"/>
  <c r="AI65" i="22"/>
  <c r="AZ65" i="22" s="1"/>
  <c r="AH65" i="22"/>
  <c r="AY65" i="22" s="1"/>
  <c r="AG65" i="22"/>
  <c r="AX65" i="22" s="1"/>
  <c r="AF65" i="22"/>
  <c r="AW65" i="22" s="1"/>
  <c r="AE65" i="22"/>
  <c r="AV65" i="22" s="1"/>
  <c r="AD65" i="22"/>
  <c r="AU65" i="22" s="1"/>
  <c r="AC65" i="22"/>
  <c r="AT65" i="22" s="1"/>
  <c r="AB65" i="22"/>
  <c r="AA65" i="22"/>
  <c r="AR65" i="22" s="1"/>
  <c r="Z65" i="22"/>
  <c r="Y65" i="22"/>
  <c r="AP65" i="22" s="1"/>
  <c r="X65" i="22"/>
  <c r="BE65" i="22" s="1"/>
  <c r="AM64" i="22"/>
  <c r="BD64" i="22" s="1"/>
  <c r="BL64" i="22" s="1"/>
  <c r="AL64" i="22"/>
  <c r="BC64" i="22" s="1"/>
  <c r="AI64" i="22"/>
  <c r="AZ64" i="22" s="1"/>
  <c r="AH64" i="22"/>
  <c r="AY64" i="22" s="1"/>
  <c r="AG64" i="22"/>
  <c r="AX64" i="22" s="1"/>
  <c r="AF64" i="22"/>
  <c r="AW64" i="22" s="1"/>
  <c r="AE64" i="22"/>
  <c r="AV64" i="22" s="1"/>
  <c r="AD64" i="22"/>
  <c r="AU64" i="22" s="1"/>
  <c r="AC64" i="22"/>
  <c r="AT64" i="22" s="1"/>
  <c r="BJ64" i="22" s="1"/>
  <c r="AA64" i="22"/>
  <c r="AR64" i="22" s="1"/>
  <c r="Y64" i="22"/>
  <c r="AP64" i="22" s="1"/>
  <c r="AM63" i="22"/>
  <c r="BD63" i="22" s="1"/>
  <c r="BL63" i="22" s="1"/>
  <c r="AL63" i="22"/>
  <c r="BC63" i="22" s="1"/>
  <c r="AI63" i="22"/>
  <c r="AZ63" i="22" s="1"/>
  <c r="AH63" i="22"/>
  <c r="AY63" i="22" s="1"/>
  <c r="AG63" i="22"/>
  <c r="AX63" i="22" s="1"/>
  <c r="AF63" i="22"/>
  <c r="AW63" i="22" s="1"/>
  <c r="AE63" i="22"/>
  <c r="AV63" i="22" s="1"/>
  <c r="AD63" i="22"/>
  <c r="AU63" i="22" s="1"/>
  <c r="AC63" i="22"/>
  <c r="AT63" i="22" s="1"/>
  <c r="AA63" i="22"/>
  <c r="AR63" i="22" s="1"/>
  <c r="Y63" i="22"/>
  <c r="AP63" i="22" s="1"/>
  <c r="AM62" i="22"/>
  <c r="BD62" i="22" s="1"/>
  <c r="AL62" i="22"/>
  <c r="BC62" i="22" s="1"/>
  <c r="AI62" i="22"/>
  <c r="AZ62" i="22" s="1"/>
  <c r="AH62" i="22"/>
  <c r="AY62" i="22" s="1"/>
  <c r="AG62" i="22"/>
  <c r="AX62" i="22" s="1"/>
  <c r="AF62" i="22"/>
  <c r="AW62" i="22" s="1"/>
  <c r="AE62" i="22"/>
  <c r="AV62" i="22" s="1"/>
  <c r="AD62" i="22"/>
  <c r="AU62" i="22" s="1"/>
  <c r="AC62" i="22"/>
  <c r="AT62" i="22" s="1"/>
  <c r="AA62" i="22"/>
  <c r="AR62" i="22" s="1"/>
  <c r="Y62" i="22"/>
  <c r="AP62" i="22" s="1"/>
  <c r="AM61" i="22"/>
  <c r="BD61" i="22" s="1"/>
  <c r="AL61" i="22"/>
  <c r="BC61" i="22" s="1"/>
  <c r="AI61" i="22"/>
  <c r="AZ61" i="22" s="1"/>
  <c r="AH61" i="22"/>
  <c r="AY61" i="22" s="1"/>
  <c r="AG61" i="22"/>
  <c r="AX61" i="22" s="1"/>
  <c r="AF61" i="22"/>
  <c r="AW61" i="22" s="1"/>
  <c r="AE61" i="22"/>
  <c r="AV61" i="22" s="1"/>
  <c r="AD61" i="22"/>
  <c r="AU61" i="22" s="1"/>
  <c r="AC61" i="22"/>
  <c r="AT61" i="22" s="1"/>
  <c r="AA61" i="22"/>
  <c r="AR61" i="22" s="1"/>
  <c r="Y61" i="22"/>
  <c r="AP61" i="22" s="1"/>
  <c r="AM60" i="22"/>
  <c r="BD60" i="22" s="1"/>
  <c r="BL60" i="22" s="1"/>
  <c r="AL60" i="22"/>
  <c r="BC60" i="22" s="1"/>
  <c r="AI60" i="22"/>
  <c r="AZ60" i="22" s="1"/>
  <c r="AH60" i="22"/>
  <c r="AY60" i="22" s="1"/>
  <c r="AG60" i="22"/>
  <c r="AX60" i="22" s="1"/>
  <c r="AF60" i="22"/>
  <c r="AW60" i="22" s="1"/>
  <c r="AE60" i="22"/>
  <c r="AV60" i="22" s="1"/>
  <c r="BJ60" i="22" s="1"/>
  <c r="AD60" i="22"/>
  <c r="AU60" i="22" s="1"/>
  <c r="AC60" i="22"/>
  <c r="AT60" i="22" s="1"/>
  <c r="AA60" i="22"/>
  <c r="AR60" i="22" s="1"/>
  <c r="Y60" i="22"/>
  <c r="AP60" i="22" s="1"/>
  <c r="AM59" i="22"/>
  <c r="BD59" i="22" s="1"/>
  <c r="BL59" i="22" s="1"/>
  <c r="AL59" i="22"/>
  <c r="BC59" i="22" s="1"/>
  <c r="AI59" i="22"/>
  <c r="AZ59" i="22" s="1"/>
  <c r="AH59" i="22"/>
  <c r="AY59" i="22" s="1"/>
  <c r="AG59" i="22"/>
  <c r="AX59" i="22" s="1"/>
  <c r="AF59" i="22"/>
  <c r="AW59" i="22" s="1"/>
  <c r="AE59" i="22"/>
  <c r="AV59" i="22" s="1"/>
  <c r="AD59" i="22"/>
  <c r="AU59" i="22" s="1"/>
  <c r="AC59" i="22"/>
  <c r="AT59" i="22" s="1"/>
  <c r="AA59" i="22"/>
  <c r="AR59" i="22" s="1"/>
  <c r="Y59" i="22"/>
  <c r="AP59" i="22" s="1"/>
  <c r="AM58" i="22"/>
  <c r="BD58" i="22" s="1"/>
  <c r="BL58" i="22" s="1"/>
  <c r="AL58" i="22"/>
  <c r="BC58" i="22" s="1"/>
  <c r="AI58" i="22"/>
  <c r="AZ58" i="22" s="1"/>
  <c r="AH58" i="22"/>
  <c r="AY58" i="22" s="1"/>
  <c r="AG58" i="22"/>
  <c r="AX58" i="22" s="1"/>
  <c r="AF58" i="22"/>
  <c r="AW58" i="22" s="1"/>
  <c r="AE58" i="22"/>
  <c r="AV58" i="22" s="1"/>
  <c r="AD58" i="22"/>
  <c r="AU58" i="22" s="1"/>
  <c r="AC58" i="22"/>
  <c r="AT58" i="22" s="1"/>
  <c r="AA58" i="22"/>
  <c r="AR58" i="22" s="1"/>
  <c r="Y58" i="22"/>
  <c r="AP58" i="22" s="1"/>
  <c r="AM57" i="22"/>
  <c r="BD57" i="22" s="1"/>
  <c r="AL57" i="22"/>
  <c r="BC57" i="22" s="1"/>
  <c r="AK57" i="22"/>
  <c r="AJ57" i="22"/>
  <c r="AI57" i="22"/>
  <c r="AZ57" i="22" s="1"/>
  <c r="AH57" i="22"/>
  <c r="AY57" i="22" s="1"/>
  <c r="AG57" i="22"/>
  <c r="AX57" i="22" s="1"/>
  <c r="AF57" i="22"/>
  <c r="AW57" i="22" s="1"/>
  <c r="AE57" i="22"/>
  <c r="AV57" i="22" s="1"/>
  <c r="AD57" i="22"/>
  <c r="AU57" i="22" s="1"/>
  <c r="AC57" i="22"/>
  <c r="AT57" i="22" s="1"/>
  <c r="AB57" i="22"/>
  <c r="AA57" i="22"/>
  <c r="AR57" i="22" s="1"/>
  <c r="Z57" i="22"/>
  <c r="Y57" i="22"/>
  <c r="AP57" i="22" s="1"/>
  <c r="X57" i="22"/>
  <c r="BE57" i="22" s="1"/>
  <c r="AM56" i="22"/>
  <c r="BD56" i="22" s="1"/>
  <c r="AL56" i="22"/>
  <c r="BC56" i="22" s="1"/>
  <c r="AI56" i="22"/>
  <c r="AZ56" i="22" s="1"/>
  <c r="AH56" i="22"/>
  <c r="AY56" i="22" s="1"/>
  <c r="AG56" i="22"/>
  <c r="AX56" i="22" s="1"/>
  <c r="AF56" i="22"/>
  <c r="AW56" i="22" s="1"/>
  <c r="AE56" i="22"/>
  <c r="AV56" i="22" s="1"/>
  <c r="AD56" i="22"/>
  <c r="AU56" i="22" s="1"/>
  <c r="AC56" i="22"/>
  <c r="AT56" i="22" s="1"/>
  <c r="AA56" i="22"/>
  <c r="AR56" i="22" s="1"/>
  <c r="Y56" i="22"/>
  <c r="AP56" i="22" s="1"/>
  <c r="AM55" i="22"/>
  <c r="BD55" i="22" s="1"/>
  <c r="BL55" i="22" s="1"/>
  <c r="AL55" i="22"/>
  <c r="BC55" i="22" s="1"/>
  <c r="AI55" i="22"/>
  <c r="AZ55" i="22" s="1"/>
  <c r="AH55" i="22"/>
  <c r="AY55" i="22" s="1"/>
  <c r="AG55" i="22"/>
  <c r="AX55" i="22" s="1"/>
  <c r="AF55" i="22"/>
  <c r="AW55" i="22" s="1"/>
  <c r="AE55" i="22"/>
  <c r="AV55" i="22" s="1"/>
  <c r="AD55" i="22"/>
  <c r="AU55" i="22" s="1"/>
  <c r="AC55" i="22"/>
  <c r="AT55" i="22" s="1"/>
  <c r="AA55" i="22"/>
  <c r="AR55" i="22" s="1"/>
  <c r="Y55" i="22"/>
  <c r="AP55" i="22" s="1"/>
  <c r="AM54" i="22"/>
  <c r="AL54" i="22"/>
  <c r="AK54" i="22"/>
  <c r="AJ54" i="22"/>
  <c r="AI54" i="22"/>
  <c r="AH54" i="22"/>
  <c r="AG54" i="22"/>
  <c r="AF54" i="22"/>
  <c r="AE54" i="22"/>
  <c r="AD54" i="22"/>
  <c r="AC54" i="22"/>
  <c r="AB54" i="22"/>
  <c r="AA54" i="22"/>
  <c r="Z54" i="22"/>
  <c r="Y54" i="22"/>
  <c r="X54" i="22"/>
  <c r="AM53" i="22"/>
  <c r="AL53" i="22"/>
  <c r="AI53" i="22"/>
  <c r="AH53" i="22"/>
  <c r="AG53" i="22"/>
  <c r="AF53" i="22"/>
  <c r="AE53" i="22"/>
  <c r="AD53" i="22"/>
  <c r="AC53" i="22"/>
  <c r="AA53" i="22"/>
  <c r="Y53" i="22"/>
  <c r="AM52" i="22"/>
  <c r="AL52" i="22"/>
  <c r="AK52" i="22"/>
  <c r="AJ52" i="22"/>
  <c r="AG52" i="22"/>
  <c r="AF52" i="22"/>
  <c r="AE52" i="22"/>
  <c r="AD52" i="22"/>
  <c r="AC52" i="22"/>
  <c r="AB52" i="22"/>
  <c r="AA52" i="22"/>
  <c r="AM51" i="22"/>
  <c r="AL51" i="22"/>
  <c r="AK51" i="22"/>
  <c r="AJ51" i="22"/>
  <c r="AI51" i="22"/>
  <c r="AH51" i="22"/>
  <c r="AG51" i="22"/>
  <c r="AF51" i="22"/>
  <c r="AE51" i="22"/>
  <c r="AD51" i="22"/>
  <c r="AC51" i="22"/>
  <c r="AB51" i="22"/>
  <c r="AA51" i="22"/>
  <c r="Z51" i="22"/>
  <c r="Y51" i="22"/>
  <c r="X51" i="22"/>
  <c r="AM50" i="22"/>
  <c r="AL50" i="22"/>
  <c r="AJ50" i="22"/>
  <c r="AI50" i="22"/>
  <c r="AH50" i="22"/>
  <c r="AF50" i="22"/>
  <c r="AE50" i="22"/>
  <c r="AD50" i="22"/>
  <c r="AC50" i="22"/>
  <c r="AA50" i="22"/>
  <c r="Y50" i="22"/>
  <c r="AM49" i="22"/>
  <c r="AL49" i="22"/>
  <c r="AI49" i="22"/>
  <c r="AH49" i="22"/>
  <c r="AG49" i="22"/>
  <c r="AF49" i="22"/>
  <c r="AE49" i="22"/>
  <c r="AD49" i="22"/>
  <c r="AC49" i="22"/>
  <c r="AA49" i="22"/>
  <c r="Y49" i="22"/>
  <c r="AM48" i="22"/>
  <c r="AL48" i="22"/>
  <c r="AK48" i="22"/>
  <c r="AJ48" i="22"/>
  <c r="AI48" i="22"/>
  <c r="AH48" i="22"/>
  <c r="AG48" i="22"/>
  <c r="AF48" i="22"/>
  <c r="AE48" i="22"/>
  <c r="AD48" i="22"/>
  <c r="AC48" i="22"/>
  <c r="AB48" i="22"/>
  <c r="AA48" i="22"/>
  <c r="Z48" i="22"/>
  <c r="Y48" i="22"/>
  <c r="X48" i="22"/>
  <c r="AM47" i="22"/>
  <c r="AL47" i="22"/>
  <c r="AK47" i="22"/>
  <c r="AJ47" i="22"/>
  <c r="AI47" i="22"/>
  <c r="AH47" i="22"/>
  <c r="AG47" i="22"/>
  <c r="AF47" i="22"/>
  <c r="AE47" i="22"/>
  <c r="AD47" i="22"/>
  <c r="AA47" i="22"/>
  <c r="Y47" i="22"/>
  <c r="AM46" i="22"/>
  <c r="AL46" i="22"/>
  <c r="AK46" i="22"/>
  <c r="AJ46" i="22"/>
  <c r="AI46" i="22"/>
  <c r="AH46" i="22"/>
  <c r="AG46" i="22"/>
  <c r="AF46" i="22"/>
  <c r="AE46" i="22"/>
  <c r="AD46" i="22"/>
  <c r="AC46" i="22"/>
  <c r="AA46" i="22"/>
  <c r="Y46" i="22"/>
  <c r="AM45" i="22"/>
  <c r="AL45" i="22"/>
  <c r="AK45" i="22"/>
  <c r="AJ45" i="22"/>
  <c r="AI45" i="22"/>
  <c r="AH45" i="22"/>
  <c r="AG45" i="22"/>
  <c r="AF45" i="22"/>
  <c r="AE45" i="22"/>
  <c r="AD45" i="22"/>
  <c r="AB45" i="22"/>
  <c r="AA45" i="22"/>
  <c r="Z45" i="22"/>
  <c r="AM44" i="22"/>
  <c r="AL44" i="22"/>
  <c r="AK44" i="22"/>
  <c r="AJ44" i="22"/>
  <c r="AI44" i="22"/>
  <c r="AH44" i="22"/>
  <c r="AG44" i="22"/>
  <c r="AF44" i="22"/>
  <c r="AE44" i="22"/>
  <c r="AD44" i="22"/>
  <c r="AC44" i="22"/>
  <c r="AB44" i="22"/>
  <c r="AA44" i="22"/>
  <c r="Z44" i="22"/>
  <c r="AM41" i="22"/>
  <c r="AL41" i="22"/>
  <c r="AK41" i="22"/>
  <c r="AJ41" i="22"/>
  <c r="AG41" i="22"/>
  <c r="AF41" i="22"/>
  <c r="AE41" i="22"/>
  <c r="AD41" i="22"/>
  <c r="AC41" i="22"/>
  <c r="AB41" i="22"/>
  <c r="AA41" i="22"/>
  <c r="Z41" i="22"/>
  <c r="AM40" i="22"/>
  <c r="AL40" i="22"/>
  <c r="AJ40" i="22"/>
  <c r="AI40" i="22"/>
  <c r="AH40" i="22"/>
  <c r="AG40" i="22"/>
  <c r="AF40" i="22"/>
  <c r="AE40" i="22"/>
  <c r="AD40" i="22"/>
  <c r="AC40" i="22"/>
  <c r="Y40" i="22"/>
  <c r="AM39" i="22"/>
  <c r="AL39" i="22"/>
  <c r="AK39" i="22"/>
  <c r="AJ39" i="22"/>
  <c r="AI39" i="22"/>
  <c r="AH39" i="22"/>
  <c r="AG39" i="22"/>
  <c r="AF39" i="22"/>
  <c r="AE39" i="22"/>
  <c r="AD39" i="22"/>
  <c r="AC39" i="22"/>
  <c r="Y39" i="22"/>
  <c r="AM38" i="22"/>
  <c r="AL38" i="22"/>
  <c r="AK38" i="22"/>
  <c r="AJ38" i="22"/>
  <c r="AI38" i="22"/>
  <c r="AH38" i="22"/>
  <c r="AG38" i="22"/>
  <c r="AF38" i="22"/>
  <c r="AE38" i="22"/>
  <c r="AD38" i="22"/>
  <c r="AC38" i="22"/>
  <c r="AB38" i="22"/>
  <c r="AA38" i="22"/>
  <c r="Z38" i="22"/>
  <c r="Y38" i="22"/>
  <c r="X38" i="22"/>
  <c r="AM37" i="22"/>
  <c r="AL37" i="22"/>
  <c r="AK37" i="22"/>
  <c r="AJ37" i="22"/>
  <c r="AI37" i="22"/>
  <c r="AH37" i="22"/>
  <c r="AG37" i="22"/>
  <c r="AF37" i="22"/>
  <c r="AE37" i="22"/>
  <c r="AD37" i="22"/>
  <c r="AB37" i="22"/>
  <c r="AA37" i="22"/>
  <c r="Z37" i="22"/>
  <c r="Y37" i="22"/>
  <c r="AM36" i="22"/>
  <c r="AL36" i="22"/>
  <c r="AK36" i="22"/>
  <c r="AJ36" i="22"/>
  <c r="AI36" i="22"/>
  <c r="AH36" i="22"/>
  <c r="AG36" i="22"/>
  <c r="AF36" i="22"/>
  <c r="AE36" i="22"/>
  <c r="AD36" i="22"/>
  <c r="AA36" i="22"/>
  <c r="Y36" i="22"/>
  <c r="AM35" i="22"/>
  <c r="AL35" i="22"/>
  <c r="AK35" i="22"/>
  <c r="AJ35" i="22"/>
  <c r="AI35" i="22"/>
  <c r="AH35" i="22"/>
  <c r="AG35" i="22"/>
  <c r="AF35" i="22"/>
  <c r="AE35" i="22"/>
  <c r="AD35" i="22"/>
  <c r="AC35" i="22"/>
  <c r="AA35" i="22"/>
  <c r="Y35" i="22"/>
  <c r="AM34" i="22"/>
  <c r="AL34" i="22"/>
  <c r="AK34" i="22"/>
  <c r="AJ34" i="22"/>
  <c r="AI34" i="22"/>
  <c r="AH34" i="22"/>
  <c r="AG34" i="22"/>
  <c r="AF34" i="22"/>
  <c r="AE34" i="22"/>
  <c r="AD34" i="22"/>
  <c r="AB34" i="22"/>
  <c r="AA34" i="22"/>
  <c r="Z34" i="22"/>
  <c r="AM33" i="22"/>
  <c r="AL33" i="22"/>
  <c r="AK33" i="22"/>
  <c r="AJ33" i="22"/>
  <c r="AI33" i="22"/>
  <c r="AH33" i="22"/>
  <c r="AG33" i="22"/>
  <c r="AF33" i="22"/>
  <c r="AE33" i="22"/>
  <c r="AD33" i="22"/>
  <c r="AC33" i="22"/>
  <c r="AB33" i="22"/>
  <c r="AA33" i="22"/>
  <c r="Z33" i="22"/>
  <c r="AM32" i="22"/>
  <c r="AL32" i="22"/>
  <c r="AK32" i="22"/>
  <c r="AJ32" i="22"/>
  <c r="AI32" i="22"/>
  <c r="AH32" i="22"/>
  <c r="AG32" i="22"/>
  <c r="AF32" i="22"/>
  <c r="AE32" i="22"/>
  <c r="AD32" i="22"/>
  <c r="AC32" i="22"/>
  <c r="AB32" i="22"/>
  <c r="AA32" i="22"/>
  <c r="Z32" i="22"/>
  <c r="Y32" i="22"/>
  <c r="X32" i="22"/>
  <c r="AM31" i="22"/>
  <c r="AL31" i="22"/>
  <c r="AK31" i="22"/>
  <c r="AJ31" i="22"/>
  <c r="AI31" i="22"/>
  <c r="AH31" i="22"/>
  <c r="AG31" i="22"/>
  <c r="AF31" i="22"/>
  <c r="AE31" i="22"/>
  <c r="AD31" i="22"/>
  <c r="AC31" i="22"/>
  <c r="AB31" i="22"/>
  <c r="AA31" i="22"/>
  <c r="Z31" i="22"/>
  <c r="AM30" i="22"/>
  <c r="AL30" i="22"/>
  <c r="AK30" i="22"/>
  <c r="AJ30" i="22"/>
  <c r="AI30" i="22"/>
  <c r="AH30" i="22"/>
  <c r="AG30" i="22"/>
  <c r="AF30" i="22"/>
  <c r="AE30" i="22"/>
  <c r="AD30" i="22"/>
  <c r="AC30" i="22"/>
  <c r="AB30" i="22"/>
  <c r="AA30" i="22"/>
  <c r="Z30" i="22"/>
  <c r="AM27" i="22"/>
  <c r="AL27" i="22"/>
  <c r="AK27" i="22"/>
  <c r="AJ27" i="22"/>
  <c r="AI27" i="22"/>
  <c r="AH27" i="22"/>
  <c r="AG27" i="22"/>
  <c r="AC27" i="22"/>
  <c r="Y27" i="22"/>
  <c r="AM26" i="22"/>
  <c r="AL26" i="22"/>
  <c r="AK26" i="22"/>
  <c r="AJ26" i="22"/>
  <c r="AI26" i="22"/>
  <c r="AH26" i="22"/>
  <c r="AG26" i="22"/>
  <c r="AF26" i="22"/>
  <c r="AE26" i="22"/>
  <c r="AD26" i="22"/>
  <c r="AC26" i="22"/>
  <c r="Y26" i="22"/>
  <c r="AM25" i="22"/>
  <c r="AK25" i="22"/>
  <c r="AJ25" i="22"/>
  <c r="AI25" i="22"/>
  <c r="AH25" i="22"/>
  <c r="AG25" i="22"/>
  <c r="AC25" i="22"/>
  <c r="Y25" i="22"/>
  <c r="AM24" i="22"/>
  <c r="AK24" i="22"/>
  <c r="AJ24" i="22"/>
  <c r="AI24" i="22"/>
  <c r="AH24" i="22"/>
  <c r="AG24" i="22"/>
  <c r="AF24" i="22"/>
  <c r="AE24" i="22"/>
  <c r="AD24" i="22"/>
  <c r="AC24" i="22"/>
  <c r="Y24" i="22"/>
  <c r="AM23" i="22"/>
  <c r="AL23" i="22"/>
  <c r="AK23" i="22"/>
  <c r="AJ23" i="22"/>
  <c r="AI23" i="22"/>
  <c r="AH23" i="22"/>
  <c r="AG23" i="22"/>
  <c r="AC23" i="22"/>
  <c r="Y23" i="22"/>
  <c r="AM22" i="22"/>
  <c r="AL22" i="22"/>
  <c r="AK22" i="22"/>
  <c r="AJ22" i="22"/>
  <c r="AI22" i="22"/>
  <c r="AH22" i="22"/>
  <c r="AG22" i="22"/>
  <c r="AF22" i="22"/>
  <c r="AE22" i="22"/>
  <c r="AD22" i="22"/>
  <c r="AC22" i="22"/>
  <c r="Y22" i="22"/>
  <c r="AM21" i="22"/>
  <c r="AL21" i="22"/>
  <c r="AK21" i="22"/>
  <c r="AJ21" i="22"/>
  <c r="AI21" i="22"/>
  <c r="AH21" i="22"/>
  <c r="AG21" i="22"/>
  <c r="AC21" i="22"/>
  <c r="AB21" i="22"/>
  <c r="AA21" i="22"/>
  <c r="Z21" i="22"/>
  <c r="AM20" i="22"/>
  <c r="AL20" i="22"/>
  <c r="AK20" i="22"/>
  <c r="AJ20" i="22"/>
  <c r="AI20" i="22"/>
  <c r="AH20" i="22"/>
  <c r="AG20" i="22"/>
  <c r="AF20" i="22"/>
  <c r="AE20" i="22"/>
  <c r="AD20" i="22"/>
  <c r="AC20" i="22"/>
  <c r="AB20" i="22"/>
  <c r="AA20" i="22"/>
  <c r="Z20" i="22"/>
  <c r="Y20" i="22"/>
  <c r="X20" i="22"/>
  <c r="AM19" i="22"/>
  <c r="AL19" i="22"/>
  <c r="AK19" i="22"/>
  <c r="AJ19" i="22"/>
  <c r="AI19" i="22"/>
  <c r="AH19" i="22"/>
  <c r="AG19" i="22"/>
  <c r="AF19" i="22"/>
  <c r="AE19" i="22"/>
  <c r="AD19" i="22"/>
  <c r="AB19" i="22"/>
  <c r="AA19" i="22"/>
  <c r="Z19" i="22"/>
  <c r="AM18" i="22"/>
  <c r="AL18" i="22"/>
  <c r="AK18" i="22"/>
  <c r="AJ18" i="22"/>
  <c r="AI18" i="22"/>
  <c r="AH18" i="22"/>
  <c r="AG18" i="22"/>
  <c r="AF18" i="22"/>
  <c r="AE18" i="22"/>
  <c r="AD18" i="22"/>
  <c r="AC18" i="22"/>
  <c r="AB18" i="22"/>
  <c r="AA18" i="22"/>
  <c r="Z18" i="22"/>
  <c r="V27" i="24"/>
  <c r="U27" i="24"/>
  <c r="T27" i="24"/>
  <c r="S27" i="24"/>
  <c r="R27" i="24"/>
  <c r="Q27" i="24"/>
  <c r="P27" i="24"/>
  <c r="L27" i="24"/>
  <c r="H27" i="24"/>
  <c r="V26" i="24"/>
  <c r="U26" i="24"/>
  <c r="T26" i="24"/>
  <c r="S26" i="24"/>
  <c r="R26" i="24"/>
  <c r="Q26" i="24"/>
  <c r="P26" i="24"/>
  <c r="O26" i="24"/>
  <c r="N26" i="24"/>
  <c r="M26" i="24"/>
  <c r="L26" i="24"/>
  <c r="H26" i="24"/>
  <c r="T129" i="22"/>
  <c r="S129" i="22"/>
  <c r="H129" i="22"/>
  <c r="G129" i="22"/>
  <c r="T128" i="22"/>
  <c r="S128" i="22"/>
  <c r="H128" i="22"/>
  <c r="G128" i="22"/>
  <c r="T127" i="22"/>
  <c r="S127" i="22"/>
  <c r="H127" i="22"/>
  <c r="G127" i="22"/>
  <c r="T126" i="22"/>
  <c r="S126" i="22"/>
  <c r="H126" i="22"/>
  <c r="G126" i="22"/>
  <c r="T125" i="22"/>
  <c r="S125" i="22"/>
  <c r="H125" i="22"/>
  <c r="G125" i="22"/>
  <c r="T124" i="22"/>
  <c r="S124" i="22"/>
  <c r="H124" i="22"/>
  <c r="G124" i="22"/>
  <c r="T123" i="22"/>
  <c r="S123" i="22"/>
  <c r="H123" i="22"/>
  <c r="G123" i="22"/>
  <c r="T122" i="22"/>
  <c r="S122" i="22"/>
  <c r="H122" i="22"/>
  <c r="G122" i="22"/>
  <c r="T121" i="22"/>
  <c r="S121" i="22"/>
  <c r="H121" i="22"/>
  <c r="G121" i="22"/>
  <c r="T119" i="22"/>
  <c r="S119" i="22"/>
  <c r="H119" i="22"/>
  <c r="G119" i="22"/>
  <c r="T118" i="22"/>
  <c r="S118" i="22"/>
  <c r="H118" i="22"/>
  <c r="G118" i="22"/>
  <c r="T117" i="22"/>
  <c r="S117" i="22"/>
  <c r="H117" i="22"/>
  <c r="G117" i="22"/>
  <c r="T116" i="22"/>
  <c r="S116" i="22"/>
  <c r="H116" i="22"/>
  <c r="G116" i="22"/>
  <c r="T114" i="22"/>
  <c r="S114" i="22"/>
  <c r="H114" i="22"/>
  <c r="G114" i="22"/>
  <c r="T113" i="22"/>
  <c r="S113" i="22"/>
  <c r="H113" i="22"/>
  <c r="G113" i="22"/>
  <c r="T112" i="22"/>
  <c r="S112" i="22"/>
  <c r="H112" i="22"/>
  <c r="G112" i="22"/>
  <c r="T111" i="22"/>
  <c r="S111" i="22"/>
  <c r="H111" i="22"/>
  <c r="G111" i="22"/>
  <c r="T110" i="22"/>
  <c r="S110" i="22"/>
  <c r="H110" i="22"/>
  <c r="G110" i="22"/>
  <c r="T109" i="22"/>
  <c r="S109" i="22"/>
  <c r="H109" i="22"/>
  <c r="G109" i="22"/>
  <c r="T108" i="22"/>
  <c r="S108" i="22"/>
  <c r="H108" i="22"/>
  <c r="G108" i="22"/>
  <c r="T107" i="22"/>
  <c r="S107" i="22"/>
  <c r="H107" i="22"/>
  <c r="G107" i="22"/>
  <c r="T106" i="22"/>
  <c r="S106" i="22"/>
  <c r="H106" i="22"/>
  <c r="G106" i="22"/>
  <c r="T105" i="22"/>
  <c r="S105" i="22"/>
  <c r="H105" i="22"/>
  <c r="G105" i="22"/>
  <c r="T103" i="22"/>
  <c r="S103" i="22"/>
  <c r="H103" i="22"/>
  <c r="G103" i="22"/>
  <c r="T102" i="22"/>
  <c r="S102" i="22"/>
  <c r="H102" i="22"/>
  <c r="G102" i="22"/>
  <c r="T100" i="22"/>
  <c r="S100" i="22"/>
  <c r="H100" i="22"/>
  <c r="G100" i="22"/>
  <c r="T99" i="22"/>
  <c r="S99" i="22"/>
  <c r="H99" i="22"/>
  <c r="G99" i="22"/>
  <c r="T98" i="22"/>
  <c r="S98" i="22"/>
  <c r="H98" i="22"/>
  <c r="G98" i="22"/>
  <c r="T97" i="22"/>
  <c r="S97" i="22"/>
  <c r="H97" i="22"/>
  <c r="G97" i="22"/>
  <c r="T96" i="22"/>
  <c r="S96" i="22"/>
  <c r="H96" i="22"/>
  <c r="G96" i="22"/>
  <c r="T87" i="22"/>
  <c r="S87" i="22"/>
  <c r="K87" i="22"/>
  <c r="I87" i="22"/>
  <c r="G87" i="22"/>
  <c r="T86" i="22"/>
  <c r="S86" i="22"/>
  <c r="K86" i="22"/>
  <c r="I86" i="22"/>
  <c r="G86" i="22"/>
  <c r="T85" i="22"/>
  <c r="S85" i="22"/>
  <c r="K85" i="22"/>
  <c r="I85" i="22"/>
  <c r="G85" i="22"/>
  <c r="T84" i="22"/>
  <c r="S84" i="22"/>
  <c r="K84" i="22"/>
  <c r="I84" i="22"/>
  <c r="G84" i="22"/>
  <c r="T83" i="22"/>
  <c r="S83" i="22"/>
  <c r="K83" i="22"/>
  <c r="I83" i="22"/>
  <c r="G83" i="22"/>
  <c r="T82" i="22"/>
  <c r="S82" i="22"/>
  <c r="K82" i="22"/>
  <c r="I82" i="22"/>
  <c r="G82" i="22"/>
  <c r="T81" i="22"/>
  <c r="S81" i="22"/>
  <c r="K81" i="22"/>
  <c r="I81" i="22"/>
  <c r="G81" i="22"/>
  <c r="T80" i="22"/>
  <c r="S80" i="22"/>
  <c r="K80" i="22"/>
  <c r="I80" i="22"/>
  <c r="G80" i="22"/>
  <c r="T79" i="22"/>
  <c r="S79" i="22"/>
  <c r="K79" i="22"/>
  <c r="I79" i="22"/>
  <c r="G79" i="22"/>
  <c r="T77" i="22"/>
  <c r="S77" i="22"/>
  <c r="K77" i="22"/>
  <c r="I77" i="22"/>
  <c r="G77" i="22"/>
  <c r="T76" i="22"/>
  <c r="S76" i="22"/>
  <c r="K76" i="22"/>
  <c r="I76" i="22"/>
  <c r="G76" i="22"/>
  <c r="R75" i="22"/>
  <c r="Q75" i="22"/>
  <c r="H75" i="22"/>
  <c r="G75" i="22"/>
  <c r="T73" i="22"/>
  <c r="P73" i="22"/>
  <c r="K73" i="22"/>
  <c r="I73" i="22"/>
  <c r="G73" i="22"/>
  <c r="T72" i="22"/>
  <c r="T101" i="22" s="1"/>
  <c r="S72" i="22"/>
  <c r="S101" i="22" s="1"/>
  <c r="K72" i="22"/>
  <c r="I72" i="22"/>
  <c r="H101" i="22" s="1"/>
  <c r="G72" i="22"/>
  <c r="G101" i="22" s="1"/>
  <c r="T69" i="22"/>
  <c r="P69" i="22"/>
  <c r="K69" i="22"/>
  <c r="I69" i="22"/>
  <c r="G69" i="22"/>
  <c r="T68" i="22"/>
  <c r="S68" i="22"/>
  <c r="K68" i="22"/>
  <c r="I68" i="22"/>
  <c r="G68" i="22"/>
  <c r="T67" i="22"/>
  <c r="S67" i="22"/>
  <c r="K67" i="22"/>
  <c r="I67" i="22"/>
  <c r="G67" i="22"/>
  <c r="T65" i="22"/>
  <c r="BB65" i="22" s="1"/>
  <c r="S65" i="22"/>
  <c r="BA65" i="22" s="1"/>
  <c r="K65" i="22"/>
  <c r="AS65" i="22" s="1"/>
  <c r="I65" i="22"/>
  <c r="AQ65" i="22" s="1"/>
  <c r="G65" i="22"/>
  <c r="AO65" i="22" s="1"/>
  <c r="BH65" i="22" s="1"/>
  <c r="T64" i="22"/>
  <c r="S64" i="22"/>
  <c r="K64" i="22"/>
  <c r="I64" i="22"/>
  <c r="G64" i="22"/>
  <c r="T63" i="22"/>
  <c r="S63" i="22"/>
  <c r="K63" i="22"/>
  <c r="I63" i="22"/>
  <c r="G63" i="22"/>
  <c r="T61" i="22"/>
  <c r="S61" i="22"/>
  <c r="K61" i="22"/>
  <c r="I61" i="22"/>
  <c r="G61" i="22"/>
  <c r="T60" i="22"/>
  <c r="S60" i="22"/>
  <c r="K60" i="22"/>
  <c r="I60" i="22"/>
  <c r="G60" i="22"/>
  <c r="T59" i="22"/>
  <c r="S59" i="22"/>
  <c r="K59" i="22"/>
  <c r="I59" i="22"/>
  <c r="G59" i="22"/>
  <c r="T58" i="22"/>
  <c r="S58" i="22"/>
  <c r="K58" i="22"/>
  <c r="I58" i="22"/>
  <c r="G58" i="22"/>
  <c r="T57" i="22"/>
  <c r="BB57" i="22" s="1"/>
  <c r="S57" i="22"/>
  <c r="BA57" i="22" s="1"/>
  <c r="K57" i="22"/>
  <c r="AS57" i="22" s="1"/>
  <c r="I57" i="22"/>
  <c r="AQ57" i="22" s="1"/>
  <c r="G57" i="22"/>
  <c r="AO57" i="22" s="1"/>
  <c r="BH57" i="22" s="1"/>
  <c r="T56" i="22"/>
  <c r="S56" i="22"/>
  <c r="K56" i="22"/>
  <c r="I56" i="22"/>
  <c r="G56" i="22"/>
  <c r="T53" i="22"/>
  <c r="S53" i="22"/>
  <c r="K53" i="22"/>
  <c r="I53" i="22"/>
  <c r="G53" i="22"/>
  <c r="R52" i="22"/>
  <c r="Q52" i="22"/>
  <c r="H52" i="22"/>
  <c r="G52" i="22"/>
  <c r="T50" i="22"/>
  <c r="P50" i="22"/>
  <c r="K50" i="22"/>
  <c r="I50" i="22"/>
  <c r="G50" i="22"/>
  <c r="T49" i="22"/>
  <c r="T55" i="22" s="1"/>
  <c r="S49" i="22"/>
  <c r="K49" i="22"/>
  <c r="K55" i="22" s="1"/>
  <c r="I49" i="22"/>
  <c r="I62" i="22" s="1"/>
  <c r="G49" i="22"/>
  <c r="G62" i="22" s="1"/>
  <c r="L47" i="22"/>
  <c r="K47" i="22"/>
  <c r="I47" i="22"/>
  <c r="G47" i="22"/>
  <c r="K46" i="22"/>
  <c r="I46" i="22"/>
  <c r="G46" i="22"/>
  <c r="L45" i="22"/>
  <c r="H45" i="22"/>
  <c r="G45" i="22"/>
  <c r="H44" i="22"/>
  <c r="G44" i="22"/>
  <c r="R41" i="22"/>
  <c r="Q41" i="22"/>
  <c r="H41" i="22"/>
  <c r="G41" i="22"/>
  <c r="T40" i="22"/>
  <c r="K40" i="22"/>
  <c r="J40" i="22"/>
  <c r="I40" i="22"/>
  <c r="G40" i="22"/>
  <c r="K39" i="22"/>
  <c r="J39" i="22"/>
  <c r="I39" i="22"/>
  <c r="G39" i="22"/>
  <c r="L37" i="22"/>
  <c r="G37" i="22"/>
  <c r="L36" i="22"/>
  <c r="K36" i="22"/>
  <c r="I36" i="22"/>
  <c r="G36" i="22"/>
  <c r="K35" i="22"/>
  <c r="I35" i="22"/>
  <c r="G35" i="22"/>
  <c r="L34" i="22"/>
  <c r="H34" i="22"/>
  <c r="G34" i="22"/>
  <c r="H33" i="22"/>
  <c r="G33" i="22"/>
  <c r="H31" i="22"/>
  <c r="H30" i="22"/>
  <c r="U25" i="22"/>
  <c r="O25" i="22"/>
  <c r="N25" i="22"/>
  <c r="M25" i="22"/>
  <c r="K25" i="22"/>
  <c r="J25" i="22"/>
  <c r="I25" i="22"/>
  <c r="G25" i="22"/>
  <c r="U24" i="22"/>
  <c r="K24" i="22"/>
  <c r="J24" i="22"/>
  <c r="I24" i="22"/>
  <c r="G24" i="22"/>
  <c r="O23" i="22"/>
  <c r="O27" i="22" s="1"/>
  <c r="N23" i="22"/>
  <c r="N27" i="22" s="1"/>
  <c r="M23" i="22"/>
  <c r="M27" i="22" s="1"/>
  <c r="K23" i="22"/>
  <c r="K27" i="22" s="1"/>
  <c r="J23" i="22"/>
  <c r="J27" i="22" s="1"/>
  <c r="I23" i="22"/>
  <c r="I27" i="22" s="1"/>
  <c r="G23" i="22"/>
  <c r="G27" i="22" s="1"/>
  <c r="K22" i="22"/>
  <c r="K26" i="22" s="1"/>
  <c r="J22" i="22"/>
  <c r="J26" i="22" s="1"/>
  <c r="I22" i="22"/>
  <c r="I26" i="22" s="1"/>
  <c r="G22" i="22"/>
  <c r="G26" i="22" s="1"/>
  <c r="O21" i="22"/>
  <c r="N21" i="22"/>
  <c r="M21" i="22"/>
  <c r="H21" i="22"/>
  <c r="G21" i="22"/>
  <c r="L19" i="22"/>
  <c r="H19" i="22"/>
  <c r="G19" i="22"/>
  <c r="H18" i="22"/>
  <c r="G18" i="22"/>
  <c r="T129" i="23"/>
  <c r="S129" i="23"/>
  <c r="H129" i="23"/>
  <c r="G129" i="23"/>
  <c r="T128" i="23"/>
  <c r="S128" i="23"/>
  <c r="H128" i="23"/>
  <c r="G128" i="23"/>
  <c r="T127" i="23"/>
  <c r="S127" i="23"/>
  <c r="H127" i="23"/>
  <c r="G127" i="23"/>
  <c r="T126" i="23"/>
  <c r="S126" i="23"/>
  <c r="H126" i="23"/>
  <c r="G126" i="23"/>
  <c r="T125" i="23"/>
  <c r="S125" i="23"/>
  <c r="H125" i="23"/>
  <c r="G125" i="23"/>
  <c r="T124" i="23"/>
  <c r="S124" i="23"/>
  <c r="H124" i="23"/>
  <c r="G124" i="23"/>
  <c r="T123" i="23"/>
  <c r="S123" i="23"/>
  <c r="H123" i="23"/>
  <c r="G123" i="23"/>
  <c r="T122" i="23"/>
  <c r="S122" i="23"/>
  <c r="H122" i="23"/>
  <c r="G122" i="23"/>
  <c r="T121" i="23"/>
  <c r="S121" i="23"/>
  <c r="H121" i="23"/>
  <c r="G121" i="23"/>
  <c r="T119" i="23"/>
  <c r="S119" i="23"/>
  <c r="H119" i="23"/>
  <c r="G119" i="23"/>
  <c r="T118" i="23"/>
  <c r="S118" i="23"/>
  <c r="H118" i="23"/>
  <c r="G118" i="23"/>
  <c r="T117" i="23"/>
  <c r="S117" i="23"/>
  <c r="H117" i="23"/>
  <c r="G117" i="23"/>
  <c r="T116" i="23"/>
  <c r="S116" i="23"/>
  <c r="H116" i="23"/>
  <c r="G116" i="23"/>
  <c r="T114" i="23"/>
  <c r="S114" i="23"/>
  <c r="H114" i="23"/>
  <c r="G114" i="23"/>
  <c r="T113" i="23"/>
  <c r="S113" i="23"/>
  <c r="H113" i="23"/>
  <c r="G113" i="23"/>
  <c r="T112" i="23"/>
  <c r="S112" i="23"/>
  <c r="H112" i="23"/>
  <c r="G112" i="23"/>
  <c r="T111" i="23"/>
  <c r="S111" i="23"/>
  <c r="H111" i="23"/>
  <c r="G111" i="23"/>
  <c r="T110" i="23"/>
  <c r="S110" i="23"/>
  <c r="H110" i="23"/>
  <c r="G110" i="23"/>
  <c r="T109" i="23"/>
  <c r="S109" i="23"/>
  <c r="H109" i="23"/>
  <c r="G109" i="23"/>
  <c r="T108" i="23"/>
  <c r="S108" i="23"/>
  <c r="H108" i="23"/>
  <c r="G108" i="23"/>
  <c r="T107" i="23"/>
  <c r="S107" i="23"/>
  <c r="H107" i="23"/>
  <c r="G107" i="23"/>
  <c r="T106" i="23"/>
  <c r="S106" i="23"/>
  <c r="H106" i="23"/>
  <c r="G106" i="23"/>
  <c r="T105" i="23"/>
  <c r="S105" i="23"/>
  <c r="H105" i="23"/>
  <c r="G105" i="23"/>
  <c r="T103" i="23"/>
  <c r="S103" i="23"/>
  <c r="H103" i="23"/>
  <c r="G103" i="23"/>
  <c r="T102" i="23"/>
  <c r="S102" i="23"/>
  <c r="H102" i="23"/>
  <c r="G102" i="23"/>
  <c r="T100" i="23"/>
  <c r="S100" i="23"/>
  <c r="H100" i="23"/>
  <c r="G100" i="23"/>
  <c r="T99" i="23"/>
  <c r="S99" i="23"/>
  <c r="H99" i="23"/>
  <c r="G99" i="23"/>
  <c r="T98" i="23"/>
  <c r="S98" i="23"/>
  <c r="H98" i="23"/>
  <c r="G98" i="23"/>
  <c r="T97" i="23"/>
  <c r="S97" i="23"/>
  <c r="H97" i="23"/>
  <c r="G97" i="23"/>
  <c r="T96" i="23"/>
  <c r="S96" i="23"/>
  <c r="H96" i="23"/>
  <c r="G96" i="23"/>
  <c r="T87" i="23"/>
  <c r="S87" i="23"/>
  <c r="K87" i="23"/>
  <c r="I87" i="23"/>
  <c r="G87" i="23"/>
  <c r="T86" i="23"/>
  <c r="S86" i="23"/>
  <c r="K86" i="23"/>
  <c r="I86" i="23"/>
  <c r="G86" i="23"/>
  <c r="T85" i="23"/>
  <c r="S85" i="23"/>
  <c r="K85" i="23"/>
  <c r="I85" i="23"/>
  <c r="G85" i="23"/>
  <c r="T84" i="23"/>
  <c r="S84" i="23"/>
  <c r="K84" i="23"/>
  <c r="I84" i="23"/>
  <c r="G84" i="23"/>
  <c r="T83" i="23"/>
  <c r="S83" i="23"/>
  <c r="K83" i="23"/>
  <c r="I83" i="23"/>
  <c r="G83" i="23"/>
  <c r="T82" i="23"/>
  <c r="S82" i="23"/>
  <c r="K82" i="23"/>
  <c r="I82" i="23"/>
  <c r="G82" i="23"/>
  <c r="T81" i="23"/>
  <c r="S81" i="23"/>
  <c r="K81" i="23"/>
  <c r="I81" i="23"/>
  <c r="G81" i="23"/>
  <c r="T80" i="23"/>
  <c r="S80" i="23"/>
  <c r="K80" i="23"/>
  <c r="I80" i="23"/>
  <c r="G80" i="23"/>
  <c r="T79" i="23"/>
  <c r="S79" i="23"/>
  <c r="K79" i="23"/>
  <c r="I79" i="23"/>
  <c r="G79" i="23"/>
  <c r="T77" i="23"/>
  <c r="S77" i="23"/>
  <c r="K77" i="23"/>
  <c r="I77" i="23"/>
  <c r="G77" i="23"/>
  <c r="T76" i="23"/>
  <c r="S76" i="23"/>
  <c r="K76" i="23"/>
  <c r="I76" i="23"/>
  <c r="G76" i="23"/>
  <c r="R75" i="23"/>
  <c r="Q75" i="23"/>
  <c r="H75" i="23"/>
  <c r="G75" i="23"/>
  <c r="T73" i="23"/>
  <c r="P73" i="23"/>
  <c r="K73" i="23"/>
  <c r="I73" i="23"/>
  <c r="G73" i="23"/>
  <c r="T72" i="23"/>
  <c r="S72" i="23"/>
  <c r="K72" i="23"/>
  <c r="I72" i="23"/>
  <c r="G72" i="23"/>
  <c r="G101" i="23" s="1"/>
  <c r="T69" i="23"/>
  <c r="P69" i="23"/>
  <c r="K69" i="23"/>
  <c r="I69" i="23"/>
  <c r="G69" i="23"/>
  <c r="T68" i="23"/>
  <c r="S68" i="23"/>
  <c r="K68" i="23"/>
  <c r="I68" i="23"/>
  <c r="G68" i="23"/>
  <c r="T67" i="23"/>
  <c r="S67" i="23"/>
  <c r="K67" i="23"/>
  <c r="I67" i="23"/>
  <c r="G67" i="23"/>
  <c r="T65" i="23"/>
  <c r="BB65" i="23" s="1"/>
  <c r="S65" i="23"/>
  <c r="BA65" i="23" s="1"/>
  <c r="K65" i="23"/>
  <c r="AS65" i="23" s="1"/>
  <c r="I65" i="23"/>
  <c r="AQ65" i="23" s="1"/>
  <c r="G65" i="23"/>
  <c r="AO65" i="23" s="1"/>
  <c r="BH65" i="23" s="1"/>
  <c r="T64" i="23"/>
  <c r="S64" i="23"/>
  <c r="K64" i="23"/>
  <c r="I64" i="23"/>
  <c r="G64" i="23"/>
  <c r="T63" i="23"/>
  <c r="S63" i="23"/>
  <c r="K63" i="23"/>
  <c r="I63" i="23"/>
  <c r="G63" i="23"/>
  <c r="T61" i="23"/>
  <c r="S61" i="23"/>
  <c r="K61" i="23"/>
  <c r="I61" i="23"/>
  <c r="G61" i="23"/>
  <c r="T60" i="23"/>
  <c r="S60" i="23"/>
  <c r="K60" i="23"/>
  <c r="I60" i="23"/>
  <c r="G60" i="23"/>
  <c r="T59" i="23"/>
  <c r="S59" i="23"/>
  <c r="K59" i="23"/>
  <c r="I59" i="23"/>
  <c r="G59" i="23"/>
  <c r="T58" i="23"/>
  <c r="S58" i="23"/>
  <c r="K58" i="23"/>
  <c r="I58" i="23"/>
  <c r="G58" i="23"/>
  <c r="T57" i="23"/>
  <c r="S57" i="23"/>
  <c r="K57" i="23"/>
  <c r="I57" i="23"/>
  <c r="G57" i="23"/>
  <c r="T56" i="23"/>
  <c r="S56" i="23"/>
  <c r="K56" i="23"/>
  <c r="I56" i="23"/>
  <c r="G56" i="23"/>
  <c r="T53" i="23"/>
  <c r="S53" i="23"/>
  <c r="K53" i="23"/>
  <c r="I53" i="23"/>
  <c r="G53" i="23"/>
  <c r="R52" i="23"/>
  <c r="Q52" i="23"/>
  <c r="H52" i="23"/>
  <c r="G52" i="23"/>
  <c r="T50" i="23"/>
  <c r="P50" i="23"/>
  <c r="K50" i="23"/>
  <c r="I50" i="23"/>
  <c r="G50" i="23"/>
  <c r="T49" i="23"/>
  <c r="S49" i="23"/>
  <c r="S55" i="23" s="1"/>
  <c r="K49" i="23"/>
  <c r="K55" i="23" s="1"/>
  <c r="I49" i="23"/>
  <c r="I55" i="23" s="1"/>
  <c r="G49" i="23"/>
  <c r="G62" i="23" s="1"/>
  <c r="L47" i="23"/>
  <c r="K47" i="23"/>
  <c r="I47" i="23"/>
  <c r="G47" i="23"/>
  <c r="K46" i="23"/>
  <c r="I46" i="23"/>
  <c r="G46" i="23"/>
  <c r="L45" i="23"/>
  <c r="H45" i="23"/>
  <c r="G45" i="23"/>
  <c r="H44" i="23"/>
  <c r="G44" i="23"/>
  <c r="R41" i="23"/>
  <c r="Q41" i="23"/>
  <c r="H41" i="23"/>
  <c r="G41" i="23"/>
  <c r="T40" i="23"/>
  <c r="K40" i="23"/>
  <c r="J40" i="23"/>
  <c r="I40" i="23"/>
  <c r="G40" i="23"/>
  <c r="K39" i="23"/>
  <c r="J39" i="23"/>
  <c r="I39" i="23"/>
  <c r="G39" i="23"/>
  <c r="L37" i="23"/>
  <c r="G37" i="23"/>
  <c r="L36" i="23"/>
  <c r="K36" i="23"/>
  <c r="I36" i="23"/>
  <c r="G36" i="23"/>
  <c r="K35" i="23"/>
  <c r="I35" i="23"/>
  <c r="G35" i="23"/>
  <c r="L34" i="23"/>
  <c r="H34" i="23"/>
  <c r="G34" i="23"/>
  <c r="H33" i="23"/>
  <c r="G33" i="23"/>
  <c r="H31" i="23"/>
  <c r="H30" i="23"/>
  <c r="U25" i="23"/>
  <c r="O25" i="23"/>
  <c r="N25" i="23"/>
  <c r="M25" i="23"/>
  <c r="K25" i="23"/>
  <c r="J25" i="23"/>
  <c r="I25" i="23"/>
  <c r="G25" i="23"/>
  <c r="U24" i="23"/>
  <c r="K24" i="23"/>
  <c r="J24" i="23"/>
  <c r="I24" i="23"/>
  <c r="G24" i="23"/>
  <c r="O23" i="23"/>
  <c r="O27" i="23" s="1"/>
  <c r="N23" i="23"/>
  <c r="N27" i="23" s="1"/>
  <c r="M23" i="23"/>
  <c r="M27" i="23" s="1"/>
  <c r="K23" i="23"/>
  <c r="K27" i="23" s="1"/>
  <c r="J23" i="23"/>
  <c r="J27" i="23" s="1"/>
  <c r="I23" i="23"/>
  <c r="I27" i="23" s="1"/>
  <c r="G23" i="23"/>
  <c r="G27" i="23" s="1"/>
  <c r="K22" i="23"/>
  <c r="K26" i="23" s="1"/>
  <c r="J22" i="23"/>
  <c r="J26" i="23" s="1"/>
  <c r="I22" i="23"/>
  <c r="I26" i="23" s="1"/>
  <c r="G22" i="23"/>
  <c r="G26" i="23" s="1"/>
  <c r="O21" i="23"/>
  <c r="N21" i="23"/>
  <c r="M21" i="23"/>
  <c r="H21" i="23"/>
  <c r="G21" i="23"/>
  <c r="L19" i="23"/>
  <c r="H19" i="23"/>
  <c r="G19" i="23"/>
  <c r="H18" i="23"/>
  <c r="G18" i="23"/>
  <c r="T55" i="23"/>
  <c r="T101" i="23"/>
  <c r="S101" i="23"/>
  <c r="P11" i="23"/>
  <c r="G11" i="23"/>
  <c r="L11" i="23" s="1"/>
  <c r="S55" i="22"/>
  <c r="P11" i="22"/>
  <c r="G11" i="22"/>
  <c r="L11" i="22" s="1"/>
  <c r="T129" i="21"/>
  <c r="S129" i="21"/>
  <c r="H129" i="21"/>
  <c r="G129" i="21"/>
  <c r="T128" i="21"/>
  <c r="S128" i="21"/>
  <c r="H128" i="21"/>
  <c r="G128" i="21"/>
  <c r="T127" i="21"/>
  <c r="S127" i="21"/>
  <c r="H127" i="21"/>
  <c r="G127" i="21"/>
  <c r="T126" i="21"/>
  <c r="S126" i="21"/>
  <c r="H126" i="21"/>
  <c r="G126" i="21"/>
  <c r="T125" i="21"/>
  <c r="S125" i="21"/>
  <c r="H125" i="21"/>
  <c r="G125" i="21"/>
  <c r="T124" i="21"/>
  <c r="S124" i="21"/>
  <c r="H124" i="21"/>
  <c r="G124" i="21"/>
  <c r="T123" i="21"/>
  <c r="S123" i="21"/>
  <c r="H123" i="21"/>
  <c r="G123" i="21"/>
  <c r="T122" i="21"/>
  <c r="S122" i="21"/>
  <c r="H122" i="21"/>
  <c r="G122" i="21"/>
  <c r="T121" i="21"/>
  <c r="S121" i="21"/>
  <c r="H121" i="21"/>
  <c r="G121" i="21"/>
  <c r="T119" i="21"/>
  <c r="S119" i="21"/>
  <c r="H119" i="21"/>
  <c r="G119" i="21"/>
  <c r="T118" i="21"/>
  <c r="S118" i="21"/>
  <c r="H118" i="21"/>
  <c r="G118" i="21"/>
  <c r="T117" i="21"/>
  <c r="S117" i="21"/>
  <c r="H117" i="21"/>
  <c r="G117" i="21"/>
  <c r="T116" i="21"/>
  <c r="S116" i="21"/>
  <c r="H116" i="21"/>
  <c r="G116" i="21"/>
  <c r="T114" i="21"/>
  <c r="S114" i="21"/>
  <c r="H114" i="21"/>
  <c r="G114" i="21"/>
  <c r="T113" i="21"/>
  <c r="S113" i="21"/>
  <c r="H113" i="21"/>
  <c r="G113" i="21"/>
  <c r="T112" i="21"/>
  <c r="S112" i="21"/>
  <c r="H112" i="21"/>
  <c r="G112" i="21"/>
  <c r="T111" i="21"/>
  <c r="S111" i="21"/>
  <c r="H111" i="21"/>
  <c r="G111" i="21"/>
  <c r="T110" i="21"/>
  <c r="S110" i="21"/>
  <c r="H110" i="21"/>
  <c r="G110" i="21"/>
  <c r="T109" i="21"/>
  <c r="S109" i="21"/>
  <c r="H109" i="21"/>
  <c r="G109" i="21"/>
  <c r="T108" i="21"/>
  <c r="S108" i="21"/>
  <c r="H108" i="21"/>
  <c r="G108" i="21"/>
  <c r="T107" i="21"/>
  <c r="S107" i="21"/>
  <c r="H107" i="21"/>
  <c r="G107" i="21"/>
  <c r="T106" i="21"/>
  <c r="S106" i="21"/>
  <c r="H106" i="21"/>
  <c r="G106" i="21"/>
  <c r="T105" i="21"/>
  <c r="S105" i="21"/>
  <c r="H105" i="21"/>
  <c r="G105" i="21"/>
  <c r="T103" i="21"/>
  <c r="S103" i="21"/>
  <c r="T102" i="21"/>
  <c r="S102" i="21"/>
  <c r="H103" i="21"/>
  <c r="G103" i="21"/>
  <c r="H102" i="21"/>
  <c r="G102" i="21"/>
  <c r="T100" i="21"/>
  <c r="S100" i="21"/>
  <c r="T99" i="21"/>
  <c r="S99" i="21"/>
  <c r="T98" i="21"/>
  <c r="S98" i="21"/>
  <c r="T97" i="21"/>
  <c r="S97" i="21"/>
  <c r="T96" i="21"/>
  <c r="S96" i="21"/>
  <c r="H100" i="21"/>
  <c r="G100" i="21"/>
  <c r="H99" i="21"/>
  <c r="G99" i="21"/>
  <c r="H98" i="21"/>
  <c r="G98" i="21"/>
  <c r="H97" i="21"/>
  <c r="G97" i="21"/>
  <c r="H96" i="21"/>
  <c r="G96" i="21"/>
  <c r="T87" i="21"/>
  <c r="T86" i="21"/>
  <c r="T85" i="21"/>
  <c r="T84" i="21"/>
  <c r="T83" i="21"/>
  <c r="T82" i="21"/>
  <c r="T81" i="21"/>
  <c r="T80" i="21"/>
  <c r="T79" i="21"/>
  <c r="S87" i="21"/>
  <c r="S86" i="21"/>
  <c r="S85" i="21"/>
  <c r="S84" i="21"/>
  <c r="S83" i="21"/>
  <c r="S82" i="21"/>
  <c r="S81" i="21"/>
  <c r="S80" i="21"/>
  <c r="S79" i="21"/>
  <c r="K87" i="21"/>
  <c r="K86" i="21"/>
  <c r="K85" i="21"/>
  <c r="K84" i="21"/>
  <c r="K83" i="21"/>
  <c r="K82" i="21"/>
  <c r="K81" i="21"/>
  <c r="K80" i="21"/>
  <c r="K79" i="21"/>
  <c r="I87" i="21"/>
  <c r="I86" i="21"/>
  <c r="I85" i="21"/>
  <c r="I84" i="21"/>
  <c r="I83" i="21"/>
  <c r="I82" i="21"/>
  <c r="I81" i="21"/>
  <c r="I80" i="21"/>
  <c r="I79" i="21"/>
  <c r="G87" i="21"/>
  <c r="G86" i="21"/>
  <c r="G85" i="21"/>
  <c r="G84" i="21"/>
  <c r="G83" i="21"/>
  <c r="G82" i="21"/>
  <c r="G81" i="21"/>
  <c r="G80" i="21"/>
  <c r="G79" i="21"/>
  <c r="T77" i="21"/>
  <c r="S77" i="21"/>
  <c r="T76" i="21"/>
  <c r="S76" i="21"/>
  <c r="T73" i="21"/>
  <c r="T72" i="21"/>
  <c r="T101" i="21" s="1"/>
  <c r="S72" i="21"/>
  <c r="R75" i="21"/>
  <c r="Q75" i="21"/>
  <c r="P73" i="21"/>
  <c r="K77" i="21"/>
  <c r="K76" i="21"/>
  <c r="K73" i="21"/>
  <c r="K72" i="21"/>
  <c r="I77" i="21"/>
  <c r="I76" i="21"/>
  <c r="I73" i="21"/>
  <c r="I72" i="21"/>
  <c r="H101" i="21" s="1"/>
  <c r="H75" i="21"/>
  <c r="G77" i="21"/>
  <c r="G76" i="21"/>
  <c r="G75" i="21"/>
  <c r="G73" i="21"/>
  <c r="G72" i="21"/>
  <c r="G101" i="21" s="1"/>
  <c r="T69" i="21"/>
  <c r="T68" i="21"/>
  <c r="T67" i="21"/>
  <c r="S68" i="21"/>
  <c r="S67" i="21"/>
  <c r="P69" i="21"/>
  <c r="K69" i="21"/>
  <c r="K68" i="21"/>
  <c r="K67" i="21"/>
  <c r="I69" i="21"/>
  <c r="I68" i="21"/>
  <c r="I67" i="21"/>
  <c r="G69" i="21"/>
  <c r="G68" i="21"/>
  <c r="G67" i="21"/>
  <c r="T65" i="21"/>
  <c r="S65" i="21"/>
  <c r="T64" i="21"/>
  <c r="S64" i="21"/>
  <c r="T63" i="21"/>
  <c r="S63" i="21"/>
  <c r="K65" i="21"/>
  <c r="K64" i="21"/>
  <c r="K63" i="21"/>
  <c r="I65" i="21"/>
  <c r="I64" i="21"/>
  <c r="I63" i="21"/>
  <c r="G65" i="21"/>
  <c r="G64" i="21"/>
  <c r="G63" i="21"/>
  <c r="T61" i="21"/>
  <c r="S61" i="21"/>
  <c r="T60" i="21"/>
  <c r="S60" i="21"/>
  <c r="T59" i="21"/>
  <c r="S59" i="21"/>
  <c r="T58" i="21"/>
  <c r="S58" i="21"/>
  <c r="T57" i="21"/>
  <c r="S57" i="21"/>
  <c r="T56" i="21"/>
  <c r="S56" i="21"/>
  <c r="K61" i="21"/>
  <c r="K60" i="21"/>
  <c r="K59" i="21"/>
  <c r="K58" i="21"/>
  <c r="K57" i="21"/>
  <c r="K56" i="21"/>
  <c r="I61" i="21"/>
  <c r="I60" i="21"/>
  <c r="I59" i="21"/>
  <c r="I58" i="21"/>
  <c r="I57" i="21"/>
  <c r="I56" i="21"/>
  <c r="G57" i="21"/>
  <c r="G58" i="21"/>
  <c r="G59" i="21"/>
  <c r="G60" i="21"/>
  <c r="G61" i="21"/>
  <c r="G56" i="21"/>
  <c r="T53" i="21"/>
  <c r="S53" i="21"/>
  <c r="R52" i="21"/>
  <c r="Q52" i="21"/>
  <c r="T50" i="21"/>
  <c r="T49" i="21"/>
  <c r="T55" i="21" s="1"/>
  <c r="S49" i="21"/>
  <c r="S55" i="21" s="1"/>
  <c r="P50" i="21"/>
  <c r="K53" i="21"/>
  <c r="I53" i="21"/>
  <c r="K50" i="21"/>
  <c r="K49" i="21"/>
  <c r="K66" i="21" s="1"/>
  <c r="I50" i="21"/>
  <c r="I49" i="21"/>
  <c r="I62" i="21" s="1"/>
  <c r="H52" i="21"/>
  <c r="G53" i="21"/>
  <c r="G52" i="21"/>
  <c r="G50" i="21"/>
  <c r="G49" i="21"/>
  <c r="G62" i="21" s="1"/>
  <c r="L47" i="21"/>
  <c r="L45" i="21"/>
  <c r="K47" i="21"/>
  <c r="K46" i="21"/>
  <c r="I47" i="21"/>
  <c r="I46" i="21"/>
  <c r="H45" i="21"/>
  <c r="H44" i="21"/>
  <c r="G47" i="21"/>
  <c r="G46" i="21"/>
  <c r="G45" i="21"/>
  <c r="G44" i="21"/>
  <c r="T40" i="21"/>
  <c r="R41" i="21"/>
  <c r="Q41" i="21"/>
  <c r="L37" i="21"/>
  <c r="L36" i="21"/>
  <c r="L34" i="21"/>
  <c r="K40" i="21"/>
  <c r="J40" i="21"/>
  <c r="I40" i="21"/>
  <c r="K39" i="21"/>
  <c r="J39" i="21"/>
  <c r="I39" i="21"/>
  <c r="K36" i="21"/>
  <c r="K35" i="21"/>
  <c r="I36" i="21"/>
  <c r="I35" i="21"/>
  <c r="H41" i="21"/>
  <c r="H34" i="21"/>
  <c r="H33" i="21"/>
  <c r="G41" i="21"/>
  <c r="G40" i="21"/>
  <c r="G39" i="21"/>
  <c r="G37" i="21"/>
  <c r="G36" i="21"/>
  <c r="G35" i="21"/>
  <c r="G34" i="21"/>
  <c r="G33" i="21"/>
  <c r="H31" i="21"/>
  <c r="H30" i="21"/>
  <c r="U25" i="21"/>
  <c r="U24" i="21"/>
  <c r="O25" i="21"/>
  <c r="N25" i="21"/>
  <c r="M25" i="21"/>
  <c r="O23" i="21"/>
  <c r="O27" i="21" s="1"/>
  <c r="N23" i="21"/>
  <c r="N27" i="21" s="1"/>
  <c r="M23" i="21"/>
  <c r="M27" i="21" s="1"/>
  <c r="O21" i="21"/>
  <c r="N21" i="21"/>
  <c r="M21" i="21"/>
  <c r="K25" i="21"/>
  <c r="J25" i="21"/>
  <c r="I25" i="21"/>
  <c r="K24" i="21"/>
  <c r="J24" i="21"/>
  <c r="I24" i="21"/>
  <c r="K23" i="21"/>
  <c r="J23" i="21"/>
  <c r="I23" i="21"/>
  <c r="K22" i="21"/>
  <c r="J22" i="21"/>
  <c r="I22" i="21"/>
  <c r="G25" i="21"/>
  <c r="G24" i="21"/>
  <c r="G23" i="21"/>
  <c r="G22" i="21"/>
  <c r="H21" i="21"/>
  <c r="G21" i="21"/>
  <c r="L19" i="21"/>
  <c r="H19" i="21"/>
  <c r="H18" i="21"/>
  <c r="G19" i="21"/>
  <c r="G18" i="21"/>
  <c r="AM129" i="21"/>
  <c r="AL129" i="21"/>
  <c r="AK129" i="21"/>
  <c r="AJ129" i="21"/>
  <c r="AI129" i="21"/>
  <c r="AH129" i="21"/>
  <c r="AG129" i="21"/>
  <c r="AF129" i="21"/>
  <c r="AE129" i="21"/>
  <c r="AD129" i="21"/>
  <c r="AC129" i="21"/>
  <c r="AB129" i="21"/>
  <c r="AA129" i="21"/>
  <c r="Z129" i="21"/>
  <c r="Y129" i="21"/>
  <c r="X129" i="21"/>
  <c r="AM128" i="21"/>
  <c r="AL128" i="21"/>
  <c r="AI128" i="21"/>
  <c r="AH128" i="21"/>
  <c r="AG128" i="21"/>
  <c r="AF128" i="21"/>
  <c r="AE128" i="21"/>
  <c r="AD128" i="21"/>
  <c r="AC128" i="21"/>
  <c r="AB128" i="21"/>
  <c r="AA128" i="21"/>
  <c r="Z128" i="21"/>
  <c r="AM127" i="21"/>
  <c r="AL127" i="21"/>
  <c r="AI127" i="21"/>
  <c r="AH127" i="21"/>
  <c r="AG127" i="21"/>
  <c r="AF127" i="21"/>
  <c r="AE127" i="21"/>
  <c r="AD127" i="21"/>
  <c r="AC127" i="21"/>
  <c r="AB127" i="21"/>
  <c r="AA127" i="21"/>
  <c r="Z127" i="21"/>
  <c r="AM126" i="21"/>
  <c r="AL126" i="21"/>
  <c r="AI126" i="21"/>
  <c r="AH126" i="21"/>
  <c r="AG126" i="21"/>
  <c r="AF126" i="21"/>
  <c r="AE126" i="21"/>
  <c r="AD126" i="21"/>
  <c r="AC126" i="21"/>
  <c r="AB126" i="21"/>
  <c r="AA126" i="21"/>
  <c r="Z126" i="21"/>
  <c r="AM125" i="21"/>
  <c r="AL125" i="21"/>
  <c r="AI125" i="21"/>
  <c r="AH125" i="21"/>
  <c r="AG125" i="21"/>
  <c r="AF125" i="21"/>
  <c r="AE125" i="21"/>
  <c r="AD125" i="21"/>
  <c r="AC125" i="21"/>
  <c r="AB125" i="21"/>
  <c r="AA125" i="21"/>
  <c r="Z125" i="21"/>
  <c r="AM124" i="21"/>
  <c r="AL124" i="21"/>
  <c r="AI124" i="21"/>
  <c r="AH124" i="21"/>
  <c r="AG124" i="21"/>
  <c r="AF124" i="21"/>
  <c r="AE124" i="21"/>
  <c r="AD124" i="21"/>
  <c r="AC124" i="21"/>
  <c r="AB124" i="21"/>
  <c r="AA124" i="21"/>
  <c r="Z124" i="21"/>
  <c r="AM123" i="21"/>
  <c r="AL123" i="21"/>
  <c r="AI123" i="21"/>
  <c r="AH123" i="21"/>
  <c r="AG123" i="21"/>
  <c r="AF123" i="21"/>
  <c r="AE123" i="21"/>
  <c r="AD123" i="21"/>
  <c r="AC123" i="21"/>
  <c r="AB123" i="21"/>
  <c r="AA123" i="21"/>
  <c r="Z123" i="21"/>
  <c r="AM122" i="21"/>
  <c r="AL122" i="21"/>
  <c r="AI122" i="21"/>
  <c r="AH122" i="21"/>
  <c r="AG122" i="21"/>
  <c r="AF122" i="21"/>
  <c r="AE122" i="21"/>
  <c r="AD122" i="21"/>
  <c r="AC122" i="21"/>
  <c r="AB122" i="21"/>
  <c r="AA122" i="21"/>
  <c r="Z122" i="21"/>
  <c r="AM121" i="21"/>
  <c r="AL121" i="21"/>
  <c r="AI121" i="21"/>
  <c r="AH121" i="21"/>
  <c r="AG121" i="21"/>
  <c r="AF121" i="21"/>
  <c r="AE121" i="21"/>
  <c r="AD121" i="21"/>
  <c r="AC121" i="21"/>
  <c r="AB121" i="21"/>
  <c r="AA121" i="21"/>
  <c r="Z121" i="21"/>
  <c r="AM120" i="21"/>
  <c r="AL120" i="21"/>
  <c r="AK120" i="21"/>
  <c r="AJ120" i="21"/>
  <c r="AI120" i="21"/>
  <c r="AH120" i="21"/>
  <c r="AG120" i="21"/>
  <c r="AF120" i="21"/>
  <c r="AE120" i="21"/>
  <c r="AD120" i="21"/>
  <c r="AC120" i="21"/>
  <c r="AB120" i="21"/>
  <c r="AA120" i="21"/>
  <c r="Z120" i="21"/>
  <c r="Y120" i="21"/>
  <c r="X120" i="21"/>
  <c r="AM119" i="21"/>
  <c r="AL119" i="21"/>
  <c r="AI119" i="21"/>
  <c r="AH119" i="21"/>
  <c r="AG119" i="21"/>
  <c r="AF119" i="21"/>
  <c r="AE119" i="21"/>
  <c r="AD119" i="21"/>
  <c r="AC119" i="21"/>
  <c r="AB119" i="21"/>
  <c r="AA119" i="21"/>
  <c r="Z119" i="21"/>
  <c r="AM118" i="21"/>
  <c r="AL118" i="21"/>
  <c r="AI118" i="21"/>
  <c r="AH118" i="21"/>
  <c r="AG118" i="21"/>
  <c r="AF118" i="21"/>
  <c r="AE118" i="21"/>
  <c r="AD118" i="21"/>
  <c r="AC118" i="21"/>
  <c r="AB118" i="21"/>
  <c r="AA118" i="21"/>
  <c r="Z118" i="21"/>
  <c r="AM117" i="21"/>
  <c r="AL117" i="21"/>
  <c r="AI117" i="21"/>
  <c r="AH117" i="21"/>
  <c r="AG117" i="21"/>
  <c r="AF117" i="21"/>
  <c r="AE117" i="21"/>
  <c r="AD117" i="21"/>
  <c r="AC117" i="21"/>
  <c r="AB117" i="21"/>
  <c r="AA117" i="21"/>
  <c r="Z117" i="21"/>
  <c r="AM116" i="21"/>
  <c r="AL116" i="21"/>
  <c r="AI116" i="21"/>
  <c r="AH116" i="21"/>
  <c r="AG116" i="21"/>
  <c r="AF116" i="21"/>
  <c r="AE116" i="21"/>
  <c r="AD116" i="21"/>
  <c r="AC116" i="21"/>
  <c r="AB116" i="21"/>
  <c r="AA116" i="21"/>
  <c r="Z116" i="21"/>
  <c r="AM115" i="21"/>
  <c r="AL115" i="21"/>
  <c r="AK115" i="21"/>
  <c r="AJ115" i="21"/>
  <c r="AI115" i="21"/>
  <c r="AH115" i="21"/>
  <c r="AG115" i="21"/>
  <c r="AF115" i="21"/>
  <c r="AE115" i="21"/>
  <c r="AD115" i="21"/>
  <c r="AC115" i="21"/>
  <c r="AB115" i="21"/>
  <c r="AA115" i="21"/>
  <c r="Z115" i="21"/>
  <c r="Y115" i="21"/>
  <c r="X115" i="21"/>
  <c r="AM114" i="21"/>
  <c r="AL114" i="21"/>
  <c r="AI114" i="21"/>
  <c r="AH114" i="21"/>
  <c r="AG114" i="21"/>
  <c r="AF114" i="21"/>
  <c r="AE114" i="21"/>
  <c r="AD114" i="21"/>
  <c r="AC114" i="21"/>
  <c r="AB114" i="21"/>
  <c r="AA114" i="21"/>
  <c r="Z114" i="21"/>
  <c r="AM113" i="21"/>
  <c r="AL113" i="21"/>
  <c r="AI113" i="21"/>
  <c r="AH113" i="21"/>
  <c r="AG113" i="21"/>
  <c r="AF113" i="21"/>
  <c r="AE113" i="21"/>
  <c r="AD113" i="21"/>
  <c r="AC113" i="21"/>
  <c r="AB113" i="21"/>
  <c r="AA113" i="21"/>
  <c r="Z113" i="21"/>
  <c r="AM112" i="21"/>
  <c r="AL112" i="21"/>
  <c r="AI112" i="21"/>
  <c r="AH112" i="21"/>
  <c r="AG112" i="21"/>
  <c r="AF112" i="21"/>
  <c r="AE112" i="21"/>
  <c r="AD112" i="21"/>
  <c r="AC112" i="21"/>
  <c r="AB112" i="21"/>
  <c r="AA112" i="21"/>
  <c r="Z112" i="21"/>
  <c r="AM111" i="21"/>
  <c r="AL111" i="21"/>
  <c r="AI111" i="21"/>
  <c r="AH111" i="21"/>
  <c r="AG111" i="21"/>
  <c r="AF111" i="21"/>
  <c r="AE111" i="21"/>
  <c r="AD111" i="21"/>
  <c r="AC111" i="21"/>
  <c r="AB111" i="21"/>
  <c r="AA111" i="21"/>
  <c r="Z111" i="21"/>
  <c r="AM110" i="21"/>
  <c r="AL110" i="21"/>
  <c r="AI110" i="21"/>
  <c r="AH110" i="21"/>
  <c r="AG110" i="21"/>
  <c r="AF110" i="21"/>
  <c r="AE110" i="21"/>
  <c r="AD110" i="21"/>
  <c r="AC110" i="21"/>
  <c r="AB110" i="21"/>
  <c r="AA110" i="21"/>
  <c r="Z110" i="21"/>
  <c r="AM109" i="21"/>
  <c r="AL109" i="21"/>
  <c r="AI109" i="21"/>
  <c r="AH109" i="21"/>
  <c r="AG109" i="21"/>
  <c r="AF109" i="21"/>
  <c r="AE109" i="21"/>
  <c r="AD109" i="21"/>
  <c r="AC109" i="21"/>
  <c r="AB109" i="21"/>
  <c r="AA109" i="21"/>
  <c r="Z109" i="21"/>
  <c r="AM108" i="21"/>
  <c r="AL108" i="21"/>
  <c r="AI108" i="21"/>
  <c r="AH108" i="21"/>
  <c r="AG108" i="21"/>
  <c r="AF108" i="21"/>
  <c r="AE108" i="21"/>
  <c r="AD108" i="21"/>
  <c r="AC108" i="21"/>
  <c r="AB108" i="21"/>
  <c r="AA108" i="21"/>
  <c r="Z108" i="21"/>
  <c r="AM107" i="21"/>
  <c r="AL107" i="21"/>
  <c r="AI107" i="21"/>
  <c r="AH107" i="21"/>
  <c r="AG107" i="21"/>
  <c r="AF107" i="21"/>
  <c r="AE107" i="21"/>
  <c r="AD107" i="21"/>
  <c r="AC107" i="21"/>
  <c r="AB107" i="21"/>
  <c r="AA107" i="21"/>
  <c r="Z107" i="21"/>
  <c r="AM106" i="21"/>
  <c r="AL106" i="21"/>
  <c r="AI106" i="21"/>
  <c r="AH106" i="21"/>
  <c r="AG106" i="21"/>
  <c r="AF106" i="21"/>
  <c r="AE106" i="21"/>
  <c r="AD106" i="21"/>
  <c r="AC106" i="21"/>
  <c r="AB106" i="21"/>
  <c r="AA106" i="21"/>
  <c r="Z106" i="21"/>
  <c r="AM105" i="21"/>
  <c r="AL105" i="21"/>
  <c r="AI105" i="21"/>
  <c r="AH105" i="21"/>
  <c r="AG105" i="21"/>
  <c r="AF105" i="21"/>
  <c r="AE105" i="21"/>
  <c r="AD105" i="21"/>
  <c r="AC105" i="21"/>
  <c r="AB105" i="21"/>
  <c r="AA105" i="21"/>
  <c r="Z105" i="21"/>
  <c r="AM104" i="21"/>
  <c r="AL104" i="21"/>
  <c r="AK104" i="21"/>
  <c r="AJ104" i="21"/>
  <c r="AI104" i="21"/>
  <c r="AH104" i="21"/>
  <c r="AG104" i="21"/>
  <c r="AF104" i="21"/>
  <c r="AE104" i="21"/>
  <c r="AD104" i="21"/>
  <c r="AC104" i="21"/>
  <c r="AB104" i="21"/>
  <c r="AA104" i="21"/>
  <c r="Z104" i="21"/>
  <c r="Y104" i="21"/>
  <c r="X104" i="21"/>
  <c r="AM103" i="21"/>
  <c r="AL103" i="21"/>
  <c r="AI103" i="21"/>
  <c r="AH103" i="21"/>
  <c r="AG103" i="21"/>
  <c r="AF103" i="21"/>
  <c r="AE103" i="21"/>
  <c r="AD103" i="21"/>
  <c r="AC103" i="21"/>
  <c r="AB103" i="21"/>
  <c r="AA103" i="21"/>
  <c r="Z103" i="21"/>
  <c r="AM102" i="21"/>
  <c r="AL102" i="21"/>
  <c r="AI102" i="21"/>
  <c r="AH102" i="21"/>
  <c r="AG102" i="21"/>
  <c r="AF102" i="21"/>
  <c r="AE102" i="21"/>
  <c r="AD102" i="21"/>
  <c r="AC102" i="21"/>
  <c r="AB102" i="21"/>
  <c r="AA102" i="21"/>
  <c r="Z102" i="21"/>
  <c r="AM101" i="21"/>
  <c r="AL101" i="21"/>
  <c r="AI101" i="21"/>
  <c r="AH101" i="21"/>
  <c r="AG101" i="21"/>
  <c r="AF101" i="21"/>
  <c r="AE101" i="21"/>
  <c r="AD101" i="21"/>
  <c r="AC101" i="21"/>
  <c r="AB101" i="21"/>
  <c r="AA101" i="21"/>
  <c r="Z101" i="21"/>
  <c r="AM100" i="21"/>
  <c r="AL100" i="21"/>
  <c r="AI100" i="21"/>
  <c r="AH100" i="21"/>
  <c r="AG100" i="21"/>
  <c r="AF100" i="21"/>
  <c r="AE100" i="21"/>
  <c r="AD100" i="21"/>
  <c r="AC100" i="21"/>
  <c r="AB100" i="21"/>
  <c r="AA100" i="21"/>
  <c r="Z100" i="21"/>
  <c r="AM99" i="21"/>
  <c r="AL99" i="21"/>
  <c r="AI99" i="21"/>
  <c r="AH99" i="21"/>
  <c r="AG99" i="21"/>
  <c r="AF99" i="21"/>
  <c r="AE99" i="21"/>
  <c r="AD99" i="21"/>
  <c r="AC99" i="21"/>
  <c r="AB99" i="21"/>
  <c r="AA99" i="21"/>
  <c r="Z99" i="21"/>
  <c r="AM98" i="21"/>
  <c r="AL98" i="21"/>
  <c r="AI98" i="21"/>
  <c r="AH98" i="21"/>
  <c r="AG98" i="21"/>
  <c r="AF98" i="21"/>
  <c r="AE98" i="21"/>
  <c r="AD98" i="21"/>
  <c r="AC98" i="21"/>
  <c r="AB98" i="21"/>
  <c r="AA98" i="21"/>
  <c r="Z98" i="21"/>
  <c r="AM97" i="21"/>
  <c r="AL97" i="21"/>
  <c r="AI97" i="21"/>
  <c r="AH97" i="21"/>
  <c r="AG97" i="21"/>
  <c r="AF97" i="21"/>
  <c r="AE97" i="21"/>
  <c r="AD97" i="21"/>
  <c r="AC97" i="21"/>
  <c r="AB97" i="21"/>
  <c r="AA97" i="21"/>
  <c r="Z97" i="21"/>
  <c r="AM96" i="21"/>
  <c r="AL96" i="21"/>
  <c r="AI96" i="21"/>
  <c r="AH96" i="21"/>
  <c r="AG96" i="21"/>
  <c r="AF96" i="21"/>
  <c r="AE96" i="21"/>
  <c r="AD96" i="21"/>
  <c r="AC96" i="21"/>
  <c r="AB96" i="21"/>
  <c r="AA96" i="21"/>
  <c r="Z96" i="21"/>
  <c r="AM87" i="21"/>
  <c r="AL87" i="21"/>
  <c r="AK87" i="21"/>
  <c r="AJ87" i="21"/>
  <c r="AI87" i="21"/>
  <c r="AH87" i="21"/>
  <c r="AG87" i="21"/>
  <c r="AF87" i="21"/>
  <c r="AE87" i="21"/>
  <c r="AD87" i="21"/>
  <c r="AC87" i="21"/>
  <c r="AB87" i="21"/>
  <c r="AA87" i="21"/>
  <c r="Z87" i="21"/>
  <c r="Y87" i="21"/>
  <c r="X87" i="21"/>
  <c r="AM86" i="21"/>
  <c r="AL86" i="21"/>
  <c r="AI86" i="21"/>
  <c r="AH86" i="21"/>
  <c r="AG86" i="21"/>
  <c r="AF86" i="21"/>
  <c r="AE86" i="21"/>
  <c r="AD86" i="21"/>
  <c r="AC86" i="21"/>
  <c r="AA86" i="21"/>
  <c r="Y86" i="21"/>
  <c r="AM85" i="21"/>
  <c r="AL85" i="21"/>
  <c r="AI85" i="21"/>
  <c r="AH85" i="21"/>
  <c r="AG85" i="21"/>
  <c r="AF85" i="21"/>
  <c r="AE85" i="21"/>
  <c r="AD85" i="21"/>
  <c r="AC85" i="21"/>
  <c r="AA85" i="21"/>
  <c r="Y85" i="21"/>
  <c r="AM84" i="21"/>
  <c r="AL84" i="21"/>
  <c r="AK84" i="21"/>
  <c r="AJ84" i="21"/>
  <c r="AI84" i="21"/>
  <c r="AH84" i="21"/>
  <c r="AG84" i="21"/>
  <c r="AF84" i="21"/>
  <c r="AE84" i="21"/>
  <c r="AD84" i="21"/>
  <c r="AC84" i="21"/>
  <c r="AB84" i="21"/>
  <c r="AA84" i="21"/>
  <c r="Z84" i="21"/>
  <c r="Y84" i="21"/>
  <c r="X84" i="21"/>
  <c r="AM83" i="21"/>
  <c r="AL83" i="21"/>
  <c r="AK83" i="21"/>
  <c r="AJ83" i="21"/>
  <c r="AI83" i="21"/>
  <c r="AH83" i="21"/>
  <c r="AG83" i="21"/>
  <c r="AF83" i="21"/>
  <c r="AE83" i="21"/>
  <c r="AD83" i="21"/>
  <c r="AC83" i="21"/>
  <c r="AB83" i="21"/>
  <c r="AA83" i="21"/>
  <c r="Z83" i="21"/>
  <c r="Y83" i="21"/>
  <c r="X83" i="21"/>
  <c r="AM82" i="21"/>
  <c r="AL82" i="21"/>
  <c r="AK82" i="21"/>
  <c r="AJ82" i="21"/>
  <c r="AI82" i="21"/>
  <c r="AH82" i="21"/>
  <c r="AG82" i="21"/>
  <c r="AF82" i="21"/>
  <c r="AE82" i="21"/>
  <c r="AD82" i="21"/>
  <c r="AC82" i="21"/>
  <c r="AB82" i="21"/>
  <c r="AA82" i="21"/>
  <c r="Z82" i="21"/>
  <c r="Y82" i="21"/>
  <c r="X82" i="21"/>
  <c r="AM81" i="21"/>
  <c r="AL81" i="21"/>
  <c r="AI81" i="21"/>
  <c r="AH81" i="21"/>
  <c r="AG81" i="21"/>
  <c r="AF81" i="21"/>
  <c r="AE81" i="21"/>
  <c r="AD81" i="21"/>
  <c r="AC81" i="21"/>
  <c r="AA81" i="21"/>
  <c r="Y81" i="21"/>
  <c r="AM80" i="21"/>
  <c r="AL80" i="21"/>
  <c r="AK80" i="21"/>
  <c r="AJ80" i="21"/>
  <c r="AI80" i="21"/>
  <c r="AH80" i="21"/>
  <c r="AG80" i="21"/>
  <c r="AF80" i="21"/>
  <c r="AE80" i="21"/>
  <c r="AD80" i="21"/>
  <c r="AC80" i="21"/>
  <c r="AB80" i="21"/>
  <c r="AA80" i="21"/>
  <c r="Z80" i="21"/>
  <c r="Y80" i="21"/>
  <c r="X80" i="21"/>
  <c r="AM79" i="21"/>
  <c r="AL79" i="21"/>
  <c r="AK79" i="21"/>
  <c r="AJ79" i="21"/>
  <c r="AI79" i="21"/>
  <c r="AH79" i="21"/>
  <c r="AG79" i="21"/>
  <c r="AF79" i="21"/>
  <c r="AE79" i="21"/>
  <c r="AD79" i="21"/>
  <c r="AC79" i="21"/>
  <c r="AB79" i="21"/>
  <c r="AA79" i="21"/>
  <c r="Z79" i="21"/>
  <c r="Y79" i="21"/>
  <c r="X79" i="21"/>
  <c r="AM78" i="21"/>
  <c r="AL78" i="21"/>
  <c r="AK78" i="21"/>
  <c r="AJ78" i="21"/>
  <c r="AI78" i="21"/>
  <c r="AH78" i="21"/>
  <c r="AG78" i="21"/>
  <c r="AF78" i="21"/>
  <c r="AE78" i="21"/>
  <c r="AD78" i="21"/>
  <c r="AC78" i="21"/>
  <c r="AB78" i="21"/>
  <c r="AA78" i="21"/>
  <c r="Z78" i="21"/>
  <c r="Y78" i="21"/>
  <c r="X78" i="21"/>
  <c r="AM77" i="21"/>
  <c r="AL77" i="21"/>
  <c r="AI77" i="21"/>
  <c r="AH77" i="21"/>
  <c r="AG77" i="21"/>
  <c r="AF77" i="21"/>
  <c r="AE77" i="21"/>
  <c r="AD77" i="21"/>
  <c r="AC77" i="21"/>
  <c r="AA77" i="21"/>
  <c r="Y77" i="21"/>
  <c r="AM76" i="21"/>
  <c r="AL76" i="21"/>
  <c r="AI76" i="21"/>
  <c r="AH76" i="21"/>
  <c r="AG76" i="21"/>
  <c r="AF76" i="21"/>
  <c r="AE76" i="21"/>
  <c r="AD76" i="21"/>
  <c r="AC76" i="21"/>
  <c r="AA76" i="21"/>
  <c r="Y76" i="21"/>
  <c r="AM75" i="21"/>
  <c r="AL75" i="21"/>
  <c r="AK75" i="21"/>
  <c r="AJ75" i="21"/>
  <c r="AG75" i="21"/>
  <c r="AF75" i="21"/>
  <c r="AE75" i="21"/>
  <c r="AD75" i="21"/>
  <c r="AC75" i="21"/>
  <c r="AB75" i="21"/>
  <c r="AA75" i="21"/>
  <c r="Z75" i="21"/>
  <c r="AM74" i="21"/>
  <c r="AL74" i="21"/>
  <c r="AK74" i="21"/>
  <c r="AJ74" i="21"/>
  <c r="AI74" i="21"/>
  <c r="AH74" i="21"/>
  <c r="AG74" i="21"/>
  <c r="AF74" i="21"/>
  <c r="AE74" i="21"/>
  <c r="AD74" i="21"/>
  <c r="AC74" i="21"/>
  <c r="AB74" i="21"/>
  <c r="AA74" i="21"/>
  <c r="Z74" i="21"/>
  <c r="Y74" i="21"/>
  <c r="X74" i="21"/>
  <c r="AM73" i="21"/>
  <c r="AL73" i="21"/>
  <c r="AJ73" i="21"/>
  <c r="AI73" i="21"/>
  <c r="AH73" i="21"/>
  <c r="AF73" i="21"/>
  <c r="AE73" i="21"/>
  <c r="AD73" i="21"/>
  <c r="AC73" i="21"/>
  <c r="AA73" i="21"/>
  <c r="Y73" i="21"/>
  <c r="AM72" i="21"/>
  <c r="AL72" i="21"/>
  <c r="AI72" i="21"/>
  <c r="AH72" i="21"/>
  <c r="AG72" i="21"/>
  <c r="AF72" i="21"/>
  <c r="AE72" i="21"/>
  <c r="AD72" i="21"/>
  <c r="AC72" i="21"/>
  <c r="AA72" i="21"/>
  <c r="Y72" i="21"/>
  <c r="AM69" i="21"/>
  <c r="AL69" i="21"/>
  <c r="AJ69" i="21"/>
  <c r="AI69" i="21"/>
  <c r="AH69" i="21"/>
  <c r="AF69" i="21"/>
  <c r="AE69" i="21"/>
  <c r="AD69" i="21"/>
  <c r="AC69" i="21"/>
  <c r="AA69" i="21"/>
  <c r="Y69" i="21"/>
  <c r="AM68" i="21"/>
  <c r="AL68" i="21"/>
  <c r="AI68" i="21"/>
  <c r="AH68" i="21"/>
  <c r="AG68" i="21"/>
  <c r="AF68" i="21"/>
  <c r="AE68" i="21"/>
  <c r="AD68" i="21"/>
  <c r="AC68" i="21"/>
  <c r="AA68" i="21"/>
  <c r="Y68" i="21"/>
  <c r="AM67" i="21"/>
  <c r="AL67" i="21"/>
  <c r="AI67" i="21"/>
  <c r="AH67" i="21"/>
  <c r="AG67" i="21"/>
  <c r="AF67" i="21"/>
  <c r="AE67" i="21"/>
  <c r="AD67" i="21"/>
  <c r="AC67" i="21"/>
  <c r="AA67" i="21"/>
  <c r="Y67" i="21"/>
  <c r="AM66" i="21"/>
  <c r="BD66" i="21" s="1"/>
  <c r="AL66" i="21"/>
  <c r="BC66" i="21" s="1"/>
  <c r="BL66" i="21" s="1"/>
  <c r="AI66" i="21"/>
  <c r="AZ66" i="21" s="1"/>
  <c r="AH66" i="21"/>
  <c r="AY66" i="21" s="1"/>
  <c r="AG66" i="21"/>
  <c r="AX66" i="21" s="1"/>
  <c r="AF66" i="21"/>
  <c r="AW66" i="21" s="1"/>
  <c r="AE66" i="21"/>
  <c r="AV66" i="21" s="1"/>
  <c r="AD66" i="21"/>
  <c r="AU66" i="21" s="1"/>
  <c r="AC66" i="21"/>
  <c r="AT66" i="21" s="1"/>
  <c r="BJ66" i="21" s="1"/>
  <c r="AA66" i="21"/>
  <c r="AR66" i="21" s="1"/>
  <c r="Y66" i="21"/>
  <c r="AP66" i="21" s="1"/>
  <c r="AM65" i="21"/>
  <c r="BD65" i="21" s="1"/>
  <c r="BL65" i="21" s="1"/>
  <c r="AL65" i="21"/>
  <c r="BC65" i="21" s="1"/>
  <c r="AK65" i="21"/>
  <c r="AJ65" i="21"/>
  <c r="AI65" i="21"/>
  <c r="AZ65" i="21" s="1"/>
  <c r="AH65" i="21"/>
  <c r="AY65" i="21" s="1"/>
  <c r="AG65" i="21"/>
  <c r="AX65" i="21" s="1"/>
  <c r="AF65" i="21"/>
  <c r="AW65" i="21" s="1"/>
  <c r="AE65" i="21"/>
  <c r="AV65" i="21" s="1"/>
  <c r="AD65" i="21"/>
  <c r="AU65" i="21" s="1"/>
  <c r="AC65" i="21"/>
  <c r="AT65" i="21" s="1"/>
  <c r="AB65" i="21"/>
  <c r="AA65" i="21"/>
  <c r="AR65" i="21" s="1"/>
  <c r="Z65" i="21"/>
  <c r="Y65" i="21"/>
  <c r="AP65" i="21" s="1"/>
  <c r="X65" i="21"/>
  <c r="AM64" i="21"/>
  <c r="BD64" i="21" s="1"/>
  <c r="AL64" i="21"/>
  <c r="BC64" i="21" s="1"/>
  <c r="AI64" i="21"/>
  <c r="AZ64" i="21" s="1"/>
  <c r="AH64" i="21"/>
  <c r="AY64" i="21" s="1"/>
  <c r="AG64" i="21"/>
  <c r="AX64" i="21" s="1"/>
  <c r="AF64" i="21"/>
  <c r="AW64" i="21" s="1"/>
  <c r="AE64" i="21"/>
  <c r="AV64" i="21" s="1"/>
  <c r="AD64" i="21"/>
  <c r="AU64" i="21" s="1"/>
  <c r="AC64" i="21"/>
  <c r="AT64" i="21" s="1"/>
  <c r="AA64" i="21"/>
  <c r="AR64" i="21" s="1"/>
  <c r="Y64" i="21"/>
  <c r="AP64" i="21" s="1"/>
  <c r="AM63" i="21"/>
  <c r="BD63" i="21" s="1"/>
  <c r="BL63" i="21" s="1"/>
  <c r="AL63" i="21"/>
  <c r="BC63" i="21" s="1"/>
  <c r="AI63" i="21"/>
  <c r="AZ63" i="21" s="1"/>
  <c r="AH63" i="21"/>
  <c r="AY63" i="21" s="1"/>
  <c r="AG63" i="21"/>
  <c r="AX63" i="21" s="1"/>
  <c r="AF63" i="21"/>
  <c r="AW63" i="21" s="1"/>
  <c r="AE63" i="21"/>
  <c r="AV63" i="21" s="1"/>
  <c r="AD63" i="21"/>
  <c r="AU63" i="21" s="1"/>
  <c r="AC63" i="21"/>
  <c r="AT63" i="21" s="1"/>
  <c r="AA63" i="21"/>
  <c r="AR63" i="21" s="1"/>
  <c r="Y63" i="21"/>
  <c r="AP63" i="21" s="1"/>
  <c r="AM62" i="21"/>
  <c r="BD62" i="21" s="1"/>
  <c r="AL62" i="21"/>
  <c r="BC62" i="21" s="1"/>
  <c r="BL62" i="21" s="1"/>
  <c r="AI62" i="21"/>
  <c r="AZ62" i="21" s="1"/>
  <c r="AH62" i="21"/>
  <c r="AY62" i="21" s="1"/>
  <c r="AG62" i="21"/>
  <c r="AX62" i="21" s="1"/>
  <c r="AF62" i="21"/>
  <c r="AW62" i="21" s="1"/>
  <c r="AE62" i="21"/>
  <c r="AV62" i="21" s="1"/>
  <c r="AD62" i="21"/>
  <c r="AU62" i="21" s="1"/>
  <c r="AC62" i="21"/>
  <c r="AT62" i="21" s="1"/>
  <c r="AA62" i="21"/>
  <c r="AR62" i="21" s="1"/>
  <c r="Y62" i="21"/>
  <c r="AP62" i="21" s="1"/>
  <c r="AM61" i="21"/>
  <c r="BD61" i="21" s="1"/>
  <c r="AL61" i="21"/>
  <c r="BC61" i="21" s="1"/>
  <c r="AI61" i="21"/>
  <c r="AZ61" i="21" s="1"/>
  <c r="AH61" i="21"/>
  <c r="AY61" i="21" s="1"/>
  <c r="AG61" i="21"/>
  <c r="AX61" i="21" s="1"/>
  <c r="AF61" i="21"/>
  <c r="AW61" i="21" s="1"/>
  <c r="AE61" i="21"/>
  <c r="AV61" i="21" s="1"/>
  <c r="AD61" i="21"/>
  <c r="AU61" i="21" s="1"/>
  <c r="AC61" i="21"/>
  <c r="AT61" i="21" s="1"/>
  <c r="AA61" i="21"/>
  <c r="AR61" i="21" s="1"/>
  <c r="Y61" i="21"/>
  <c r="AP61" i="21" s="1"/>
  <c r="AM60" i="21"/>
  <c r="BD60" i="21" s="1"/>
  <c r="AL60" i="21"/>
  <c r="BC60" i="21" s="1"/>
  <c r="BL60" i="21" s="1"/>
  <c r="AI60" i="21"/>
  <c r="AZ60" i="21" s="1"/>
  <c r="AH60" i="21"/>
  <c r="AY60" i="21" s="1"/>
  <c r="AG60" i="21"/>
  <c r="AX60" i="21" s="1"/>
  <c r="AF60" i="21"/>
  <c r="AW60" i="21" s="1"/>
  <c r="AE60" i="21"/>
  <c r="AV60" i="21" s="1"/>
  <c r="AD60" i="21"/>
  <c r="AU60" i="21" s="1"/>
  <c r="AC60" i="21"/>
  <c r="AT60" i="21" s="1"/>
  <c r="AA60" i="21"/>
  <c r="AR60" i="21" s="1"/>
  <c r="Y60" i="21"/>
  <c r="AP60" i="21" s="1"/>
  <c r="AM59" i="21"/>
  <c r="BD59" i="21" s="1"/>
  <c r="AL59" i="21"/>
  <c r="BC59" i="21" s="1"/>
  <c r="AI59" i="21"/>
  <c r="AZ59" i="21" s="1"/>
  <c r="AH59" i="21"/>
  <c r="AY59" i="21" s="1"/>
  <c r="AG59" i="21"/>
  <c r="AX59" i="21" s="1"/>
  <c r="AF59" i="21"/>
  <c r="AW59" i="21" s="1"/>
  <c r="AE59" i="21"/>
  <c r="AV59" i="21" s="1"/>
  <c r="AD59" i="21"/>
  <c r="AU59" i="21" s="1"/>
  <c r="AC59" i="21"/>
  <c r="AT59" i="21" s="1"/>
  <c r="BJ59" i="21" s="1"/>
  <c r="AA59" i="21"/>
  <c r="AR59" i="21" s="1"/>
  <c r="Y59" i="21"/>
  <c r="AP59" i="21" s="1"/>
  <c r="AM58" i="21"/>
  <c r="BD58" i="21" s="1"/>
  <c r="AL58" i="21"/>
  <c r="BC58" i="21" s="1"/>
  <c r="BL58" i="21" s="1"/>
  <c r="AI58" i="21"/>
  <c r="AZ58" i="21" s="1"/>
  <c r="AH58" i="21"/>
  <c r="AY58" i="21" s="1"/>
  <c r="AG58" i="21"/>
  <c r="AX58" i="21" s="1"/>
  <c r="AF58" i="21"/>
  <c r="AW58" i="21" s="1"/>
  <c r="AE58" i="21"/>
  <c r="AV58" i="21" s="1"/>
  <c r="AD58" i="21"/>
  <c r="AU58" i="21" s="1"/>
  <c r="AC58" i="21"/>
  <c r="AT58" i="21" s="1"/>
  <c r="AA58" i="21"/>
  <c r="AR58" i="21" s="1"/>
  <c r="Y58" i="21"/>
  <c r="AP58" i="21" s="1"/>
  <c r="AM57" i="21"/>
  <c r="BD57" i="21" s="1"/>
  <c r="BL57" i="21" s="1"/>
  <c r="AL57" i="21"/>
  <c r="BC57" i="21" s="1"/>
  <c r="AK57" i="21"/>
  <c r="BB57" i="21" s="1"/>
  <c r="AJ57" i="21"/>
  <c r="AI57" i="21"/>
  <c r="AZ57" i="21" s="1"/>
  <c r="AH57" i="21"/>
  <c r="AY57" i="21" s="1"/>
  <c r="AG57" i="21"/>
  <c r="AX57" i="21" s="1"/>
  <c r="AF57" i="21"/>
  <c r="AW57" i="21" s="1"/>
  <c r="AE57" i="21"/>
  <c r="AV57" i="21" s="1"/>
  <c r="AD57" i="21"/>
  <c r="AU57" i="21" s="1"/>
  <c r="AC57" i="21"/>
  <c r="AT57" i="21" s="1"/>
  <c r="BJ57" i="21" s="1"/>
  <c r="AB57" i="21"/>
  <c r="AA57" i="21"/>
  <c r="AR57" i="21" s="1"/>
  <c r="Z57" i="21"/>
  <c r="AQ57" i="21" s="1"/>
  <c r="Y57" i="21"/>
  <c r="X57" i="21"/>
  <c r="AM56" i="21"/>
  <c r="BD56" i="21" s="1"/>
  <c r="AL56" i="21"/>
  <c r="BC56" i="21" s="1"/>
  <c r="AI56" i="21"/>
  <c r="AZ56" i="21" s="1"/>
  <c r="AH56" i="21"/>
  <c r="AY56" i="21" s="1"/>
  <c r="AG56" i="21"/>
  <c r="AX56" i="21" s="1"/>
  <c r="AF56" i="21"/>
  <c r="AW56" i="21" s="1"/>
  <c r="AE56" i="21"/>
  <c r="AV56" i="21" s="1"/>
  <c r="AD56" i="21"/>
  <c r="AU56" i="21" s="1"/>
  <c r="AC56" i="21"/>
  <c r="AT56" i="21" s="1"/>
  <c r="AA56" i="21"/>
  <c r="AR56" i="21" s="1"/>
  <c r="Y56" i="21"/>
  <c r="AP56" i="21" s="1"/>
  <c r="AM55" i="21"/>
  <c r="BD55" i="21" s="1"/>
  <c r="AL55" i="21"/>
  <c r="BC55" i="21" s="1"/>
  <c r="AI55" i="21"/>
  <c r="AZ55" i="21" s="1"/>
  <c r="AH55" i="21"/>
  <c r="AY55" i="21" s="1"/>
  <c r="AG55" i="21"/>
  <c r="AX55" i="21" s="1"/>
  <c r="AF55" i="21"/>
  <c r="AW55" i="21" s="1"/>
  <c r="AE55" i="21"/>
  <c r="AV55" i="21" s="1"/>
  <c r="AD55" i="21"/>
  <c r="AU55" i="21" s="1"/>
  <c r="AC55" i="21"/>
  <c r="AT55" i="21" s="1"/>
  <c r="AA55" i="21"/>
  <c r="AR55" i="21" s="1"/>
  <c r="Y55" i="21"/>
  <c r="AP55" i="21" s="1"/>
  <c r="AM54" i="21"/>
  <c r="AL54" i="21"/>
  <c r="AK54" i="21"/>
  <c r="AJ54" i="21"/>
  <c r="AI54" i="21"/>
  <c r="AH54" i="21"/>
  <c r="AG54" i="21"/>
  <c r="AF54" i="21"/>
  <c r="AE54" i="21"/>
  <c r="AD54" i="21"/>
  <c r="AC54" i="21"/>
  <c r="AB54" i="21"/>
  <c r="AA54" i="21"/>
  <c r="Z54" i="21"/>
  <c r="Y54" i="21"/>
  <c r="X54" i="21"/>
  <c r="AM53" i="21"/>
  <c r="AL53" i="21"/>
  <c r="AI53" i="21"/>
  <c r="AH53" i="21"/>
  <c r="AG53" i="21"/>
  <c r="AF53" i="21"/>
  <c r="AE53" i="21"/>
  <c r="AD53" i="21"/>
  <c r="AC53" i="21"/>
  <c r="AA53" i="21"/>
  <c r="Y53" i="21"/>
  <c r="AM52" i="21"/>
  <c r="AL52" i="21"/>
  <c r="AK52" i="21"/>
  <c r="AJ52" i="21"/>
  <c r="AG52" i="21"/>
  <c r="AF52" i="21"/>
  <c r="AE52" i="21"/>
  <c r="AD52" i="21"/>
  <c r="AC52" i="21"/>
  <c r="AB52" i="21"/>
  <c r="AA52" i="21"/>
  <c r="AM51" i="21"/>
  <c r="AL51" i="21"/>
  <c r="AK51" i="21"/>
  <c r="AJ51" i="21"/>
  <c r="AI51" i="21"/>
  <c r="AH51" i="21"/>
  <c r="AG51" i="21"/>
  <c r="AF51" i="21"/>
  <c r="AE51" i="21"/>
  <c r="AD51" i="21"/>
  <c r="AC51" i="21"/>
  <c r="AB51" i="21"/>
  <c r="AA51" i="21"/>
  <c r="Z51" i="21"/>
  <c r="Y51" i="21"/>
  <c r="X51" i="21"/>
  <c r="AM50" i="21"/>
  <c r="AL50" i="21"/>
  <c r="AJ50" i="21"/>
  <c r="AI50" i="21"/>
  <c r="AH50" i="21"/>
  <c r="AF50" i="21"/>
  <c r="AE50" i="21"/>
  <c r="AD50" i="21"/>
  <c r="AC50" i="21"/>
  <c r="AA50" i="21"/>
  <c r="Y50" i="21"/>
  <c r="AM49" i="21"/>
  <c r="AL49" i="21"/>
  <c r="AI49" i="21"/>
  <c r="AH49" i="21"/>
  <c r="AG49" i="21"/>
  <c r="AF49" i="21"/>
  <c r="AE49" i="21"/>
  <c r="AD49" i="21"/>
  <c r="AC49" i="21"/>
  <c r="AA49" i="21"/>
  <c r="Y49" i="21"/>
  <c r="AM48" i="21"/>
  <c r="AL48" i="21"/>
  <c r="AK48" i="21"/>
  <c r="AJ48" i="21"/>
  <c r="AI48" i="21"/>
  <c r="AH48" i="21"/>
  <c r="AG48" i="21"/>
  <c r="AF48" i="21"/>
  <c r="AE48" i="21"/>
  <c r="AD48" i="21"/>
  <c r="AC48" i="21"/>
  <c r="AB48" i="21"/>
  <c r="AA48" i="21"/>
  <c r="Z48" i="21"/>
  <c r="Y48" i="21"/>
  <c r="X48" i="21"/>
  <c r="AM47" i="21"/>
  <c r="AL47" i="21"/>
  <c r="AK47" i="21"/>
  <c r="AJ47" i="21"/>
  <c r="AI47" i="21"/>
  <c r="AH47" i="21"/>
  <c r="AG47" i="21"/>
  <c r="AF47" i="21"/>
  <c r="AE47" i="21"/>
  <c r="AD47" i="21"/>
  <c r="AA47" i="21"/>
  <c r="Y47" i="21"/>
  <c r="AM46" i="21"/>
  <c r="AL46" i="21"/>
  <c r="AK46" i="21"/>
  <c r="AJ46" i="21"/>
  <c r="AI46" i="21"/>
  <c r="AH46" i="21"/>
  <c r="AG46" i="21"/>
  <c r="AF46" i="21"/>
  <c r="AE46" i="21"/>
  <c r="AD46" i="21"/>
  <c r="AC46" i="21"/>
  <c r="AA46" i="21"/>
  <c r="Y46" i="21"/>
  <c r="AM45" i="21"/>
  <c r="AL45" i="21"/>
  <c r="AK45" i="21"/>
  <c r="AJ45" i="21"/>
  <c r="AI45" i="21"/>
  <c r="AH45" i="21"/>
  <c r="AG45" i="21"/>
  <c r="AF45" i="21"/>
  <c r="AE45" i="21"/>
  <c r="AD45" i="21"/>
  <c r="AB45" i="21"/>
  <c r="AA45" i="21"/>
  <c r="Z45" i="21"/>
  <c r="AM44" i="21"/>
  <c r="AL44" i="21"/>
  <c r="AK44" i="21"/>
  <c r="AJ44" i="21"/>
  <c r="AI44" i="21"/>
  <c r="AH44" i="21"/>
  <c r="AG44" i="21"/>
  <c r="AF44" i="21"/>
  <c r="AE44" i="21"/>
  <c r="AD44" i="21"/>
  <c r="AC44" i="21"/>
  <c r="AB44" i="21"/>
  <c r="AA44" i="21"/>
  <c r="Z44" i="21"/>
  <c r="AM41" i="21"/>
  <c r="AL41" i="21"/>
  <c r="AK41" i="21"/>
  <c r="AJ41" i="21"/>
  <c r="AG41" i="21"/>
  <c r="AF41" i="21"/>
  <c r="AE41" i="21"/>
  <c r="AD41" i="21"/>
  <c r="AC41" i="21"/>
  <c r="AB41" i="21"/>
  <c r="AA41" i="21"/>
  <c r="Z41" i="21"/>
  <c r="AM40" i="21"/>
  <c r="AL40" i="21"/>
  <c r="AJ40" i="21"/>
  <c r="AI40" i="21"/>
  <c r="AH40" i="21"/>
  <c r="AG40" i="21"/>
  <c r="AF40" i="21"/>
  <c r="AE40" i="21"/>
  <c r="AD40" i="21"/>
  <c r="AC40" i="21"/>
  <c r="Y40" i="21"/>
  <c r="AM39" i="21"/>
  <c r="AL39" i="21"/>
  <c r="AK39" i="21"/>
  <c r="AJ39" i="21"/>
  <c r="AI39" i="21"/>
  <c r="AH39" i="21"/>
  <c r="AG39" i="21"/>
  <c r="AF39" i="21"/>
  <c r="AE39" i="21"/>
  <c r="AD39" i="21"/>
  <c r="AC39" i="21"/>
  <c r="Y39" i="21"/>
  <c r="AM38" i="21"/>
  <c r="AL38" i="21"/>
  <c r="AK38" i="21"/>
  <c r="AJ38" i="21"/>
  <c r="AI38" i="21"/>
  <c r="AH38" i="21"/>
  <c r="AG38" i="21"/>
  <c r="AF38" i="21"/>
  <c r="AE38" i="21"/>
  <c r="AD38" i="21"/>
  <c r="AC38" i="21"/>
  <c r="AB38" i="21"/>
  <c r="AA38" i="21"/>
  <c r="Z38" i="21"/>
  <c r="Y38" i="21"/>
  <c r="X38" i="21"/>
  <c r="AM37" i="21"/>
  <c r="AL37" i="21"/>
  <c r="AK37" i="21"/>
  <c r="AJ37" i="21"/>
  <c r="AI37" i="21"/>
  <c r="AH37" i="21"/>
  <c r="AG37" i="21"/>
  <c r="AF37" i="21"/>
  <c r="AE37" i="21"/>
  <c r="AD37" i="21"/>
  <c r="AB37" i="21"/>
  <c r="AA37" i="21"/>
  <c r="Z37" i="21"/>
  <c r="Y37" i="21"/>
  <c r="AM36" i="21"/>
  <c r="AL36" i="21"/>
  <c r="AK36" i="21"/>
  <c r="AJ36" i="21"/>
  <c r="AI36" i="21"/>
  <c r="AH36" i="21"/>
  <c r="AG36" i="21"/>
  <c r="AF36" i="21"/>
  <c r="AE36" i="21"/>
  <c r="AD36" i="21"/>
  <c r="AA36" i="21"/>
  <c r="Y36" i="21"/>
  <c r="AM35" i="21"/>
  <c r="AL35" i="21"/>
  <c r="AK35" i="21"/>
  <c r="AJ35" i="21"/>
  <c r="AI35" i="21"/>
  <c r="AH35" i="21"/>
  <c r="AG35" i="21"/>
  <c r="AF35" i="21"/>
  <c r="AE35" i="21"/>
  <c r="AD35" i="21"/>
  <c r="AC35" i="21"/>
  <c r="AA35" i="21"/>
  <c r="Y35" i="21"/>
  <c r="AM34" i="21"/>
  <c r="AL34" i="21"/>
  <c r="AK34" i="21"/>
  <c r="AJ34" i="21"/>
  <c r="AI34" i="21"/>
  <c r="AH34" i="21"/>
  <c r="AG34" i="21"/>
  <c r="AF34" i="21"/>
  <c r="AE34" i="21"/>
  <c r="AD34" i="21"/>
  <c r="AB34" i="21"/>
  <c r="AA34" i="21"/>
  <c r="Z34" i="21"/>
  <c r="AM33" i="21"/>
  <c r="AL33" i="21"/>
  <c r="AK33" i="21"/>
  <c r="AJ33" i="21"/>
  <c r="AI33" i="21"/>
  <c r="AH33" i="21"/>
  <c r="AG33" i="21"/>
  <c r="AF33" i="21"/>
  <c r="AE33" i="21"/>
  <c r="AD33" i="21"/>
  <c r="AC33" i="21"/>
  <c r="AB33" i="21"/>
  <c r="AA33" i="21"/>
  <c r="Z33" i="21"/>
  <c r="AM32" i="21"/>
  <c r="AL32" i="21"/>
  <c r="AK32" i="21"/>
  <c r="AJ32" i="21"/>
  <c r="AI32" i="21"/>
  <c r="AH32" i="21"/>
  <c r="AG32" i="21"/>
  <c r="AF32" i="21"/>
  <c r="AE32" i="21"/>
  <c r="AD32" i="21"/>
  <c r="AC32" i="21"/>
  <c r="AB32" i="21"/>
  <c r="AA32" i="21"/>
  <c r="Z32" i="21"/>
  <c r="Y32" i="21"/>
  <c r="X32" i="21"/>
  <c r="AM31" i="21"/>
  <c r="AL31" i="21"/>
  <c r="AK31" i="21"/>
  <c r="AJ31" i="21"/>
  <c r="AI31" i="21"/>
  <c r="AH31" i="21"/>
  <c r="AG31" i="21"/>
  <c r="AF31" i="21"/>
  <c r="AE31" i="21"/>
  <c r="AD31" i="21"/>
  <c r="AC31" i="21"/>
  <c r="AB31" i="21"/>
  <c r="AA31" i="21"/>
  <c r="Z31" i="21"/>
  <c r="AM30" i="21"/>
  <c r="AL30" i="21"/>
  <c r="AK30" i="21"/>
  <c r="AJ30" i="21"/>
  <c r="AI30" i="21"/>
  <c r="AH30" i="21"/>
  <c r="AG30" i="21"/>
  <c r="AF30" i="21"/>
  <c r="AE30" i="21"/>
  <c r="AD30" i="21"/>
  <c r="AC30" i="21"/>
  <c r="AB30" i="21"/>
  <c r="AA30" i="21"/>
  <c r="Z30" i="21"/>
  <c r="AM27" i="21"/>
  <c r="AL27" i="21"/>
  <c r="AK27" i="21"/>
  <c r="AJ27" i="21"/>
  <c r="AI27" i="21"/>
  <c r="AH27" i="21"/>
  <c r="AG27" i="21"/>
  <c r="AC27" i="21"/>
  <c r="Y27" i="21"/>
  <c r="AM26" i="21"/>
  <c r="AL26" i="21"/>
  <c r="AK26" i="21"/>
  <c r="AJ26" i="21"/>
  <c r="AI26" i="21"/>
  <c r="AH26" i="21"/>
  <c r="AG26" i="21"/>
  <c r="AF26" i="21"/>
  <c r="AE26" i="21"/>
  <c r="AD26" i="21"/>
  <c r="AC26" i="21"/>
  <c r="Y26" i="21"/>
  <c r="AM25" i="21"/>
  <c r="AK25" i="21"/>
  <c r="AJ25" i="21"/>
  <c r="AI25" i="21"/>
  <c r="AH25" i="21"/>
  <c r="AG25" i="21"/>
  <c r="AC25" i="21"/>
  <c r="Y25" i="21"/>
  <c r="AM24" i="21"/>
  <c r="AK24" i="21"/>
  <c r="AJ24" i="21"/>
  <c r="AI24" i="21"/>
  <c r="AH24" i="21"/>
  <c r="AG24" i="21"/>
  <c r="AF24" i="21"/>
  <c r="AE24" i="21"/>
  <c r="AD24" i="21"/>
  <c r="AC24" i="21"/>
  <c r="Y24" i="21"/>
  <c r="AM23" i="21"/>
  <c r="AL23" i="21"/>
  <c r="AK23" i="21"/>
  <c r="AJ23" i="21"/>
  <c r="AI23" i="21"/>
  <c r="AH23" i="21"/>
  <c r="AG23" i="21"/>
  <c r="AC23" i="21"/>
  <c r="Y23" i="21"/>
  <c r="AM22" i="21"/>
  <c r="AL22" i="21"/>
  <c r="AK22" i="21"/>
  <c r="AJ22" i="21"/>
  <c r="AI22" i="21"/>
  <c r="AH22" i="21"/>
  <c r="AG22" i="21"/>
  <c r="AF22" i="21"/>
  <c r="AE22" i="21"/>
  <c r="AD22" i="21"/>
  <c r="AC22" i="21"/>
  <c r="Y22" i="21"/>
  <c r="AM21" i="21"/>
  <c r="AL21" i="21"/>
  <c r="AK21" i="21"/>
  <c r="AJ21" i="21"/>
  <c r="AI21" i="21"/>
  <c r="AH21" i="21"/>
  <c r="AG21" i="21"/>
  <c r="AC21" i="21"/>
  <c r="AB21" i="21"/>
  <c r="AA21" i="21"/>
  <c r="Z21" i="21"/>
  <c r="AM20" i="21"/>
  <c r="AL20" i="21"/>
  <c r="AK20" i="21"/>
  <c r="AJ20" i="21"/>
  <c r="AI20" i="21"/>
  <c r="AH20" i="21"/>
  <c r="AG20" i="21"/>
  <c r="AF20" i="21"/>
  <c r="AE20" i="21"/>
  <c r="AD20" i="21"/>
  <c r="AC20" i="21"/>
  <c r="AB20" i="21"/>
  <c r="AA20" i="21"/>
  <c r="Z20" i="21"/>
  <c r="Y20" i="21"/>
  <c r="X20" i="21"/>
  <c r="AM19" i="21"/>
  <c r="AL19" i="21"/>
  <c r="AK19" i="21"/>
  <c r="AJ19" i="21"/>
  <c r="AI19" i="21"/>
  <c r="AH19" i="21"/>
  <c r="AG19" i="21"/>
  <c r="AF19" i="21"/>
  <c r="AE19" i="21"/>
  <c r="AD19" i="21"/>
  <c r="AB19" i="21"/>
  <c r="AA19" i="21"/>
  <c r="Z19" i="21"/>
  <c r="AM18" i="21"/>
  <c r="AL18" i="21"/>
  <c r="AK18" i="21"/>
  <c r="AJ18" i="21"/>
  <c r="AI18" i="21"/>
  <c r="AH18" i="21"/>
  <c r="AG18" i="21"/>
  <c r="AF18" i="21"/>
  <c r="AE18" i="21"/>
  <c r="AD18" i="21"/>
  <c r="AC18" i="21"/>
  <c r="AB18" i="21"/>
  <c r="AA18" i="21"/>
  <c r="Z18" i="21"/>
  <c r="S101" i="21"/>
  <c r="AL11" i="21"/>
  <c r="X11" i="21"/>
  <c r="AJ11" i="21" s="1"/>
  <c r="G11" i="21"/>
  <c r="BL76" i="20"/>
  <c r="BL75" i="20"/>
  <c r="BL74" i="20"/>
  <c r="BL73" i="20"/>
  <c r="BL72" i="20"/>
  <c r="BL71" i="20"/>
  <c r="BL70" i="20"/>
  <c r="BL69" i="20"/>
  <c r="BJ76" i="20"/>
  <c r="BJ75" i="20"/>
  <c r="BJ74" i="20"/>
  <c r="BJ73" i="20"/>
  <c r="BJ72" i="20"/>
  <c r="BJ71" i="20"/>
  <c r="BJ70" i="20"/>
  <c r="BJ69" i="20"/>
  <c r="AR76" i="20"/>
  <c r="AR75" i="20"/>
  <c r="AR74" i="20"/>
  <c r="AR73" i="20"/>
  <c r="AR72" i="20"/>
  <c r="AR71" i="20"/>
  <c r="AR70" i="20"/>
  <c r="AR69" i="20"/>
  <c r="AP76" i="20"/>
  <c r="AP75" i="20"/>
  <c r="AP74" i="20"/>
  <c r="AP73" i="20"/>
  <c r="AP72" i="20"/>
  <c r="AP71" i="20"/>
  <c r="AP70" i="20"/>
  <c r="AP69" i="20"/>
  <c r="X76" i="20"/>
  <c r="X75" i="20"/>
  <c r="X74" i="20"/>
  <c r="X73" i="20"/>
  <c r="X72" i="20"/>
  <c r="X71" i="20"/>
  <c r="X70" i="20"/>
  <c r="X69" i="20"/>
  <c r="V76" i="20"/>
  <c r="V75" i="20"/>
  <c r="V74" i="20"/>
  <c r="V73" i="20"/>
  <c r="V72" i="20"/>
  <c r="V71" i="20"/>
  <c r="V70" i="20"/>
  <c r="V69" i="20"/>
  <c r="D76" i="20"/>
  <c r="D75" i="20"/>
  <c r="D74" i="20"/>
  <c r="D73" i="20"/>
  <c r="D72" i="20"/>
  <c r="D71" i="20"/>
  <c r="D70" i="20"/>
  <c r="D69" i="20"/>
  <c r="B76" i="20"/>
  <c r="B75" i="20"/>
  <c r="B74" i="20"/>
  <c r="B73" i="20"/>
  <c r="B72" i="20"/>
  <c r="B71" i="20"/>
  <c r="B70" i="20"/>
  <c r="B69" i="20"/>
  <c r="BL51" i="20"/>
  <c r="BJ51" i="20"/>
  <c r="BL50" i="20"/>
  <c r="BJ50" i="20"/>
  <c r="BL49" i="20"/>
  <c r="BJ49" i="20"/>
  <c r="BL48" i="20"/>
  <c r="BJ48" i="20"/>
  <c r="BL47" i="20"/>
  <c r="BJ47" i="20"/>
  <c r="BL46" i="20"/>
  <c r="BJ46" i="20"/>
  <c r="BL45" i="20"/>
  <c r="BJ45" i="20"/>
  <c r="BL44" i="20"/>
  <c r="BJ44" i="20"/>
  <c r="BL43" i="20"/>
  <c r="BJ43" i="20"/>
  <c r="BL42" i="20"/>
  <c r="BJ42" i="20"/>
  <c r="BL41" i="20"/>
  <c r="BJ41" i="20"/>
  <c r="BL40" i="20"/>
  <c r="BJ40" i="20"/>
  <c r="BL39" i="20"/>
  <c r="BJ39" i="20"/>
  <c r="AR51" i="20"/>
  <c r="AP51" i="20"/>
  <c r="AR50" i="20"/>
  <c r="AP50" i="20"/>
  <c r="AR49" i="20"/>
  <c r="AP49" i="20"/>
  <c r="AR48" i="20"/>
  <c r="AP48" i="20"/>
  <c r="AR47" i="20"/>
  <c r="AP47" i="20"/>
  <c r="AR46" i="20"/>
  <c r="AP46" i="20"/>
  <c r="AR45" i="20"/>
  <c r="AP45" i="20"/>
  <c r="AR44" i="20"/>
  <c r="AP44" i="20"/>
  <c r="AR43" i="20"/>
  <c r="AP43" i="20"/>
  <c r="AR42" i="20"/>
  <c r="AP42" i="20"/>
  <c r="AR41" i="20"/>
  <c r="AP41" i="20"/>
  <c r="AR40" i="20"/>
  <c r="AP40" i="20"/>
  <c r="AR39" i="20"/>
  <c r="AP39" i="20"/>
  <c r="X51" i="20"/>
  <c r="V51" i="20"/>
  <c r="X50" i="20"/>
  <c r="V50" i="20"/>
  <c r="X49" i="20"/>
  <c r="V49" i="20"/>
  <c r="X48" i="20"/>
  <c r="V48" i="20"/>
  <c r="X47" i="20"/>
  <c r="V47" i="20"/>
  <c r="X46" i="20"/>
  <c r="V46" i="20"/>
  <c r="X45" i="20"/>
  <c r="V45" i="20"/>
  <c r="X44" i="20"/>
  <c r="V44" i="20"/>
  <c r="X43" i="20"/>
  <c r="V43" i="20"/>
  <c r="X42" i="20"/>
  <c r="V42" i="20"/>
  <c r="X41" i="20"/>
  <c r="V41" i="20"/>
  <c r="X40" i="20"/>
  <c r="V40" i="20"/>
  <c r="X39" i="20"/>
  <c r="V39" i="20"/>
  <c r="D51" i="20"/>
  <c r="D50" i="20"/>
  <c r="D49" i="20"/>
  <c r="D48" i="20"/>
  <c r="D47" i="20"/>
  <c r="D46" i="20"/>
  <c r="D45" i="20"/>
  <c r="D44" i="20"/>
  <c r="D43" i="20"/>
  <c r="D42" i="20"/>
  <c r="D41" i="20"/>
  <c r="D40" i="20"/>
  <c r="D39" i="20"/>
  <c r="B51" i="20"/>
  <c r="B50" i="20"/>
  <c r="B49" i="20"/>
  <c r="B48" i="20"/>
  <c r="B47" i="20"/>
  <c r="B46" i="20"/>
  <c r="B45" i="20"/>
  <c r="B44" i="20"/>
  <c r="B43" i="20"/>
  <c r="B42" i="20"/>
  <c r="B41" i="20"/>
  <c r="B40" i="20"/>
  <c r="B39" i="20"/>
  <c r="AS57" i="21" l="1"/>
  <c r="H101" i="23"/>
  <c r="S62" i="21"/>
  <c r="M27" i="24"/>
  <c r="AS65" i="21"/>
  <c r="BL59" i="21"/>
  <c r="Y11" i="21"/>
  <c r="AC11" i="21"/>
  <c r="AG11" i="21"/>
  <c r="K55" i="21"/>
  <c r="BF57" i="21"/>
  <c r="BO57" i="21" s="1"/>
  <c r="BJ61" i="21"/>
  <c r="BJ63" i="21"/>
  <c r="BL55" i="21"/>
  <c r="BJ58" i="22"/>
  <c r="BJ67" i="22"/>
  <c r="BJ64" i="21"/>
  <c r="BJ61" i="22"/>
  <c r="BJ63" i="23"/>
  <c r="BL63" i="23"/>
  <c r="BJ55" i="21"/>
  <c r="BL56" i="21"/>
  <c r="BJ55" i="22"/>
  <c r="BL62" i="22"/>
  <c r="BL56" i="22"/>
  <c r="BJ57" i="22"/>
  <c r="BL57" i="22"/>
  <c r="BJ59" i="22"/>
  <c r="BL66" i="22"/>
  <c r="BL55" i="23"/>
  <c r="BL64" i="23"/>
  <c r="BJ67" i="23"/>
  <c r="BJ56" i="21"/>
  <c r="BJ62" i="22"/>
  <c r="BJ61" i="23"/>
  <c r="BJ64" i="23"/>
  <c r="BJ60" i="21"/>
  <c r="BJ62" i="21"/>
  <c r="BJ56" i="22"/>
  <c r="BJ66" i="22"/>
  <c r="BJ65" i="23"/>
  <c r="BJ58" i="21"/>
  <c r="BL61" i="21"/>
  <c r="BJ65" i="21"/>
  <c r="BJ65" i="22"/>
  <c r="BJ62" i="23"/>
  <c r="BL64" i="21"/>
  <c r="BL61" i="22"/>
  <c r="BJ63" i="22"/>
  <c r="BL66" i="23"/>
  <c r="AO65" i="21"/>
  <c r="BH65" i="21" s="1"/>
  <c r="BF65" i="22"/>
  <c r="BO65" i="22" s="1"/>
  <c r="BF65" i="23"/>
  <c r="BO65" i="23" s="1"/>
  <c r="BF65" i="21"/>
  <c r="BO65" i="21" s="1"/>
  <c r="AP57" i="21"/>
  <c r="BF57" i="22"/>
  <c r="BO57" i="22" s="1"/>
  <c r="AQ65" i="21"/>
  <c r="BA65" i="21"/>
  <c r="BK65" i="22"/>
  <c r="BA57" i="21"/>
  <c r="BK57" i="21" s="1"/>
  <c r="BB65" i="21"/>
  <c r="AO57" i="21"/>
  <c r="BH57" i="21" s="1"/>
  <c r="BI57" i="22"/>
  <c r="T62" i="21"/>
  <c r="I66" i="21"/>
  <c r="I55" i="21"/>
  <c r="S66" i="21"/>
  <c r="T66" i="21"/>
  <c r="O27" i="24"/>
  <c r="N27" i="24"/>
  <c r="I62" i="23"/>
  <c r="I55" i="22"/>
  <c r="BK57" i="22"/>
  <c r="BI65" i="22"/>
  <c r="K62" i="21"/>
  <c r="BI65" i="23"/>
  <c r="G55" i="21"/>
  <c r="G66" i="21"/>
  <c r="BK65" i="23"/>
  <c r="BI57" i="21"/>
  <c r="T66" i="22"/>
  <c r="T66" i="23"/>
  <c r="S11" i="23"/>
  <c r="K62" i="23"/>
  <c r="U11" i="23"/>
  <c r="S62" i="23"/>
  <c r="T62" i="23"/>
  <c r="G66" i="23"/>
  <c r="G55" i="23"/>
  <c r="I66" i="23"/>
  <c r="K66" i="23"/>
  <c r="H11" i="23"/>
  <c r="S66" i="23"/>
  <c r="S11" i="22"/>
  <c r="K62" i="22"/>
  <c r="U11" i="22"/>
  <c r="S62" i="22"/>
  <c r="T62" i="22"/>
  <c r="G66" i="22"/>
  <c r="G55" i="22"/>
  <c r="I66" i="22"/>
  <c r="K66" i="22"/>
  <c r="H11" i="22"/>
  <c r="S66" i="22"/>
  <c r="J85" i="19" a="1"/>
  <c r="J85" i="19" s="1"/>
  <c r="K85" i="19" a="1"/>
  <c r="K85" i="19" s="1"/>
  <c r="G90" i="19"/>
  <c r="G89" i="19"/>
  <c r="G88" i="19"/>
  <c r="G87" i="19" a="1"/>
  <c r="G87" i="19" s="1"/>
  <c r="G86" i="19" a="1"/>
  <c r="G86" i="19" s="1"/>
  <c r="G85" i="19" a="1"/>
  <c r="G85" i="19" s="1"/>
  <c r="G61" i="19" a="1"/>
  <c r="G61" i="19" s="1"/>
  <c r="G43" i="19" a="1"/>
  <c r="G43" i="19" s="1"/>
  <c r="Q41" i="2"/>
  <c r="G7" i="9"/>
  <c r="G7" i="8"/>
  <c r="G7" i="2"/>
  <c r="H142" i="11"/>
  <c r="G142" i="11"/>
  <c r="F142" i="11"/>
  <c r="H141" i="11"/>
  <c r="G141" i="11"/>
  <c r="F141" i="11"/>
  <c r="H140" i="11"/>
  <c r="G140" i="11"/>
  <c r="F140" i="11"/>
  <c r="H139" i="11"/>
  <c r="G139" i="11"/>
  <c r="F139" i="11"/>
  <c r="H137" i="11"/>
  <c r="G137" i="11"/>
  <c r="F137" i="11"/>
  <c r="H136" i="11"/>
  <c r="G136" i="11"/>
  <c r="F136" i="11"/>
  <c r="H135" i="11"/>
  <c r="G135" i="11"/>
  <c r="F135" i="11"/>
  <c r="H134" i="11"/>
  <c r="G134" i="11"/>
  <c r="F134" i="11"/>
  <c r="H129" i="11"/>
  <c r="H128" i="11"/>
  <c r="H127" i="11"/>
  <c r="G127" i="11"/>
  <c r="H125" i="11"/>
  <c r="G125" i="11"/>
  <c r="F125" i="11"/>
  <c r="H124" i="11"/>
  <c r="G124" i="11"/>
  <c r="F124" i="11"/>
  <c r="H123" i="11"/>
  <c r="G123" i="11"/>
  <c r="F123" i="11"/>
  <c r="H122" i="11"/>
  <c r="G122" i="11"/>
  <c r="F122" i="11"/>
  <c r="H120" i="11"/>
  <c r="G120" i="11"/>
  <c r="F120" i="11"/>
  <c r="H119" i="11"/>
  <c r="G119" i="11"/>
  <c r="F119" i="11"/>
  <c r="H118" i="11"/>
  <c r="G118" i="11"/>
  <c r="F118" i="11"/>
  <c r="H117" i="11"/>
  <c r="G117" i="11"/>
  <c r="F117" i="11"/>
  <c r="H116" i="11"/>
  <c r="G116" i="11"/>
  <c r="F116" i="11"/>
  <c r="H114" i="11"/>
  <c r="G114" i="11"/>
  <c r="F114" i="11"/>
  <c r="H113" i="11"/>
  <c r="G113" i="11"/>
  <c r="F113" i="11"/>
  <c r="H112" i="11"/>
  <c r="G112" i="11"/>
  <c r="F112" i="11"/>
  <c r="H111" i="11"/>
  <c r="G111" i="11"/>
  <c r="F111" i="11"/>
  <c r="H110" i="11"/>
  <c r="G110" i="11"/>
  <c r="F110" i="11"/>
  <c r="H108" i="11"/>
  <c r="G108" i="11"/>
  <c r="F108" i="11"/>
  <c r="H107" i="11"/>
  <c r="G107" i="11"/>
  <c r="F107" i="11"/>
  <c r="H106" i="11"/>
  <c r="G106" i="11"/>
  <c r="F106" i="11"/>
  <c r="H105" i="11"/>
  <c r="G105" i="11"/>
  <c r="F105" i="11"/>
  <c r="H104" i="11"/>
  <c r="G104" i="11"/>
  <c r="F104" i="11"/>
  <c r="H90" i="11"/>
  <c r="G90" i="11"/>
  <c r="F90" i="11"/>
  <c r="H89" i="11"/>
  <c r="G89" i="11"/>
  <c r="F89" i="11"/>
  <c r="H88" i="11"/>
  <c r="G88" i="11"/>
  <c r="F88" i="11"/>
  <c r="H86" i="11"/>
  <c r="G86" i="11"/>
  <c r="F86" i="11"/>
  <c r="H85" i="11"/>
  <c r="G85" i="11"/>
  <c r="F85" i="11"/>
  <c r="H84" i="11"/>
  <c r="G84" i="11"/>
  <c r="F84" i="11"/>
  <c r="H82" i="11"/>
  <c r="G82" i="11"/>
  <c r="F82" i="11"/>
  <c r="H81" i="11"/>
  <c r="G81" i="11"/>
  <c r="F81" i="11"/>
  <c r="H79" i="11"/>
  <c r="G79" i="11"/>
  <c r="F79" i="11"/>
  <c r="H78" i="11"/>
  <c r="G78" i="11"/>
  <c r="F78" i="11"/>
  <c r="H77" i="11"/>
  <c r="G77" i="11"/>
  <c r="F77" i="11"/>
  <c r="H76" i="11"/>
  <c r="G76" i="11"/>
  <c r="F76" i="11"/>
  <c r="H74" i="11"/>
  <c r="G74" i="11"/>
  <c r="F74" i="11"/>
  <c r="H73" i="11"/>
  <c r="G73" i="11"/>
  <c r="F73" i="11"/>
  <c r="H72" i="11"/>
  <c r="G72" i="11"/>
  <c r="F72" i="11"/>
  <c r="H71" i="11"/>
  <c r="G71" i="11"/>
  <c r="F71" i="11"/>
  <c r="H70" i="11"/>
  <c r="G70" i="11"/>
  <c r="F70" i="11"/>
  <c r="H68" i="11"/>
  <c r="G68" i="11"/>
  <c r="F68" i="11"/>
  <c r="H67" i="11"/>
  <c r="G67" i="11"/>
  <c r="F67" i="11"/>
  <c r="H66" i="11"/>
  <c r="G66" i="11"/>
  <c r="F66" i="11"/>
  <c r="H65" i="11"/>
  <c r="G65" i="11"/>
  <c r="F65" i="11"/>
  <c r="H64" i="11"/>
  <c r="G64" i="11"/>
  <c r="F64" i="11"/>
  <c r="H52" i="11"/>
  <c r="G52" i="11"/>
  <c r="F52" i="11"/>
  <c r="H50" i="11"/>
  <c r="G50" i="11"/>
  <c r="F50" i="11"/>
  <c r="H48" i="11"/>
  <c r="G48" i="11"/>
  <c r="F48" i="11"/>
  <c r="H47" i="11"/>
  <c r="G47" i="11"/>
  <c r="F47" i="11"/>
  <c r="H46" i="11"/>
  <c r="G46" i="11"/>
  <c r="F46" i="11"/>
  <c r="H45" i="11"/>
  <c r="G45" i="11"/>
  <c r="F45" i="11"/>
  <c r="H43" i="11"/>
  <c r="G43" i="11"/>
  <c r="F43" i="11"/>
  <c r="H42" i="11"/>
  <c r="G42" i="11"/>
  <c r="F42" i="11"/>
  <c r="H41" i="11"/>
  <c r="G41" i="11"/>
  <c r="F41" i="11"/>
  <c r="H40" i="11"/>
  <c r="G40" i="11"/>
  <c r="F40" i="11"/>
  <c r="H39" i="11"/>
  <c r="G39" i="11"/>
  <c r="F39" i="11"/>
  <c r="H37" i="11"/>
  <c r="G37" i="11"/>
  <c r="F37" i="11"/>
  <c r="H36" i="11"/>
  <c r="G36" i="11"/>
  <c r="F36" i="11"/>
  <c r="H35" i="11"/>
  <c r="G35" i="11"/>
  <c r="F35" i="11"/>
  <c r="H34" i="11"/>
  <c r="G34" i="11"/>
  <c r="F34" i="11"/>
  <c r="H32" i="11"/>
  <c r="G32" i="11"/>
  <c r="F32" i="11"/>
  <c r="H31" i="11"/>
  <c r="G31" i="11"/>
  <c r="F31" i="11"/>
  <c r="H30" i="11"/>
  <c r="G30" i="11"/>
  <c r="F30" i="11"/>
  <c r="H28" i="11"/>
  <c r="G28" i="11"/>
  <c r="F28" i="11"/>
  <c r="H27" i="11"/>
  <c r="G27" i="11"/>
  <c r="F27" i="11"/>
  <c r="H24" i="11"/>
  <c r="G24" i="11"/>
  <c r="F24" i="11"/>
  <c r="H23" i="11"/>
  <c r="G23" i="11"/>
  <c r="F23" i="11"/>
  <c r="H22" i="11"/>
  <c r="G22" i="11"/>
  <c r="F22" i="11"/>
  <c r="H20" i="11"/>
  <c r="G20" i="11"/>
  <c r="F20" i="11"/>
  <c r="H18" i="11"/>
  <c r="G18" i="11"/>
  <c r="F18" i="11"/>
  <c r="H17" i="11"/>
  <c r="G17" i="11"/>
  <c r="F17" i="11"/>
  <c r="H16" i="11"/>
  <c r="G16" i="11"/>
  <c r="F16" i="11"/>
  <c r="H15" i="11"/>
  <c r="G15" i="11"/>
  <c r="F15" i="11"/>
  <c r="H14" i="11"/>
  <c r="G14" i="11"/>
  <c r="F14" i="11"/>
  <c r="H12" i="11"/>
  <c r="G12" i="11"/>
  <c r="F12" i="11"/>
  <c r="H11" i="11"/>
  <c r="G11" i="11"/>
  <c r="F11" i="11"/>
  <c r="H10" i="11"/>
  <c r="G10" i="11"/>
  <c r="F10" i="11"/>
  <c r="H9" i="11"/>
  <c r="G9" i="11"/>
  <c r="F9" i="11"/>
  <c r="BM57" i="22" l="1"/>
  <c r="BM65" i="22"/>
  <c r="BI65" i="21"/>
  <c r="BK65" i="21"/>
  <c r="BM65" i="21" s="1"/>
  <c r="BM57" i="21"/>
  <c r="BM65" i="23"/>
  <c r="J46" i="11"/>
  <c r="R75" i="9" l="1"/>
  <c r="L124" i="11" s="1"/>
  <c r="Q75" i="9"/>
  <c r="L123" i="11" s="1"/>
  <c r="R52" i="9"/>
  <c r="L78" i="11" s="1"/>
  <c r="Q52" i="9"/>
  <c r="L77" i="11" s="1"/>
  <c r="R41" i="9"/>
  <c r="L47" i="11" s="1"/>
  <c r="Q41" i="9"/>
  <c r="L46" i="11" s="1"/>
  <c r="R75" i="8"/>
  <c r="K124" i="11" s="1"/>
  <c r="Q75" i="8"/>
  <c r="K123" i="11" s="1"/>
  <c r="R52" i="8"/>
  <c r="K78" i="11" s="1"/>
  <c r="Q52" i="8"/>
  <c r="K77" i="11" s="1"/>
  <c r="R41" i="8"/>
  <c r="K47" i="11" s="1"/>
  <c r="Q41" i="8"/>
  <c r="V27" i="16"/>
  <c r="U27" i="16"/>
  <c r="T27" i="16"/>
  <c r="S27" i="16"/>
  <c r="R27" i="16"/>
  <c r="Q27" i="16"/>
  <c r="P27" i="16"/>
  <c r="L27" i="16"/>
  <c r="H27" i="16"/>
  <c r="V26" i="16"/>
  <c r="U26" i="16"/>
  <c r="T26" i="16"/>
  <c r="S26" i="16"/>
  <c r="R26" i="16"/>
  <c r="Q26" i="16"/>
  <c r="P26" i="16"/>
  <c r="O26" i="16"/>
  <c r="N26" i="16"/>
  <c r="M26" i="16"/>
  <c r="L26" i="16"/>
  <c r="H26" i="16"/>
  <c r="BT135" i="9"/>
  <c r="BT134" i="9"/>
  <c r="BT133" i="9"/>
  <c r="BT132" i="9"/>
  <c r="BT135" i="8"/>
  <c r="BT134" i="8"/>
  <c r="BT133" i="8"/>
  <c r="BT132" i="8"/>
  <c r="BT131" i="8"/>
  <c r="BT132" i="2"/>
  <c r="BT133" i="2"/>
  <c r="BT134" i="2"/>
  <c r="BT135" i="2"/>
  <c r="S116" i="2" l="1"/>
  <c r="J140" i="11" s="1"/>
  <c r="G116" i="2"/>
  <c r="J139" i="11" s="1"/>
  <c r="T96" i="2"/>
  <c r="J136" i="11" s="1"/>
  <c r="S96" i="2"/>
  <c r="J135" i="11" s="1"/>
  <c r="H116" i="2"/>
  <c r="J142" i="11" s="1"/>
  <c r="H96" i="2"/>
  <c r="J137" i="11" s="1"/>
  <c r="G96" i="2"/>
  <c r="J134" i="11" s="1"/>
  <c r="T116" i="2"/>
  <c r="J141" i="11" s="1"/>
  <c r="S77" i="2"/>
  <c r="J128" i="11" s="1"/>
  <c r="K73" i="2"/>
  <c r="J114" i="11" s="1"/>
  <c r="K72" i="2"/>
  <c r="J108" i="11" s="1"/>
  <c r="I77" i="2"/>
  <c r="J130" i="11" s="1"/>
  <c r="I73" i="2"/>
  <c r="J113" i="11" s="1"/>
  <c r="G77" i="2"/>
  <c r="J127" i="11" s="1"/>
  <c r="I72" i="2"/>
  <c r="J107" i="11" s="1"/>
  <c r="T73" i="2"/>
  <c r="J112" i="11" s="1"/>
  <c r="G73" i="2"/>
  <c r="J110" i="11" s="1"/>
  <c r="T72" i="2"/>
  <c r="J106" i="11" s="1"/>
  <c r="G72" i="2"/>
  <c r="J104" i="11" s="1"/>
  <c r="S72" i="2"/>
  <c r="J105" i="11" s="1"/>
  <c r="T77" i="2"/>
  <c r="J129" i="11" s="1"/>
  <c r="P73" i="2"/>
  <c r="J111" i="11" s="1"/>
  <c r="K77" i="2"/>
  <c r="J131" i="11" s="1"/>
  <c r="G53" i="2"/>
  <c r="J88" i="11" s="1"/>
  <c r="K49" i="2"/>
  <c r="J68" i="11" s="1"/>
  <c r="S53" i="2"/>
  <c r="J89" i="11" s="1"/>
  <c r="I49" i="2"/>
  <c r="J67" i="11" s="1"/>
  <c r="T50" i="2"/>
  <c r="J72" i="11" s="1"/>
  <c r="G50" i="2"/>
  <c r="J70" i="11" s="1"/>
  <c r="T49" i="2"/>
  <c r="J66" i="11" s="1"/>
  <c r="G49" i="2"/>
  <c r="J64" i="11" s="1"/>
  <c r="S49" i="2"/>
  <c r="J65" i="11" s="1"/>
  <c r="T53" i="2"/>
  <c r="J90" i="11" s="1"/>
  <c r="K53" i="2"/>
  <c r="J92" i="11" s="1"/>
  <c r="P50" i="2"/>
  <c r="J71" i="11" s="1"/>
  <c r="I50" i="2"/>
  <c r="J73" i="11" s="1"/>
  <c r="I53" i="2"/>
  <c r="J91" i="11" s="1"/>
  <c r="K50" i="2"/>
  <c r="J74" i="11" s="1"/>
  <c r="I40" i="2"/>
  <c r="J41" i="11" s="1"/>
  <c r="G37" i="2"/>
  <c r="J39" i="2"/>
  <c r="J36" i="11" s="1"/>
  <c r="H33" i="2"/>
  <c r="K39" i="2"/>
  <c r="J37" i="11" s="1"/>
  <c r="I39" i="2"/>
  <c r="J35" i="11" s="1"/>
  <c r="H34" i="2"/>
  <c r="H45" i="2" s="1"/>
  <c r="K36" i="2"/>
  <c r="K47" i="2" s="1"/>
  <c r="T40" i="2"/>
  <c r="J40" i="11" s="1"/>
  <c r="K35" i="2"/>
  <c r="K40" i="2"/>
  <c r="J43" i="11" s="1"/>
  <c r="I36" i="2"/>
  <c r="I47" i="2" s="1"/>
  <c r="J40" i="2"/>
  <c r="J42" i="11" s="1"/>
  <c r="I35" i="2"/>
  <c r="K46" i="11"/>
  <c r="M46" i="11" s="1"/>
  <c r="Q41" i="16"/>
  <c r="H116" i="8"/>
  <c r="K142" i="11" s="1"/>
  <c r="S116" i="8"/>
  <c r="K140" i="11" s="1"/>
  <c r="S96" i="8"/>
  <c r="K135" i="11" s="1"/>
  <c r="T116" i="8"/>
  <c r="K141" i="11" s="1"/>
  <c r="G96" i="8"/>
  <c r="K134" i="11" s="1"/>
  <c r="H96" i="8"/>
  <c r="T96" i="8"/>
  <c r="K136" i="11" s="1"/>
  <c r="G116" i="8"/>
  <c r="K139" i="11" s="1"/>
  <c r="H18" i="8"/>
  <c r="K7" i="11" s="1"/>
  <c r="K23" i="8"/>
  <c r="M21" i="8"/>
  <c r="O25" i="8"/>
  <c r="H19" i="8"/>
  <c r="I24" i="8"/>
  <c r="K15" i="11" s="1"/>
  <c r="N21" i="8"/>
  <c r="U24" i="8"/>
  <c r="K18" i="11" s="1"/>
  <c r="H21" i="8"/>
  <c r="J24" i="8"/>
  <c r="K16" i="11" s="1"/>
  <c r="O21" i="8"/>
  <c r="U25" i="8"/>
  <c r="J25" i="8"/>
  <c r="I22" i="8"/>
  <c r="K10" i="11" s="1"/>
  <c r="K24" i="8"/>
  <c r="K17" i="11" s="1"/>
  <c r="M23" i="8"/>
  <c r="M27" i="8" s="1"/>
  <c r="BF17" i="20" s="1"/>
  <c r="O23" i="8"/>
  <c r="K24" i="11" s="1"/>
  <c r="J22" i="8"/>
  <c r="K11" i="11" s="1"/>
  <c r="I25" i="8"/>
  <c r="N23" i="8"/>
  <c r="K23" i="11" s="1"/>
  <c r="K22" i="8"/>
  <c r="K12" i="11" s="1"/>
  <c r="I23" i="8"/>
  <c r="K25" i="8"/>
  <c r="M25" i="8"/>
  <c r="J23" i="8"/>
  <c r="L19" i="8"/>
  <c r="K20" i="11" s="1"/>
  <c r="K50" i="11" s="1"/>
  <c r="N25" i="8"/>
  <c r="K73" i="8"/>
  <c r="I77" i="8"/>
  <c r="K130" i="11" s="1"/>
  <c r="P73" i="8"/>
  <c r="K111" i="11" s="1"/>
  <c r="K77" i="8"/>
  <c r="K131" i="11" s="1"/>
  <c r="S72" i="8"/>
  <c r="K105" i="11" s="1"/>
  <c r="G72" i="8"/>
  <c r="K104" i="11" s="1"/>
  <c r="T72" i="8"/>
  <c r="K106" i="11" s="1"/>
  <c r="G73" i="8"/>
  <c r="K110" i="11" s="1"/>
  <c r="T73" i="8"/>
  <c r="K112" i="11" s="1"/>
  <c r="I72" i="8"/>
  <c r="K107" i="11" s="1"/>
  <c r="S77" i="8"/>
  <c r="K128" i="11" s="1"/>
  <c r="I73" i="8"/>
  <c r="K113" i="11" s="1"/>
  <c r="T77" i="8"/>
  <c r="K129" i="11" s="1"/>
  <c r="K72" i="8"/>
  <c r="G77" i="8"/>
  <c r="K127" i="11" s="1"/>
  <c r="K50" i="8"/>
  <c r="K74" i="11" s="1"/>
  <c r="S53" i="8"/>
  <c r="K89" i="11" s="1"/>
  <c r="P50" i="8"/>
  <c r="K71" i="11" s="1"/>
  <c r="T53" i="8"/>
  <c r="K90" i="11" s="1"/>
  <c r="S49" i="8"/>
  <c r="K65" i="11" s="1"/>
  <c r="G49" i="8"/>
  <c r="K64" i="11" s="1"/>
  <c r="T49" i="8"/>
  <c r="T76" i="8" s="1"/>
  <c r="K118" i="11" s="1"/>
  <c r="G50" i="8"/>
  <c r="K70" i="11" s="1"/>
  <c r="T50" i="8"/>
  <c r="K72" i="11" s="1"/>
  <c r="I49" i="8"/>
  <c r="K67" i="11" s="1"/>
  <c r="G53" i="8"/>
  <c r="K88" i="11" s="1"/>
  <c r="I50" i="8"/>
  <c r="K73" i="11" s="1"/>
  <c r="I53" i="8"/>
  <c r="K91" i="11" s="1"/>
  <c r="K49" i="8"/>
  <c r="K68" i="11" s="1"/>
  <c r="K53" i="8"/>
  <c r="K92" i="11" s="1"/>
  <c r="J39" i="8"/>
  <c r="K36" i="11" s="1"/>
  <c r="H33" i="8"/>
  <c r="K39" i="8"/>
  <c r="K37" i="11" s="1"/>
  <c r="H34" i="8"/>
  <c r="H45" i="8" s="1"/>
  <c r="I40" i="8"/>
  <c r="K41" i="11" s="1"/>
  <c r="I35" i="8"/>
  <c r="J40" i="8"/>
  <c r="K42" i="11" s="1"/>
  <c r="I36" i="8"/>
  <c r="I47" i="8" s="1"/>
  <c r="K40" i="8"/>
  <c r="K43" i="11" s="1"/>
  <c r="K35" i="8"/>
  <c r="T40" i="8"/>
  <c r="K40" i="11" s="1"/>
  <c r="K36" i="8"/>
  <c r="K47" i="8" s="1"/>
  <c r="I39" i="8"/>
  <c r="K35" i="11" s="1"/>
  <c r="T116" i="9"/>
  <c r="L141" i="11" s="1"/>
  <c r="S116" i="9"/>
  <c r="L140" i="11" s="1"/>
  <c r="H116" i="9"/>
  <c r="L142" i="11" s="1"/>
  <c r="G116" i="9"/>
  <c r="L139" i="11" s="1"/>
  <c r="T96" i="9"/>
  <c r="L136" i="11" s="1"/>
  <c r="S96" i="9"/>
  <c r="L135" i="11" s="1"/>
  <c r="H96" i="9"/>
  <c r="L137" i="11" s="1"/>
  <c r="G96" i="9"/>
  <c r="L134" i="11" s="1"/>
  <c r="K25" i="9"/>
  <c r="I23" i="9"/>
  <c r="J25" i="9"/>
  <c r="K22" i="9"/>
  <c r="L12" i="11" s="1"/>
  <c r="I25" i="9"/>
  <c r="J22" i="9"/>
  <c r="L11" i="11" s="1"/>
  <c r="K24" i="9"/>
  <c r="I22" i="9"/>
  <c r="L10" i="11" s="1"/>
  <c r="J24" i="9"/>
  <c r="H21" i="9"/>
  <c r="I24" i="9"/>
  <c r="L15" i="11" s="1"/>
  <c r="H19" i="9"/>
  <c r="K23" i="9"/>
  <c r="J23" i="9"/>
  <c r="U25" i="9"/>
  <c r="O21" i="9"/>
  <c r="U24" i="9"/>
  <c r="L18" i="11" s="1"/>
  <c r="N21" i="9"/>
  <c r="O25" i="9"/>
  <c r="M21" i="9"/>
  <c r="N25" i="9"/>
  <c r="L19" i="9"/>
  <c r="H18" i="9"/>
  <c r="M25" i="9"/>
  <c r="O23" i="9"/>
  <c r="N23" i="9"/>
  <c r="M23" i="9"/>
  <c r="T77" i="9"/>
  <c r="L129" i="11" s="1"/>
  <c r="P73" i="9"/>
  <c r="L111" i="11" s="1"/>
  <c r="T73" i="9"/>
  <c r="L112" i="11" s="1"/>
  <c r="S77" i="9"/>
  <c r="L128" i="11" s="1"/>
  <c r="K77" i="9"/>
  <c r="L131" i="11" s="1"/>
  <c r="T72" i="9"/>
  <c r="I77" i="9"/>
  <c r="L130" i="11" s="1"/>
  <c r="S72" i="9"/>
  <c r="L105" i="11" s="1"/>
  <c r="G77" i="9"/>
  <c r="L127" i="11" s="1"/>
  <c r="K72" i="9"/>
  <c r="G73" i="9"/>
  <c r="L110" i="11" s="1"/>
  <c r="I72" i="9"/>
  <c r="G72" i="9"/>
  <c r="L104" i="11" s="1"/>
  <c r="I73" i="9"/>
  <c r="K73" i="9"/>
  <c r="L114" i="11" s="1"/>
  <c r="S53" i="9"/>
  <c r="T50" i="9"/>
  <c r="L72" i="11" s="1"/>
  <c r="K53" i="9"/>
  <c r="L92" i="11" s="1"/>
  <c r="T49" i="9"/>
  <c r="I53" i="9"/>
  <c r="L91" i="11" s="1"/>
  <c r="S49" i="9"/>
  <c r="G53" i="9"/>
  <c r="K49" i="9"/>
  <c r="K50" i="9"/>
  <c r="L74" i="11" s="1"/>
  <c r="I49" i="9"/>
  <c r="L67" i="11" s="1"/>
  <c r="I50" i="9"/>
  <c r="G49" i="9"/>
  <c r="G50" i="9"/>
  <c r="T53" i="9"/>
  <c r="L90" i="11" s="1"/>
  <c r="P50" i="9"/>
  <c r="J40" i="9"/>
  <c r="L42" i="11" s="1"/>
  <c r="I35" i="9"/>
  <c r="H34" i="9"/>
  <c r="H45" i="9" s="1"/>
  <c r="I40" i="9"/>
  <c r="L41" i="11" s="1"/>
  <c r="K39" i="9"/>
  <c r="L37" i="11" s="1"/>
  <c r="H33" i="9"/>
  <c r="J39" i="9"/>
  <c r="L36" i="11" s="1"/>
  <c r="K35" i="9"/>
  <c r="I39" i="9"/>
  <c r="L35" i="11" s="1"/>
  <c r="L52" i="11"/>
  <c r="T40" i="9"/>
  <c r="L40" i="11" s="1"/>
  <c r="K36" i="9"/>
  <c r="K47" i="9" s="1"/>
  <c r="K40" i="9"/>
  <c r="L43" i="11" s="1"/>
  <c r="I36" i="9"/>
  <c r="I47" i="9" s="1"/>
  <c r="K114" i="11"/>
  <c r="K108" i="11"/>
  <c r="L89" i="11"/>
  <c r="L113" i="11"/>
  <c r="K27" i="9"/>
  <c r="L71" i="11"/>
  <c r="L16" i="11"/>
  <c r="L88" i="11"/>
  <c r="L106" i="11"/>
  <c r="J26" i="8" l="1"/>
  <c r="AV17" i="20" s="1"/>
  <c r="K137" i="11"/>
  <c r="M137" i="11" s="1"/>
  <c r="BV129" i="8"/>
  <c r="BW129" i="8" s="1"/>
  <c r="K46" i="2"/>
  <c r="J86" i="11" s="1"/>
  <c r="J32" i="11"/>
  <c r="I46" i="2"/>
  <c r="J85" i="11" s="1"/>
  <c r="J31" i="11"/>
  <c r="H44" i="2"/>
  <c r="J82" i="11" s="1"/>
  <c r="H31" i="2"/>
  <c r="H30" i="2"/>
  <c r="J52" i="11" s="1"/>
  <c r="J28" i="11"/>
  <c r="M130" i="11"/>
  <c r="M92" i="11"/>
  <c r="M129" i="11"/>
  <c r="M91" i="11"/>
  <c r="M131" i="11"/>
  <c r="M128" i="11"/>
  <c r="M141" i="11"/>
  <c r="K66" i="11"/>
  <c r="K22" i="11"/>
  <c r="M42" i="11"/>
  <c r="M105" i="11"/>
  <c r="M139" i="11"/>
  <c r="M136" i="11"/>
  <c r="M111" i="11"/>
  <c r="M110" i="11"/>
  <c r="M40" i="11"/>
  <c r="L73" i="11"/>
  <c r="M73" i="11" s="1"/>
  <c r="L70" i="11"/>
  <c r="M70" i="11" s="1"/>
  <c r="M127" i="11"/>
  <c r="L68" i="11"/>
  <c r="M68" i="11" s="1"/>
  <c r="M35" i="11"/>
  <c r="K76" i="8"/>
  <c r="K120" i="11" s="1"/>
  <c r="M89" i="11"/>
  <c r="I76" i="8"/>
  <c r="K119" i="11" s="1"/>
  <c r="O27" i="8"/>
  <c r="BH17" i="20" s="1"/>
  <c r="M67" i="11"/>
  <c r="M135" i="11"/>
  <c r="M41" i="11"/>
  <c r="M140" i="11"/>
  <c r="M74" i="11"/>
  <c r="M72" i="11"/>
  <c r="M106" i="11"/>
  <c r="M142" i="11"/>
  <c r="M90" i="11"/>
  <c r="S76" i="8"/>
  <c r="K117" i="11" s="1"/>
  <c r="M104" i="11"/>
  <c r="G76" i="8"/>
  <c r="K116" i="11" s="1"/>
  <c r="M114" i="11"/>
  <c r="N27" i="8"/>
  <c r="BG17" i="20" s="1"/>
  <c r="M134" i="11"/>
  <c r="M36" i="11"/>
  <c r="M43" i="11"/>
  <c r="M112" i="11"/>
  <c r="M71" i="11"/>
  <c r="M113" i="11"/>
  <c r="I46" i="8"/>
  <c r="K85" i="11" s="1"/>
  <c r="K31" i="11"/>
  <c r="H31" i="8"/>
  <c r="H44" i="8"/>
  <c r="K82" i="11" s="1"/>
  <c r="H30" i="8"/>
  <c r="K52" i="11" s="1"/>
  <c r="K28" i="11"/>
  <c r="K46" i="8"/>
  <c r="K86" i="11" s="1"/>
  <c r="K32" i="11"/>
  <c r="M37" i="11"/>
  <c r="M88" i="11"/>
  <c r="L17" i="11"/>
  <c r="K26" i="9"/>
  <c r="BQ17" i="20" s="1"/>
  <c r="L32" i="11"/>
  <c r="K46" i="9"/>
  <c r="L86" i="11" s="1"/>
  <c r="K76" i="9"/>
  <c r="L120" i="11" s="1"/>
  <c r="L108" i="11"/>
  <c r="M108" i="11" s="1"/>
  <c r="H44" i="9"/>
  <c r="L28" i="11"/>
  <c r="T76" i="9"/>
  <c r="L118" i="11" s="1"/>
  <c r="L66" i="11"/>
  <c r="S76" i="9"/>
  <c r="L117" i="11" s="1"/>
  <c r="L65" i="11"/>
  <c r="M65" i="11" s="1"/>
  <c r="L31" i="11"/>
  <c r="I46" i="9"/>
  <c r="L85" i="11" s="1"/>
  <c r="I76" i="9"/>
  <c r="L119" i="11" s="1"/>
  <c r="L107" i="11"/>
  <c r="M107" i="11" s="1"/>
  <c r="G76" i="9"/>
  <c r="L116" i="11" s="1"/>
  <c r="L64" i="11"/>
  <c r="M64" i="11" s="1"/>
  <c r="O27" i="9"/>
  <c r="CB17" i="20" s="1"/>
  <c r="L24" i="11"/>
  <c r="N27" i="9"/>
  <c r="L23" i="11"/>
  <c r="I26" i="9"/>
  <c r="L7" i="11"/>
  <c r="M27" i="9"/>
  <c r="L22" i="11"/>
  <c r="J26" i="9"/>
  <c r="K26" i="8"/>
  <c r="AW17" i="20" s="1"/>
  <c r="J27" i="8"/>
  <c r="I26" i="8"/>
  <c r="AU17" i="20" s="1"/>
  <c r="L36" i="8"/>
  <c r="L47" i="8"/>
  <c r="L34" i="8"/>
  <c r="L45" i="8"/>
  <c r="L37" i="8"/>
  <c r="M52" i="11" l="1"/>
  <c r="M66" i="11"/>
  <c r="L82" i="11"/>
  <c r="M82" i="11" s="1"/>
  <c r="M32" i="11"/>
  <c r="M85" i="11"/>
  <c r="M31" i="11"/>
  <c r="M86" i="11"/>
  <c r="M28" i="11"/>
  <c r="I27" i="9"/>
  <c r="BO17" i="20"/>
  <c r="CA17" i="20"/>
  <c r="J27" i="9"/>
  <c r="BP17" i="20"/>
  <c r="BZ17" i="20"/>
  <c r="K27" i="8"/>
  <c r="I27" i="8"/>
  <c r="BT131" i="2"/>
  <c r="T128" i="3"/>
  <c r="S128" i="3"/>
  <c r="T127" i="3"/>
  <c r="S127" i="3"/>
  <c r="T126" i="3"/>
  <c r="S126" i="3"/>
  <c r="T125" i="3"/>
  <c r="S125" i="3"/>
  <c r="T124" i="3"/>
  <c r="S124" i="3"/>
  <c r="T123" i="3"/>
  <c r="S123" i="3"/>
  <c r="T122" i="3"/>
  <c r="S122" i="3"/>
  <c r="T121" i="3"/>
  <c r="S121" i="3"/>
  <c r="T119" i="3"/>
  <c r="S119" i="3"/>
  <c r="T118" i="3"/>
  <c r="S118" i="3"/>
  <c r="T117" i="3"/>
  <c r="S117" i="3"/>
  <c r="T116" i="3"/>
  <c r="S116" i="3"/>
  <c r="H128" i="3"/>
  <c r="G128" i="3"/>
  <c r="H127" i="3"/>
  <c r="G127" i="3"/>
  <c r="H126" i="3"/>
  <c r="G126" i="3"/>
  <c r="H125" i="3"/>
  <c r="G125" i="3"/>
  <c r="H124" i="3"/>
  <c r="G124" i="3"/>
  <c r="H123" i="3"/>
  <c r="G123" i="3"/>
  <c r="H122" i="3"/>
  <c r="G122" i="3"/>
  <c r="H121" i="3"/>
  <c r="G121" i="3"/>
  <c r="H119" i="3"/>
  <c r="G119" i="3"/>
  <c r="H118" i="3"/>
  <c r="G118" i="3"/>
  <c r="H117" i="3"/>
  <c r="G117" i="3"/>
  <c r="H116" i="3"/>
  <c r="G116" i="3"/>
  <c r="T114" i="3"/>
  <c r="S114" i="3"/>
  <c r="T113" i="3"/>
  <c r="S113" i="3"/>
  <c r="T112" i="3"/>
  <c r="S112" i="3"/>
  <c r="T111" i="3"/>
  <c r="S111" i="3"/>
  <c r="T110" i="3"/>
  <c r="S110" i="3"/>
  <c r="T109" i="3"/>
  <c r="S109" i="3"/>
  <c r="T108" i="3"/>
  <c r="S108" i="3"/>
  <c r="T107" i="3"/>
  <c r="S107" i="3"/>
  <c r="T106" i="3"/>
  <c r="S106" i="3"/>
  <c r="T105" i="3"/>
  <c r="S105" i="3"/>
  <c r="H114" i="3"/>
  <c r="G114" i="3"/>
  <c r="H113" i="3"/>
  <c r="G113" i="3"/>
  <c r="H112" i="3"/>
  <c r="G112" i="3"/>
  <c r="H111" i="3"/>
  <c r="G111" i="3"/>
  <c r="H110" i="3"/>
  <c r="G110" i="3"/>
  <c r="H109" i="3"/>
  <c r="G109" i="3"/>
  <c r="H108" i="3"/>
  <c r="G108" i="3"/>
  <c r="H107" i="3"/>
  <c r="G107" i="3"/>
  <c r="H106" i="3"/>
  <c r="G106" i="3"/>
  <c r="H105" i="3"/>
  <c r="H162" i="3" s="1"/>
  <c r="I162" i="3" s="1"/>
  <c r="G105" i="3"/>
  <c r="T103" i="3"/>
  <c r="S103" i="3"/>
  <c r="T102" i="3"/>
  <c r="S102" i="3"/>
  <c r="T101" i="3"/>
  <c r="S101" i="3"/>
  <c r="T100" i="3"/>
  <c r="S100" i="3"/>
  <c r="T99" i="3"/>
  <c r="S99" i="3"/>
  <c r="T98" i="3"/>
  <c r="S98" i="3"/>
  <c r="T97" i="3"/>
  <c r="S97" i="3"/>
  <c r="T96" i="3"/>
  <c r="S96" i="3"/>
  <c r="H103" i="3"/>
  <c r="H102" i="3"/>
  <c r="H101" i="3"/>
  <c r="H100" i="3"/>
  <c r="H99" i="3"/>
  <c r="H98" i="3"/>
  <c r="H97" i="3"/>
  <c r="H96" i="3"/>
  <c r="G103" i="3"/>
  <c r="G102" i="3"/>
  <c r="G101" i="3"/>
  <c r="G100" i="3"/>
  <c r="G99" i="3"/>
  <c r="G98" i="3"/>
  <c r="G97" i="3"/>
  <c r="G96" i="3"/>
  <c r="K86" i="3"/>
  <c r="K85" i="3"/>
  <c r="K81" i="3"/>
  <c r="I86" i="3"/>
  <c r="I85" i="3"/>
  <c r="I81" i="3"/>
  <c r="G86" i="3"/>
  <c r="G85" i="3"/>
  <c r="G81" i="3"/>
  <c r="T86" i="3"/>
  <c r="S86" i="3"/>
  <c r="T85" i="3"/>
  <c r="S85" i="3"/>
  <c r="T81" i="3"/>
  <c r="S81" i="3"/>
  <c r="T77" i="3"/>
  <c r="S77" i="3"/>
  <c r="T76" i="3"/>
  <c r="S76" i="3"/>
  <c r="T73" i="3"/>
  <c r="T72" i="3"/>
  <c r="S72" i="3"/>
  <c r="R75" i="3"/>
  <c r="Q75" i="3"/>
  <c r="P73" i="3"/>
  <c r="K77" i="3"/>
  <c r="K76" i="3"/>
  <c r="K73" i="3"/>
  <c r="K72" i="3"/>
  <c r="I77" i="3"/>
  <c r="I76" i="3"/>
  <c r="I73" i="3"/>
  <c r="I72" i="3"/>
  <c r="H75" i="3"/>
  <c r="G77" i="3"/>
  <c r="G76" i="3"/>
  <c r="G75" i="3"/>
  <c r="G73" i="3"/>
  <c r="G72" i="3"/>
  <c r="H159" i="3" l="1"/>
  <c r="I159" i="3" s="1"/>
  <c r="H160" i="3"/>
  <c r="I160" i="3" s="1"/>
  <c r="H158" i="3"/>
  <c r="I158" i="3" s="1"/>
  <c r="H161" i="3"/>
  <c r="I161" i="3" s="1"/>
  <c r="K24" i="2"/>
  <c r="J17" i="11" s="1"/>
  <c r="M17" i="11" s="1"/>
  <c r="I22" i="2"/>
  <c r="J10" i="11" s="1"/>
  <c r="M10" i="11" s="1"/>
  <c r="N23" i="2"/>
  <c r="J23" i="11" s="1"/>
  <c r="M23" i="11" s="1"/>
  <c r="J24" i="2"/>
  <c r="J16" i="11" s="1"/>
  <c r="M16" i="11" s="1"/>
  <c r="I24" i="2"/>
  <c r="J15" i="11" s="1"/>
  <c r="M15" i="11" s="1"/>
  <c r="H19" i="2"/>
  <c r="O21" i="2"/>
  <c r="U25" i="2"/>
  <c r="K23" i="2"/>
  <c r="H18" i="2"/>
  <c r="N21" i="2"/>
  <c r="U24" i="2"/>
  <c r="J18" i="11" s="1"/>
  <c r="M18" i="11" s="1"/>
  <c r="J23" i="2"/>
  <c r="O25" i="2"/>
  <c r="M21" i="2"/>
  <c r="M23" i="2"/>
  <c r="J22" i="11" s="1"/>
  <c r="M22" i="11" s="1"/>
  <c r="K25" i="2"/>
  <c r="I23" i="2"/>
  <c r="N25" i="2"/>
  <c r="L19" i="2"/>
  <c r="J20" i="11" s="1"/>
  <c r="J50" i="11" s="1"/>
  <c r="H21" i="2"/>
  <c r="J25" i="2"/>
  <c r="K22" i="2"/>
  <c r="J12" i="11" s="1"/>
  <c r="M12" i="11" s="1"/>
  <c r="M25" i="2"/>
  <c r="I25" i="2"/>
  <c r="J22" i="2"/>
  <c r="J11" i="11" s="1"/>
  <c r="M11" i="11" s="1"/>
  <c r="O23" i="2"/>
  <c r="J24" i="11" s="1"/>
  <c r="M24" i="11" s="1"/>
  <c r="AK96" i="24"/>
  <c r="AK96" i="22"/>
  <c r="AK96" i="23"/>
  <c r="AK96" i="21"/>
  <c r="Y113" i="24"/>
  <c r="Y113" i="23"/>
  <c r="Y113" i="21"/>
  <c r="Y113" i="22"/>
  <c r="Y125" i="24"/>
  <c r="Y125" i="23"/>
  <c r="Y125" i="21"/>
  <c r="Y125" i="22"/>
  <c r="AJ72" i="24"/>
  <c r="AJ72" i="23"/>
  <c r="AJ72" i="22"/>
  <c r="AJ72" i="21"/>
  <c r="Z81" i="24"/>
  <c r="Z81" i="23"/>
  <c r="Z81" i="22"/>
  <c r="Z81" i="21"/>
  <c r="Y98" i="24"/>
  <c r="Y98" i="23"/>
  <c r="Y98" i="22"/>
  <c r="Y98" i="21"/>
  <c r="AJ101" i="24"/>
  <c r="AJ101" i="23"/>
  <c r="AJ101" i="22"/>
  <c r="AJ101" i="21"/>
  <c r="X110" i="24"/>
  <c r="X110" i="23"/>
  <c r="X110" i="21"/>
  <c r="X110" i="22"/>
  <c r="X114" i="24"/>
  <c r="X114" i="23"/>
  <c r="X114" i="21"/>
  <c r="X114" i="22"/>
  <c r="AJ112" i="24"/>
  <c r="AJ112" i="23"/>
  <c r="AJ112" i="22"/>
  <c r="AJ112" i="21"/>
  <c r="X122" i="24"/>
  <c r="X122" i="21"/>
  <c r="X122" i="22"/>
  <c r="X122" i="23"/>
  <c r="X126" i="24"/>
  <c r="X126" i="23"/>
  <c r="X126" i="21"/>
  <c r="X126" i="22"/>
  <c r="AJ122" i="24"/>
  <c r="AJ122" i="23"/>
  <c r="AJ122" i="22"/>
  <c r="AJ122" i="21"/>
  <c r="X75" i="24"/>
  <c r="X75" i="23"/>
  <c r="X75" i="21"/>
  <c r="X75" i="22"/>
  <c r="AB72" i="24"/>
  <c r="AB72" i="23"/>
  <c r="AB72" i="21"/>
  <c r="AB72" i="22"/>
  <c r="AK72" i="24"/>
  <c r="AK72" i="22"/>
  <c r="AK72" i="23"/>
  <c r="AK72" i="21"/>
  <c r="AJ85" i="24"/>
  <c r="AJ85" i="23"/>
  <c r="AJ85" i="22"/>
  <c r="AJ85" i="21"/>
  <c r="Z85" i="24"/>
  <c r="Z85" i="23"/>
  <c r="Z85" i="22"/>
  <c r="Z85" i="21"/>
  <c r="X99" i="24"/>
  <c r="X99" i="23"/>
  <c r="X99" i="21"/>
  <c r="X99" i="22"/>
  <c r="Y99" i="24"/>
  <c r="Y99" i="23"/>
  <c r="Y99" i="21"/>
  <c r="Y99" i="22"/>
  <c r="AK97" i="24"/>
  <c r="AK97" i="22"/>
  <c r="AK97" i="23"/>
  <c r="AK97" i="21"/>
  <c r="AK101" i="24"/>
  <c r="AK101" i="22"/>
  <c r="AK101" i="23"/>
  <c r="AK101" i="21"/>
  <c r="Y106" i="24"/>
  <c r="Y106" i="23"/>
  <c r="Y106" i="21"/>
  <c r="Y106" i="22"/>
  <c r="Y110" i="24"/>
  <c r="Y110" i="23"/>
  <c r="Y110" i="21"/>
  <c r="Y110" i="22"/>
  <c r="Y114" i="24"/>
  <c r="Y114" i="23"/>
  <c r="Y114" i="21"/>
  <c r="Y114" i="22"/>
  <c r="AK108" i="24"/>
  <c r="AK108" i="22"/>
  <c r="AK108" i="21"/>
  <c r="AK108" i="23"/>
  <c r="AK112" i="24"/>
  <c r="AK112" i="22"/>
  <c r="AK112" i="21"/>
  <c r="AK112" i="23"/>
  <c r="Y117" i="24"/>
  <c r="Y117" i="23"/>
  <c r="Y117" i="21"/>
  <c r="Y117" i="22"/>
  <c r="Y122" i="24"/>
  <c r="Y122" i="23"/>
  <c r="Y122" i="21"/>
  <c r="Y122" i="22"/>
  <c r="Y126" i="24"/>
  <c r="Y126" i="23"/>
  <c r="Y126" i="21"/>
  <c r="Y126" i="22"/>
  <c r="AK117" i="24"/>
  <c r="AK117" i="22"/>
  <c r="AK117" i="21"/>
  <c r="AK117" i="23"/>
  <c r="AK122" i="24"/>
  <c r="AK122" i="23"/>
  <c r="AK122" i="22"/>
  <c r="AK122" i="21"/>
  <c r="AK126" i="24"/>
  <c r="AK126" i="22"/>
  <c r="AK126" i="23"/>
  <c r="AK126" i="21"/>
  <c r="AI75" i="24"/>
  <c r="AI75" i="23"/>
  <c r="AI75" i="22"/>
  <c r="AI75" i="21"/>
  <c r="Y97" i="24"/>
  <c r="Y97" i="23"/>
  <c r="Y97" i="21"/>
  <c r="Y97" i="22"/>
  <c r="Y109" i="24"/>
  <c r="Y109" i="23"/>
  <c r="Y109" i="21"/>
  <c r="Y109" i="22"/>
  <c r="Y116" i="24"/>
  <c r="Y116" i="23"/>
  <c r="Y116" i="21"/>
  <c r="Y116" i="22"/>
  <c r="AK121" i="24"/>
  <c r="AK121" i="23"/>
  <c r="AK121" i="22"/>
  <c r="AK121" i="21"/>
  <c r="X73" i="23"/>
  <c r="X73" i="24"/>
  <c r="X73" i="21"/>
  <c r="X73" i="22"/>
  <c r="AK81" i="24"/>
  <c r="AK81" i="22"/>
  <c r="AK81" i="21"/>
  <c r="AK81" i="23"/>
  <c r="X98" i="23"/>
  <c r="X98" i="22"/>
  <c r="X98" i="21"/>
  <c r="X98" i="24"/>
  <c r="AJ97" i="24"/>
  <c r="AJ97" i="23"/>
  <c r="AJ97" i="22"/>
  <c r="AJ97" i="21"/>
  <c r="X106" i="24"/>
  <c r="X106" i="23"/>
  <c r="X106" i="22"/>
  <c r="X106" i="21"/>
  <c r="AJ108" i="24"/>
  <c r="AJ108" i="23"/>
  <c r="AJ108" i="22"/>
  <c r="AJ108" i="21"/>
  <c r="X117" i="24"/>
  <c r="X117" i="23"/>
  <c r="X117" i="21"/>
  <c r="X117" i="22"/>
  <c r="AJ117" i="24"/>
  <c r="AJ117" i="23"/>
  <c r="AJ117" i="22"/>
  <c r="AJ117" i="21"/>
  <c r="AJ126" i="24"/>
  <c r="AJ126" i="22"/>
  <c r="AJ126" i="21"/>
  <c r="AJ126" i="23"/>
  <c r="X76" i="24"/>
  <c r="X76" i="23"/>
  <c r="X76" i="21"/>
  <c r="X76" i="22"/>
  <c r="AB73" i="24"/>
  <c r="AB73" i="21"/>
  <c r="AB73" i="23"/>
  <c r="AB73" i="22"/>
  <c r="AK73" i="24"/>
  <c r="AK73" i="22"/>
  <c r="AK73" i="21"/>
  <c r="AK73" i="23"/>
  <c r="AK85" i="24"/>
  <c r="AK85" i="22"/>
  <c r="AK85" i="21"/>
  <c r="AK85" i="23"/>
  <c r="Z86" i="24"/>
  <c r="Z86" i="23"/>
  <c r="Z86" i="22"/>
  <c r="Z86" i="21"/>
  <c r="X100" i="24"/>
  <c r="X100" i="23"/>
  <c r="X100" i="21"/>
  <c r="X100" i="22"/>
  <c r="Y100" i="24"/>
  <c r="Y100" i="23"/>
  <c r="Y100" i="21"/>
  <c r="Y100" i="22"/>
  <c r="AJ98" i="24"/>
  <c r="AJ98" i="23"/>
  <c r="AJ98" i="22"/>
  <c r="AJ98" i="21"/>
  <c r="AJ102" i="24"/>
  <c r="AJ102" i="23"/>
  <c r="AJ102" i="22"/>
  <c r="AJ102" i="21"/>
  <c r="X107" i="24"/>
  <c r="X107" i="23"/>
  <c r="X107" i="22"/>
  <c r="X107" i="21"/>
  <c r="X111" i="24"/>
  <c r="X111" i="23"/>
  <c r="X111" i="21"/>
  <c r="X111" i="22"/>
  <c r="AJ105" i="24"/>
  <c r="AJ105" i="23"/>
  <c r="AJ105" i="22"/>
  <c r="AJ105" i="21"/>
  <c r="AJ109" i="24"/>
  <c r="AJ109" i="23"/>
  <c r="AJ109" i="22"/>
  <c r="AJ109" i="21"/>
  <c r="AJ113" i="24"/>
  <c r="AJ113" i="23"/>
  <c r="AJ113" i="22"/>
  <c r="AJ113" i="21"/>
  <c r="X118" i="24"/>
  <c r="X118" i="23"/>
  <c r="X118" i="22"/>
  <c r="X118" i="21"/>
  <c r="X123" i="24"/>
  <c r="X123" i="22"/>
  <c r="X123" i="21"/>
  <c r="X123" i="23"/>
  <c r="X127" i="24"/>
  <c r="X127" i="23"/>
  <c r="X127" i="22"/>
  <c r="X127" i="21"/>
  <c r="AJ118" i="24"/>
  <c r="AJ118" i="23"/>
  <c r="AJ118" i="22"/>
  <c r="AJ118" i="21"/>
  <c r="AJ123" i="24"/>
  <c r="AJ123" i="22"/>
  <c r="AJ123" i="23"/>
  <c r="AJ123" i="21"/>
  <c r="AJ127" i="24"/>
  <c r="AJ127" i="23"/>
  <c r="AJ127" i="22"/>
  <c r="AJ127" i="21"/>
  <c r="X72" i="24"/>
  <c r="X72" i="23"/>
  <c r="X72" i="21"/>
  <c r="X72" i="22"/>
  <c r="X97" i="24"/>
  <c r="X97" i="23"/>
  <c r="X97" i="22"/>
  <c r="X97" i="21"/>
  <c r="AK107" i="24"/>
  <c r="AK107" i="22"/>
  <c r="AK107" i="21"/>
  <c r="AK107" i="23"/>
  <c r="AK125" i="24"/>
  <c r="AK125" i="22"/>
  <c r="AK125" i="23"/>
  <c r="AK125" i="21"/>
  <c r="X77" i="24"/>
  <c r="X77" i="23"/>
  <c r="X77" i="22"/>
  <c r="X77" i="21"/>
  <c r="AB81" i="24"/>
  <c r="AB81" i="23"/>
  <c r="AB81" i="21"/>
  <c r="AB81" i="22"/>
  <c r="AK102" i="24"/>
  <c r="AK102" i="22"/>
  <c r="AK102" i="23"/>
  <c r="AK102" i="21"/>
  <c r="AK105" i="24"/>
  <c r="AK105" i="22"/>
  <c r="AK105" i="23"/>
  <c r="AK105" i="21"/>
  <c r="Y118" i="24"/>
  <c r="Y118" i="23"/>
  <c r="Y118" i="21"/>
  <c r="Y118" i="22"/>
  <c r="AK118" i="24"/>
  <c r="AK118" i="22"/>
  <c r="AK118" i="21"/>
  <c r="AK118" i="23"/>
  <c r="Y75" i="24"/>
  <c r="Y75" i="23"/>
  <c r="Y75" i="22"/>
  <c r="Y75" i="21"/>
  <c r="AB77" i="24"/>
  <c r="AB77" i="23"/>
  <c r="AB77" i="21"/>
  <c r="AB77" i="22"/>
  <c r="AK76" i="24"/>
  <c r="AK76" i="22"/>
  <c r="AK76" i="21"/>
  <c r="AK76" i="23"/>
  <c r="AK86" i="24"/>
  <c r="AK86" i="22"/>
  <c r="AK86" i="21"/>
  <c r="AK86" i="23"/>
  <c r="AB85" i="24"/>
  <c r="AB85" i="23"/>
  <c r="AB85" i="22"/>
  <c r="AB85" i="21"/>
  <c r="X102" i="24"/>
  <c r="X102" i="23"/>
  <c r="X102" i="21"/>
  <c r="X102" i="22"/>
  <c r="Y102" i="24"/>
  <c r="Y102" i="23"/>
  <c r="Y102" i="21"/>
  <c r="Y102" i="22"/>
  <c r="AJ99" i="24"/>
  <c r="AJ99" i="23"/>
  <c r="AJ99" i="21"/>
  <c r="AJ99" i="22"/>
  <c r="AJ103" i="24"/>
  <c r="AJ103" i="23"/>
  <c r="AJ103" i="21"/>
  <c r="AJ103" i="22"/>
  <c r="X108" i="24"/>
  <c r="X108" i="23"/>
  <c r="X108" i="21"/>
  <c r="X108" i="22"/>
  <c r="X112" i="24"/>
  <c r="X112" i="23"/>
  <c r="X112" i="21"/>
  <c r="X112" i="22"/>
  <c r="AJ106" i="24"/>
  <c r="AJ106" i="23"/>
  <c r="AJ106" i="22"/>
  <c r="AJ106" i="21"/>
  <c r="AJ110" i="24"/>
  <c r="AJ110" i="23"/>
  <c r="AJ110" i="22"/>
  <c r="AJ110" i="21"/>
  <c r="AJ114" i="24"/>
  <c r="AJ114" i="23"/>
  <c r="AJ114" i="22"/>
  <c r="AJ114" i="21"/>
  <c r="X119" i="24"/>
  <c r="X119" i="23"/>
  <c r="X119" i="21"/>
  <c r="X119" i="22"/>
  <c r="X124" i="24"/>
  <c r="X124" i="23"/>
  <c r="X124" i="21"/>
  <c r="X124" i="22"/>
  <c r="X128" i="24"/>
  <c r="X128" i="23"/>
  <c r="X128" i="21"/>
  <c r="X128" i="22"/>
  <c r="AJ119" i="24"/>
  <c r="AJ119" i="23"/>
  <c r="AJ119" i="22"/>
  <c r="AJ119" i="21"/>
  <c r="AJ124" i="24"/>
  <c r="AJ124" i="22"/>
  <c r="AJ124" i="23"/>
  <c r="AJ124" i="21"/>
  <c r="AJ128" i="24"/>
  <c r="AJ128" i="23"/>
  <c r="AJ128" i="22"/>
  <c r="AJ128" i="21"/>
  <c r="Z76" i="24"/>
  <c r="Z76" i="23"/>
  <c r="Z76" i="22"/>
  <c r="Z76" i="21"/>
  <c r="X86" i="24"/>
  <c r="X86" i="23"/>
  <c r="X86" i="21"/>
  <c r="X86" i="22"/>
  <c r="Y105" i="24"/>
  <c r="Y105" i="23"/>
  <c r="Y105" i="21"/>
  <c r="Y105" i="22"/>
  <c r="Y121" i="24"/>
  <c r="Y121" i="23"/>
  <c r="Y121" i="21"/>
  <c r="Y121" i="22"/>
  <c r="AB76" i="24"/>
  <c r="AB76" i="23"/>
  <c r="AB76" i="22"/>
  <c r="AB76" i="21"/>
  <c r="AJ86" i="24"/>
  <c r="AJ86" i="23"/>
  <c r="AJ86" i="22"/>
  <c r="AJ86" i="21"/>
  <c r="X101" i="24"/>
  <c r="X101" i="23"/>
  <c r="X101" i="21"/>
  <c r="X101" i="22"/>
  <c r="AK98" i="24"/>
  <c r="AK98" i="22"/>
  <c r="AK98" i="21"/>
  <c r="AK98" i="23"/>
  <c r="Y107" i="24"/>
  <c r="Y107" i="23"/>
  <c r="Y107" i="22"/>
  <c r="Y107" i="21"/>
  <c r="AK109" i="24"/>
  <c r="AK109" i="22"/>
  <c r="AK109" i="21"/>
  <c r="AK109" i="23"/>
  <c r="Y123" i="24"/>
  <c r="Y123" i="23"/>
  <c r="Y123" i="21"/>
  <c r="Y123" i="22"/>
  <c r="AK123" i="24"/>
  <c r="AK123" i="22"/>
  <c r="AK123" i="23"/>
  <c r="AK123" i="21"/>
  <c r="Z72" i="24"/>
  <c r="Z72" i="23"/>
  <c r="Z72" i="22"/>
  <c r="Z72" i="21"/>
  <c r="AG73" i="24"/>
  <c r="AG73" i="23"/>
  <c r="AG73" i="22"/>
  <c r="AG73" i="21"/>
  <c r="AJ77" i="24"/>
  <c r="AJ77" i="23"/>
  <c r="AJ77" i="21"/>
  <c r="AJ77" i="22"/>
  <c r="X81" i="24"/>
  <c r="X81" i="23"/>
  <c r="X81" i="22"/>
  <c r="X81" i="21"/>
  <c r="AB86" i="24"/>
  <c r="AB86" i="23"/>
  <c r="AB86" i="22"/>
  <c r="AB86" i="21"/>
  <c r="X103" i="24"/>
  <c r="X103" i="23"/>
  <c r="X103" i="21"/>
  <c r="X103" i="22"/>
  <c r="Y103" i="24"/>
  <c r="Y103" i="23"/>
  <c r="Y103" i="21"/>
  <c r="Y103" i="22"/>
  <c r="AK99" i="24"/>
  <c r="AK99" i="22"/>
  <c r="AK99" i="21"/>
  <c r="AK99" i="23"/>
  <c r="AK103" i="24"/>
  <c r="AK103" i="22"/>
  <c r="AK103" i="21"/>
  <c r="AK103" i="23"/>
  <c r="Y108" i="24"/>
  <c r="Y108" i="23"/>
  <c r="Y108" i="21"/>
  <c r="Y108" i="22"/>
  <c r="Y112" i="24"/>
  <c r="Y112" i="23"/>
  <c r="Y112" i="21"/>
  <c r="Y112" i="22"/>
  <c r="AK106" i="24"/>
  <c r="AK106" i="22"/>
  <c r="AK106" i="23"/>
  <c r="AK106" i="21"/>
  <c r="AK110" i="24"/>
  <c r="AK110" i="22"/>
  <c r="AK110" i="23"/>
  <c r="AK110" i="21"/>
  <c r="AK114" i="24"/>
  <c r="AK114" i="22"/>
  <c r="AK114" i="23"/>
  <c r="AK114" i="21"/>
  <c r="Y119" i="24"/>
  <c r="Y119" i="23"/>
  <c r="Y119" i="21"/>
  <c r="Y119" i="22"/>
  <c r="Y124" i="24"/>
  <c r="Y124" i="23"/>
  <c r="Y124" i="21"/>
  <c r="Y124" i="22"/>
  <c r="Y128" i="24"/>
  <c r="Y128" i="23"/>
  <c r="Y128" i="21"/>
  <c r="Y128" i="22"/>
  <c r="AK119" i="24"/>
  <c r="AK119" i="23"/>
  <c r="AK119" i="22"/>
  <c r="AK119" i="21"/>
  <c r="AK124" i="24"/>
  <c r="AK124" i="22"/>
  <c r="AK124" i="23"/>
  <c r="AK124" i="21"/>
  <c r="AK128" i="24"/>
  <c r="AK128" i="23"/>
  <c r="AK128" i="22"/>
  <c r="AK128" i="21"/>
  <c r="AJ81" i="24"/>
  <c r="AJ81" i="23"/>
  <c r="AJ81" i="21"/>
  <c r="AJ81" i="22"/>
  <c r="AK100" i="24"/>
  <c r="AK100" i="22"/>
  <c r="AK100" i="21"/>
  <c r="AK100" i="23"/>
  <c r="AK111" i="24"/>
  <c r="AK111" i="22"/>
  <c r="AK111" i="23"/>
  <c r="AK111" i="21"/>
  <c r="AK116" i="24"/>
  <c r="AK116" i="22"/>
  <c r="AK116" i="21"/>
  <c r="AK116" i="23"/>
  <c r="Z77" i="24"/>
  <c r="Z77" i="23"/>
  <c r="Z77" i="22"/>
  <c r="Z77" i="21"/>
  <c r="AJ76" i="24"/>
  <c r="AJ76" i="23"/>
  <c r="AJ76" i="22"/>
  <c r="AJ76" i="21"/>
  <c r="Y101" i="24"/>
  <c r="Y101" i="23"/>
  <c r="Y101" i="21"/>
  <c r="Y101" i="22"/>
  <c r="Y111" i="24"/>
  <c r="Y111" i="23"/>
  <c r="Y111" i="21"/>
  <c r="Y111" i="22"/>
  <c r="AK113" i="24"/>
  <c r="AK113" i="22"/>
  <c r="AK113" i="23"/>
  <c r="AK113" i="21"/>
  <c r="Y127" i="24"/>
  <c r="Y127" i="23"/>
  <c r="Y127" i="21"/>
  <c r="Y127" i="22"/>
  <c r="AK127" i="24"/>
  <c r="AK127" i="22"/>
  <c r="AK127" i="21"/>
  <c r="AK127" i="23"/>
  <c r="Z73" i="24"/>
  <c r="Z73" i="23"/>
  <c r="Z73" i="22"/>
  <c r="Z73" i="21"/>
  <c r="AH75" i="24"/>
  <c r="AH75" i="23"/>
  <c r="AH75" i="22"/>
  <c r="AH75" i="21"/>
  <c r="AK77" i="24"/>
  <c r="AK77" i="22"/>
  <c r="AK77" i="21"/>
  <c r="AK77" i="23"/>
  <c r="X85" i="24"/>
  <c r="X85" i="23"/>
  <c r="X85" i="21"/>
  <c r="X85" i="22"/>
  <c r="X96" i="24"/>
  <c r="X96" i="23"/>
  <c r="X96" i="21"/>
  <c r="X96" i="22"/>
  <c r="Y96" i="24"/>
  <c r="Y96" i="23"/>
  <c r="Y96" i="21"/>
  <c r="Y96" i="22"/>
  <c r="AJ96" i="24"/>
  <c r="AJ96" i="23"/>
  <c r="AJ96" i="22"/>
  <c r="AJ96" i="21"/>
  <c r="AJ100" i="24"/>
  <c r="AJ100" i="23"/>
  <c r="AJ100" i="21"/>
  <c r="AJ100" i="22"/>
  <c r="X105" i="24"/>
  <c r="X105" i="23"/>
  <c r="X105" i="21"/>
  <c r="X105" i="22"/>
  <c r="X109" i="24"/>
  <c r="X109" i="23"/>
  <c r="X109" i="21"/>
  <c r="X109" i="22"/>
  <c r="X113" i="24"/>
  <c r="X113" i="23"/>
  <c r="X113" i="22"/>
  <c r="X113" i="21"/>
  <c r="AJ107" i="24"/>
  <c r="AJ107" i="23"/>
  <c r="AJ107" i="21"/>
  <c r="AJ107" i="22"/>
  <c r="AJ111" i="24"/>
  <c r="AJ111" i="23"/>
  <c r="AJ111" i="22"/>
  <c r="AJ111" i="21"/>
  <c r="X116" i="24"/>
  <c r="X116" i="23"/>
  <c r="X116" i="21"/>
  <c r="X116" i="22"/>
  <c r="X121" i="24"/>
  <c r="X121" i="23"/>
  <c r="X121" i="21"/>
  <c r="X121" i="22"/>
  <c r="X125" i="24"/>
  <c r="X125" i="23"/>
  <c r="X125" i="21"/>
  <c r="X125" i="22"/>
  <c r="AJ116" i="24"/>
  <c r="AJ116" i="23"/>
  <c r="AJ116" i="22"/>
  <c r="AJ116" i="21"/>
  <c r="AJ121" i="24"/>
  <c r="AJ121" i="23"/>
  <c r="AJ121" i="22"/>
  <c r="AJ121" i="21"/>
  <c r="AJ125" i="24"/>
  <c r="AJ125" i="22"/>
  <c r="AJ125" i="21"/>
  <c r="AJ125" i="23"/>
  <c r="T76" i="2"/>
  <c r="J118" i="11" s="1"/>
  <c r="M118" i="11" s="1"/>
  <c r="S76" i="2"/>
  <c r="J117" i="11" s="1"/>
  <c r="M117" i="11" s="1"/>
  <c r="K76" i="2"/>
  <c r="J120" i="11" s="1"/>
  <c r="M120" i="11" s="1"/>
  <c r="I76" i="2"/>
  <c r="J119" i="11" s="1"/>
  <c r="M119" i="11" s="1"/>
  <c r="G76" i="2"/>
  <c r="J116" i="11" s="1"/>
  <c r="M116" i="11" s="1"/>
  <c r="J7" i="11" l="1"/>
  <c r="M7" i="11" s="1"/>
  <c r="G45" i="19"/>
  <c r="O27" i="2"/>
  <c r="N27" i="2"/>
  <c r="M27" i="2"/>
  <c r="I26" i="2"/>
  <c r="I26" i="21" s="1"/>
  <c r="I26" i="24" s="1"/>
  <c r="R75" i="2"/>
  <c r="J124" i="11" s="1"/>
  <c r="M124" i="11" s="1"/>
  <c r="Q75" i="2"/>
  <c r="J123" i="11" s="1"/>
  <c r="M123" i="11" s="1"/>
  <c r="R52" i="2"/>
  <c r="J78" i="11" s="1"/>
  <c r="M78" i="11" s="1"/>
  <c r="Q52" i="2"/>
  <c r="J77" i="11" s="1"/>
  <c r="M77" i="11" s="1"/>
  <c r="R41" i="2"/>
  <c r="J47" i="11" s="1"/>
  <c r="M47" i="11" s="1"/>
  <c r="K55" i="3"/>
  <c r="X54" i="3"/>
  <c r="X57" i="3"/>
  <c r="X65" i="3"/>
  <c r="S55" i="3"/>
  <c r="T55" i="3"/>
  <c r="T69" i="3"/>
  <c r="T68" i="3"/>
  <c r="S68" i="3"/>
  <c r="T67" i="3"/>
  <c r="S67" i="3"/>
  <c r="T66" i="3"/>
  <c r="S66" i="3"/>
  <c r="T64" i="3"/>
  <c r="S64" i="3"/>
  <c r="T63" i="3"/>
  <c r="S63" i="3"/>
  <c r="T62" i="3"/>
  <c r="S62" i="3"/>
  <c r="T61" i="3"/>
  <c r="S61" i="3"/>
  <c r="T60" i="3"/>
  <c r="S60" i="3"/>
  <c r="T59" i="3"/>
  <c r="S59" i="3"/>
  <c r="T58" i="3"/>
  <c r="S58" i="3"/>
  <c r="T56" i="3"/>
  <c r="S56" i="3"/>
  <c r="T53" i="3"/>
  <c r="S53" i="3"/>
  <c r="T50" i="3"/>
  <c r="T49" i="3"/>
  <c r="S49" i="3"/>
  <c r="R52" i="3"/>
  <c r="Q52" i="3"/>
  <c r="P69" i="3"/>
  <c r="K69" i="3"/>
  <c r="K68" i="3"/>
  <c r="K67" i="3"/>
  <c r="K66" i="3"/>
  <c r="K64" i="3"/>
  <c r="K63" i="3"/>
  <c r="K62" i="3"/>
  <c r="K61" i="3"/>
  <c r="K60" i="3"/>
  <c r="K59" i="3"/>
  <c r="K58" i="3"/>
  <c r="K56" i="3"/>
  <c r="L47" i="3"/>
  <c r="L45" i="3"/>
  <c r="K53" i="3"/>
  <c r="K50" i="3"/>
  <c r="K49" i="3"/>
  <c r="K47" i="3"/>
  <c r="K46" i="3"/>
  <c r="H52" i="3"/>
  <c r="H45" i="3"/>
  <c r="H44" i="3"/>
  <c r="I47" i="3"/>
  <c r="I46" i="3"/>
  <c r="I53" i="3"/>
  <c r="I52" i="3"/>
  <c r="I50" i="3"/>
  <c r="I49" i="3"/>
  <c r="I69" i="3"/>
  <c r="I68" i="3"/>
  <c r="I67" i="3"/>
  <c r="I66" i="3"/>
  <c r="I64" i="3"/>
  <c r="I63" i="3"/>
  <c r="I62" i="3"/>
  <c r="I61" i="3"/>
  <c r="I60" i="3"/>
  <c r="I59" i="3"/>
  <c r="I58" i="3"/>
  <c r="I56" i="3"/>
  <c r="I55" i="3"/>
  <c r="G69" i="3"/>
  <c r="G68" i="3"/>
  <c r="G67" i="3"/>
  <c r="G66" i="3"/>
  <c r="G64" i="3"/>
  <c r="G63" i="3"/>
  <c r="G62" i="3"/>
  <c r="G61" i="3"/>
  <c r="G60" i="3"/>
  <c r="G59" i="3"/>
  <c r="G58" i="3"/>
  <c r="G56" i="3"/>
  <c r="G55" i="3"/>
  <c r="G53" i="3"/>
  <c r="G52" i="3"/>
  <c r="G50" i="3"/>
  <c r="G49" i="3"/>
  <c r="G47" i="3"/>
  <c r="G46" i="3"/>
  <c r="G45" i="3"/>
  <c r="G44" i="3"/>
  <c r="T40" i="3"/>
  <c r="R41" i="3"/>
  <c r="Q41" i="3"/>
  <c r="L37" i="3"/>
  <c r="L36" i="3"/>
  <c r="L34" i="3"/>
  <c r="H41" i="3"/>
  <c r="K40" i="3"/>
  <c r="J40" i="3"/>
  <c r="I40" i="3"/>
  <c r="K39" i="3"/>
  <c r="J39" i="3"/>
  <c r="I39" i="3"/>
  <c r="K36" i="3"/>
  <c r="K35" i="3"/>
  <c r="I36" i="3"/>
  <c r="I35" i="3"/>
  <c r="G41" i="3"/>
  <c r="G40" i="3"/>
  <c r="G39" i="3"/>
  <c r="G37" i="3"/>
  <c r="G36" i="3"/>
  <c r="G35" i="3"/>
  <c r="H34" i="3"/>
  <c r="G34" i="3"/>
  <c r="H33" i="3"/>
  <c r="G33" i="3"/>
  <c r="H31" i="3"/>
  <c r="G31" i="3"/>
  <c r="H30" i="3"/>
  <c r="G30" i="3"/>
  <c r="U25" i="3"/>
  <c r="U131" i="3" s="1"/>
  <c r="O27" i="3"/>
  <c r="N27" i="3"/>
  <c r="M27" i="3"/>
  <c r="O25" i="3"/>
  <c r="N25" i="3"/>
  <c r="M25" i="3"/>
  <c r="O23" i="3"/>
  <c r="N23" i="3"/>
  <c r="M23" i="3"/>
  <c r="O21" i="3"/>
  <c r="N21" i="3"/>
  <c r="M21" i="3"/>
  <c r="L19" i="3"/>
  <c r="L131" i="3" s="1"/>
  <c r="K27" i="3"/>
  <c r="J27" i="3"/>
  <c r="I27" i="3"/>
  <c r="K25" i="3"/>
  <c r="J25" i="3"/>
  <c r="I25" i="3"/>
  <c r="K23" i="3"/>
  <c r="J23" i="3"/>
  <c r="I23" i="3"/>
  <c r="K22" i="3"/>
  <c r="J22" i="3"/>
  <c r="I22" i="3"/>
  <c r="H21" i="3"/>
  <c r="G27" i="3"/>
  <c r="G25" i="3"/>
  <c r="G23" i="3"/>
  <c r="G22" i="3"/>
  <c r="G21" i="3"/>
  <c r="H19" i="3"/>
  <c r="H18" i="3"/>
  <c r="G19" i="3"/>
  <c r="G18" i="3"/>
  <c r="G177" i="25"/>
  <c r="G176" i="25"/>
  <c r="G175" i="25"/>
  <c r="G174" i="25"/>
  <c r="G173" i="25"/>
  <c r="G172" i="25"/>
  <c r="H147" i="25"/>
  <c r="I147" i="25" s="1"/>
  <c r="V135" i="25"/>
  <c r="U135" i="25"/>
  <c r="R135" i="25"/>
  <c r="Q135" i="25"/>
  <c r="P135" i="25"/>
  <c r="O135" i="25"/>
  <c r="N135" i="25"/>
  <c r="M135" i="25"/>
  <c r="L135" i="25"/>
  <c r="K135" i="25"/>
  <c r="J135" i="25"/>
  <c r="I135" i="25"/>
  <c r="V134" i="25"/>
  <c r="U134" i="25"/>
  <c r="O134" i="25"/>
  <c r="N134" i="25"/>
  <c r="M134" i="25"/>
  <c r="L134" i="25"/>
  <c r="J134" i="25"/>
  <c r="V133" i="25"/>
  <c r="U133" i="25"/>
  <c r="O133" i="25"/>
  <c r="N133" i="25"/>
  <c r="M133" i="25"/>
  <c r="J133" i="25"/>
  <c r="V132" i="25"/>
  <c r="U132" i="25"/>
  <c r="S132" i="25"/>
  <c r="P132" i="25"/>
  <c r="O132" i="25"/>
  <c r="N132" i="25"/>
  <c r="M132" i="25"/>
  <c r="V131" i="25"/>
  <c r="T131" i="25"/>
  <c r="S131" i="25"/>
  <c r="R131" i="25"/>
  <c r="Q131" i="25"/>
  <c r="P131" i="25"/>
  <c r="AB129" i="25"/>
  <c r="T129" i="25"/>
  <c r="S129" i="25"/>
  <c r="H129" i="25"/>
  <c r="AA129" i="25" s="1"/>
  <c r="AC129" i="25" s="1"/>
  <c r="G129" i="25"/>
  <c r="AB128" i="25"/>
  <c r="T128" i="25"/>
  <c r="S128" i="25"/>
  <c r="H128" i="25"/>
  <c r="G128" i="25"/>
  <c r="AB127" i="25"/>
  <c r="T127" i="25"/>
  <c r="S127" i="25"/>
  <c r="H127" i="25"/>
  <c r="AA127" i="25" s="1"/>
  <c r="AC127" i="25" s="1"/>
  <c r="G127" i="25"/>
  <c r="AB126" i="25"/>
  <c r="T126" i="25"/>
  <c r="S126" i="25"/>
  <c r="H126" i="25"/>
  <c r="AA126" i="25" s="1"/>
  <c r="AC126" i="25" s="1"/>
  <c r="G126" i="25"/>
  <c r="AB125" i="25"/>
  <c r="T125" i="25"/>
  <c r="S125" i="25"/>
  <c r="H125" i="25"/>
  <c r="AA125" i="25" s="1"/>
  <c r="AC125" i="25" s="1"/>
  <c r="G125" i="25"/>
  <c r="AB124" i="25"/>
  <c r="T124" i="25"/>
  <c r="S124" i="25"/>
  <c r="H124" i="25"/>
  <c r="AA124" i="25" s="1"/>
  <c r="AC124" i="25" s="1"/>
  <c r="G124" i="25"/>
  <c r="AB123" i="25"/>
  <c r="T123" i="25"/>
  <c r="S123" i="25"/>
  <c r="H123" i="25"/>
  <c r="G123" i="25"/>
  <c r="AB122" i="25"/>
  <c r="AB120" i="25" s="1"/>
  <c r="T122" i="25"/>
  <c r="S122" i="25"/>
  <c r="H122" i="25"/>
  <c r="G122" i="25"/>
  <c r="AB121" i="25"/>
  <c r="T121" i="25"/>
  <c r="S121" i="25"/>
  <c r="H121" i="25"/>
  <c r="AA121" i="25" s="1"/>
  <c r="G121" i="25"/>
  <c r="X120" i="25"/>
  <c r="AB119" i="25"/>
  <c r="T119" i="25"/>
  <c r="S119" i="25"/>
  <c r="H119" i="25"/>
  <c r="BF119" i="23" s="1"/>
  <c r="G119" i="25"/>
  <c r="AB118" i="25"/>
  <c r="T118" i="25"/>
  <c r="S118" i="25"/>
  <c r="H118" i="25"/>
  <c r="G118" i="25"/>
  <c r="AB117" i="25"/>
  <c r="T117" i="25"/>
  <c r="S117" i="25"/>
  <c r="H117" i="25"/>
  <c r="AA117" i="25" s="1"/>
  <c r="AC117" i="25" s="1"/>
  <c r="G117" i="25"/>
  <c r="AB116" i="25"/>
  <c r="T116" i="25"/>
  <c r="S116" i="25"/>
  <c r="H116" i="25"/>
  <c r="X116" i="25" s="1"/>
  <c r="G116" i="25"/>
  <c r="X115" i="25"/>
  <c r="AB114" i="25"/>
  <c r="T114" i="25"/>
  <c r="S114" i="25"/>
  <c r="H114" i="25"/>
  <c r="X114" i="25" s="1"/>
  <c r="G114" i="25"/>
  <c r="AB113" i="25"/>
  <c r="T113" i="25"/>
  <c r="S113" i="25"/>
  <c r="H113" i="25"/>
  <c r="X113" i="25" s="1"/>
  <c r="G113" i="25"/>
  <c r="AB112" i="25"/>
  <c r="T112" i="25"/>
  <c r="S112" i="25"/>
  <c r="H112" i="25"/>
  <c r="AA112" i="25" s="1"/>
  <c r="G112" i="25"/>
  <c r="AB111" i="25"/>
  <c r="T111" i="25"/>
  <c r="S111" i="25"/>
  <c r="H111" i="25"/>
  <c r="AA111" i="25" s="1"/>
  <c r="AC111" i="25" s="1"/>
  <c r="G111" i="25"/>
  <c r="AB110" i="25"/>
  <c r="T110" i="25"/>
  <c r="S110" i="25"/>
  <c r="H110" i="25"/>
  <c r="G110" i="25"/>
  <c r="AB109" i="25"/>
  <c r="T109" i="25"/>
  <c r="S109" i="25"/>
  <c r="H109" i="25"/>
  <c r="AA109" i="25" s="1"/>
  <c r="AC109" i="25" s="1"/>
  <c r="G109" i="25"/>
  <c r="AB108" i="25"/>
  <c r="T108" i="25"/>
  <c r="S108" i="25"/>
  <c r="H108" i="25"/>
  <c r="AA108" i="25" s="1"/>
  <c r="AC108" i="25" s="1"/>
  <c r="G108" i="25"/>
  <c r="AB107" i="25"/>
  <c r="T107" i="25"/>
  <c r="S107" i="25"/>
  <c r="H107" i="25"/>
  <c r="G107" i="25"/>
  <c r="AB106" i="25"/>
  <c r="T106" i="25"/>
  <c r="S106" i="25"/>
  <c r="H106" i="25"/>
  <c r="G106" i="25"/>
  <c r="AB105" i="25"/>
  <c r="T105" i="25"/>
  <c r="S105" i="25"/>
  <c r="H105" i="25"/>
  <c r="G105" i="25"/>
  <c r="X104" i="25"/>
  <c r="AB103" i="25"/>
  <c r="T103" i="25"/>
  <c r="S103" i="25"/>
  <c r="H103" i="25"/>
  <c r="X103" i="25" s="1"/>
  <c r="G103" i="25"/>
  <c r="AB102" i="25"/>
  <c r="T102" i="25"/>
  <c r="S102" i="25"/>
  <c r="H102" i="25"/>
  <c r="G102" i="25"/>
  <c r="AB101" i="25"/>
  <c r="AA101" i="25"/>
  <c r="X101" i="25"/>
  <c r="AB100" i="25"/>
  <c r="T100" i="25"/>
  <c r="S100" i="25"/>
  <c r="H100" i="25"/>
  <c r="G100" i="25"/>
  <c r="AB99" i="25"/>
  <c r="T99" i="25"/>
  <c r="S99" i="25"/>
  <c r="H99" i="25"/>
  <c r="AA99" i="25" s="1"/>
  <c r="AC99" i="25" s="1"/>
  <c r="G99" i="25"/>
  <c r="AB98" i="25"/>
  <c r="T98" i="25"/>
  <c r="S98" i="25"/>
  <c r="H98" i="25"/>
  <c r="AA98" i="25" s="1"/>
  <c r="G98" i="25"/>
  <c r="AB97" i="25"/>
  <c r="T97" i="25"/>
  <c r="S97" i="25"/>
  <c r="H97" i="25"/>
  <c r="AA97" i="25" s="1"/>
  <c r="G97" i="25"/>
  <c r="B97" i="25"/>
  <c r="B98" i="25" s="1"/>
  <c r="B99" i="25" s="1"/>
  <c r="B100" i="25" s="1"/>
  <c r="B101" i="25" s="1"/>
  <c r="B102" i="25" s="1"/>
  <c r="B103" i="25" s="1"/>
  <c r="B105" i="25" s="1"/>
  <c r="B106" i="25" s="1"/>
  <c r="B107" i="25" s="1"/>
  <c r="B108" i="25" s="1"/>
  <c r="B109" i="25" s="1"/>
  <c r="B110" i="25" s="1"/>
  <c r="B111" i="25" s="1"/>
  <c r="B112" i="25" s="1"/>
  <c r="B113" i="25" s="1"/>
  <c r="B114" i="25" s="1"/>
  <c r="B116" i="25" s="1"/>
  <c r="B117" i="25" s="1"/>
  <c r="B118" i="25" s="1"/>
  <c r="B119" i="25" s="1"/>
  <c r="B121" i="25" s="1"/>
  <c r="B122" i="25" s="1"/>
  <c r="B123" i="25" s="1"/>
  <c r="B124" i="25" s="1"/>
  <c r="B125" i="25" s="1"/>
  <c r="B126" i="25" s="1"/>
  <c r="B127" i="25" s="1"/>
  <c r="B128" i="25" s="1"/>
  <c r="B129" i="25" s="1"/>
  <c r="AB96" i="25"/>
  <c r="T96" i="25"/>
  <c r="S96" i="25"/>
  <c r="H96" i="25"/>
  <c r="G96" i="25"/>
  <c r="X95" i="25"/>
  <c r="X94" i="25"/>
  <c r="AB93" i="25"/>
  <c r="AC93" i="25" s="1"/>
  <c r="AA93" i="25"/>
  <c r="X93" i="25"/>
  <c r="AB92" i="25"/>
  <c r="AA92" i="25"/>
  <c r="AC92" i="25" s="1"/>
  <c r="X92" i="25"/>
  <c r="AB91" i="25"/>
  <c r="AA91" i="25"/>
  <c r="AC91" i="25" s="1"/>
  <c r="X91" i="25"/>
  <c r="AB90" i="25"/>
  <c r="AA90" i="25"/>
  <c r="AC90" i="25" s="1"/>
  <c r="X90" i="25"/>
  <c r="AB89" i="25"/>
  <c r="AC89" i="25" s="1"/>
  <c r="AA89" i="25"/>
  <c r="X89" i="25"/>
  <c r="AB88" i="25"/>
  <c r="AA88" i="25"/>
  <c r="AC88" i="25" s="1"/>
  <c r="X88" i="25"/>
  <c r="AB87" i="25"/>
  <c r="T87" i="25"/>
  <c r="S87" i="25"/>
  <c r="K87" i="25"/>
  <c r="I87" i="25"/>
  <c r="G87" i="25"/>
  <c r="AB86" i="25"/>
  <c r="T86" i="25"/>
  <c r="S86" i="25"/>
  <c r="K86" i="25"/>
  <c r="I86" i="25"/>
  <c r="G86" i="25"/>
  <c r="AB85" i="25"/>
  <c r="T85" i="25"/>
  <c r="S85" i="25"/>
  <c r="K85" i="25"/>
  <c r="I85" i="25"/>
  <c r="G85" i="25"/>
  <c r="AB84" i="25"/>
  <c r="T84" i="25"/>
  <c r="S84" i="25"/>
  <c r="K84" i="25"/>
  <c r="I84" i="25"/>
  <c r="G84" i="25"/>
  <c r="AB83" i="25"/>
  <c r="T83" i="25"/>
  <c r="S83" i="25"/>
  <c r="K83" i="25"/>
  <c r="I83" i="25"/>
  <c r="G83" i="25"/>
  <c r="AB82" i="25"/>
  <c r="T82" i="25"/>
  <c r="S82" i="25"/>
  <c r="K82" i="25"/>
  <c r="I82" i="25"/>
  <c r="G82" i="25"/>
  <c r="AB81" i="25"/>
  <c r="T81" i="25"/>
  <c r="S81" i="25"/>
  <c r="K81" i="25"/>
  <c r="I81" i="25"/>
  <c r="G81" i="25"/>
  <c r="AB80" i="25"/>
  <c r="T80" i="25"/>
  <c r="S80" i="25"/>
  <c r="K80" i="25"/>
  <c r="I80" i="25"/>
  <c r="G80" i="25"/>
  <c r="AB79" i="25"/>
  <c r="T79" i="25"/>
  <c r="S79" i="25"/>
  <c r="K79" i="25"/>
  <c r="I79" i="25"/>
  <c r="G79" i="25"/>
  <c r="AB78" i="25"/>
  <c r="AA78" i="25"/>
  <c r="X78" i="25"/>
  <c r="AB77" i="25"/>
  <c r="T77" i="25"/>
  <c r="S77" i="25"/>
  <c r="K77" i="25"/>
  <c r="I77" i="25"/>
  <c r="G77" i="25"/>
  <c r="AB76" i="25"/>
  <c r="T76" i="25"/>
  <c r="S76" i="25"/>
  <c r="K76" i="25"/>
  <c r="I76" i="25"/>
  <c r="G76" i="25"/>
  <c r="AB75" i="25"/>
  <c r="R75" i="25"/>
  <c r="R134" i="25" s="1"/>
  <c r="Q75" i="25"/>
  <c r="Q134" i="25" s="1"/>
  <c r="H75" i="25"/>
  <c r="G75" i="25"/>
  <c r="AB74" i="25"/>
  <c r="K74" i="25"/>
  <c r="I74" i="25"/>
  <c r="G74" i="25"/>
  <c r="B74" i="25"/>
  <c r="B75" i="25" s="1"/>
  <c r="B76" i="25" s="1"/>
  <c r="B77" i="25" s="1"/>
  <c r="B79" i="25" s="1"/>
  <c r="B80" i="25" s="1"/>
  <c r="B81" i="25" s="1"/>
  <c r="B82" i="25" s="1"/>
  <c r="B83" i="25" s="1"/>
  <c r="B84" i="25" s="1"/>
  <c r="B85" i="25" s="1"/>
  <c r="B86" i="25" s="1"/>
  <c r="B87" i="25" s="1"/>
  <c r="B88" i="25" s="1"/>
  <c r="B89" i="25" s="1"/>
  <c r="B90" i="25" s="1"/>
  <c r="B91" i="25" s="1"/>
  <c r="B92" i="25" s="1"/>
  <c r="B93" i="25" s="1"/>
  <c r="AB73" i="25"/>
  <c r="T73" i="25"/>
  <c r="P73" i="25"/>
  <c r="K73" i="25"/>
  <c r="I73" i="25"/>
  <c r="G73" i="25"/>
  <c r="B73" i="25"/>
  <c r="AB72" i="25"/>
  <c r="AB71" i="25" s="1"/>
  <c r="T72" i="25"/>
  <c r="S72" i="25"/>
  <c r="K72" i="25"/>
  <c r="I72" i="25"/>
  <c r="G72" i="25"/>
  <c r="X71" i="25"/>
  <c r="X70" i="25"/>
  <c r="AB69" i="25"/>
  <c r="T69" i="25"/>
  <c r="S69" i="25"/>
  <c r="P69" i="25"/>
  <c r="K69" i="25"/>
  <c r="I69" i="25"/>
  <c r="G69" i="25"/>
  <c r="AB68" i="25"/>
  <c r="T68" i="25"/>
  <c r="S68" i="25"/>
  <c r="K68" i="25"/>
  <c r="I68" i="25"/>
  <c r="G68" i="25"/>
  <c r="AB67" i="25"/>
  <c r="T67" i="25"/>
  <c r="S67" i="25"/>
  <c r="K67" i="25"/>
  <c r="I67" i="25"/>
  <c r="G67" i="25"/>
  <c r="AB65" i="25"/>
  <c r="T65" i="25"/>
  <c r="S65" i="25"/>
  <c r="K65" i="25"/>
  <c r="I65" i="25"/>
  <c r="G65" i="25"/>
  <c r="AB64" i="25"/>
  <c r="T64" i="25"/>
  <c r="S64" i="25"/>
  <c r="K64" i="25"/>
  <c r="I64" i="25"/>
  <c r="G64" i="25"/>
  <c r="AB63" i="25"/>
  <c r="T63" i="25"/>
  <c r="S63" i="25"/>
  <c r="K63" i="25"/>
  <c r="I63" i="25"/>
  <c r="G63" i="25"/>
  <c r="AB61" i="25"/>
  <c r="T61" i="25"/>
  <c r="S61" i="25"/>
  <c r="K61" i="25"/>
  <c r="I61" i="25"/>
  <c r="G61" i="25"/>
  <c r="AB60" i="25"/>
  <c r="T60" i="25"/>
  <c r="S60" i="25"/>
  <c r="K60" i="25"/>
  <c r="I60" i="25"/>
  <c r="G60" i="25"/>
  <c r="AB59" i="25"/>
  <c r="T59" i="25"/>
  <c r="S59" i="25"/>
  <c r="K59" i="25"/>
  <c r="I59" i="25"/>
  <c r="G59" i="25"/>
  <c r="AB58" i="25"/>
  <c r="T58" i="25"/>
  <c r="S58" i="25"/>
  <c r="K58" i="25"/>
  <c r="I58" i="25"/>
  <c r="G58" i="25"/>
  <c r="AB57" i="25"/>
  <c r="T57" i="25"/>
  <c r="S57" i="25"/>
  <c r="K57" i="25"/>
  <c r="I57" i="25"/>
  <c r="G57" i="25"/>
  <c r="AB56" i="25"/>
  <c r="T56" i="25"/>
  <c r="S56" i="25"/>
  <c r="K56" i="25"/>
  <c r="I56" i="25"/>
  <c r="G56" i="25"/>
  <c r="AB54" i="25"/>
  <c r="AA54" i="25"/>
  <c r="AC54" i="25" s="1"/>
  <c r="X54" i="25"/>
  <c r="AB53" i="25"/>
  <c r="T53" i="25"/>
  <c r="S53" i="25"/>
  <c r="K53" i="25"/>
  <c r="I53" i="25"/>
  <c r="G53" i="25"/>
  <c r="AB52" i="25"/>
  <c r="R52" i="25"/>
  <c r="R133" i="25" s="1"/>
  <c r="Q52" i="25"/>
  <c r="Q133" i="25" s="1"/>
  <c r="H52" i="25"/>
  <c r="G52" i="25"/>
  <c r="AB51" i="25"/>
  <c r="K51" i="25"/>
  <c r="I51" i="25"/>
  <c r="G51" i="25"/>
  <c r="AB50" i="25"/>
  <c r="T50" i="25"/>
  <c r="P50" i="25"/>
  <c r="K50" i="25"/>
  <c r="I50" i="25"/>
  <c r="G50" i="25"/>
  <c r="AB49" i="25"/>
  <c r="T49" i="25"/>
  <c r="S49" i="25"/>
  <c r="K49" i="25"/>
  <c r="I49" i="25"/>
  <c r="G49" i="25"/>
  <c r="X48" i="25"/>
  <c r="L47" i="25"/>
  <c r="AB47" i="25" s="1"/>
  <c r="K47" i="25"/>
  <c r="I47" i="25"/>
  <c r="G47" i="25"/>
  <c r="D47" i="25"/>
  <c r="AB46" i="25"/>
  <c r="K46" i="25"/>
  <c r="I46" i="25"/>
  <c r="G46" i="25"/>
  <c r="D46" i="25"/>
  <c r="L45" i="25"/>
  <c r="H45" i="25"/>
  <c r="G45" i="25"/>
  <c r="D45" i="25"/>
  <c r="AB44" i="25"/>
  <c r="H44" i="25"/>
  <c r="G44" i="25"/>
  <c r="D44" i="25"/>
  <c r="B44" i="25"/>
  <c r="B45" i="25" s="1"/>
  <c r="B46" i="25" s="1"/>
  <c r="B47" i="25" s="1"/>
  <c r="B49" i="25" s="1"/>
  <c r="B50" i="25" s="1"/>
  <c r="B51" i="25" s="1"/>
  <c r="B52" i="25" s="1"/>
  <c r="B53" i="25" s="1"/>
  <c r="B55" i="25" s="1"/>
  <c r="B56" i="25" s="1"/>
  <c r="B57" i="25" s="1"/>
  <c r="B58" i="25" s="1"/>
  <c r="B59" i="25" s="1"/>
  <c r="B60" i="25" s="1"/>
  <c r="B61" i="25" s="1"/>
  <c r="B62" i="25" s="1"/>
  <c r="B63" i="25" s="1"/>
  <c r="B64" i="25" s="1"/>
  <c r="B65" i="25" s="1"/>
  <c r="B66" i="25" s="1"/>
  <c r="B67" i="25" s="1"/>
  <c r="B68" i="25" s="1"/>
  <c r="B69" i="25" s="1"/>
  <c r="X43" i="25"/>
  <c r="X42" i="25"/>
  <c r="AB41" i="25"/>
  <c r="R41" i="25"/>
  <c r="R132" i="25" s="1"/>
  <c r="Q41" i="25"/>
  <c r="H41" i="25"/>
  <c r="H154" i="25" s="1"/>
  <c r="I154" i="25" s="1"/>
  <c r="G41" i="25"/>
  <c r="D41" i="25"/>
  <c r="AB40" i="25"/>
  <c r="T40" i="25"/>
  <c r="T132" i="25" s="1"/>
  <c r="K40" i="25"/>
  <c r="J40" i="25"/>
  <c r="I40" i="25"/>
  <c r="G40" i="25"/>
  <c r="D40" i="25"/>
  <c r="AB39" i="25"/>
  <c r="AB38" i="25" s="1"/>
  <c r="K39" i="25"/>
  <c r="J39" i="25"/>
  <c r="I39" i="25"/>
  <c r="G39" i="25"/>
  <c r="D39" i="25"/>
  <c r="X38" i="25"/>
  <c r="AA37" i="25"/>
  <c r="L37" i="25"/>
  <c r="AB37" i="25" s="1"/>
  <c r="G37" i="25"/>
  <c r="D37" i="25"/>
  <c r="L36" i="25"/>
  <c r="K36" i="25"/>
  <c r="I36" i="25"/>
  <c r="G36" i="25"/>
  <c r="D36" i="25"/>
  <c r="AB35" i="25"/>
  <c r="K35" i="25"/>
  <c r="I35" i="25"/>
  <c r="G35" i="25"/>
  <c r="D35" i="25"/>
  <c r="L34" i="25"/>
  <c r="H34" i="25"/>
  <c r="G34" i="25"/>
  <c r="D34" i="25"/>
  <c r="AB33" i="25"/>
  <c r="H33" i="25"/>
  <c r="AA33" i="25" s="1"/>
  <c r="G33" i="25"/>
  <c r="D33" i="25"/>
  <c r="X32" i="25"/>
  <c r="AB31" i="25"/>
  <c r="H31" i="25"/>
  <c r="G31" i="25"/>
  <c r="D31" i="25"/>
  <c r="B31" i="25"/>
  <c r="B33" i="25" s="1"/>
  <c r="B34" i="25" s="1"/>
  <c r="B35" i="25" s="1"/>
  <c r="B36" i="25" s="1"/>
  <c r="B37" i="25" s="1"/>
  <c r="B39" i="25" s="1"/>
  <c r="B40" i="25" s="1"/>
  <c r="B41" i="25" s="1"/>
  <c r="AB30" i="25"/>
  <c r="H30" i="25"/>
  <c r="AA30" i="25" s="1"/>
  <c r="G30" i="25"/>
  <c r="D30" i="25"/>
  <c r="AB29" i="25"/>
  <c r="X29" i="25"/>
  <c r="X28" i="25"/>
  <c r="AB27" i="25"/>
  <c r="AC27" i="25" s="1"/>
  <c r="AA27" i="25"/>
  <c r="X27" i="25"/>
  <c r="AB26" i="25"/>
  <c r="AC26" i="25" s="1"/>
  <c r="AA26" i="25"/>
  <c r="X26" i="25"/>
  <c r="U25" i="25"/>
  <c r="O25" i="25"/>
  <c r="N25" i="25"/>
  <c r="M25" i="25"/>
  <c r="K25" i="25"/>
  <c r="J25" i="25"/>
  <c r="I25" i="25"/>
  <c r="G25" i="25"/>
  <c r="AB24" i="25"/>
  <c r="U24" i="25"/>
  <c r="K24" i="25"/>
  <c r="J24" i="25"/>
  <c r="I24" i="25"/>
  <c r="G24" i="25"/>
  <c r="O23" i="25"/>
  <c r="N23" i="25"/>
  <c r="M23" i="25"/>
  <c r="K23" i="25"/>
  <c r="J23" i="25"/>
  <c r="I23" i="25"/>
  <c r="G23" i="25"/>
  <c r="AB22" i="25"/>
  <c r="K22" i="25"/>
  <c r="J22" i="25"/>
  <c r="I22" i="25"/>
  <c r="G22" i="25"/>
  <c r="AB21" i="25"/>
  <c r="AC21" i="25" s="1"/>
  <c r="AA21" i="25"/>
  <c r="X21" i="25"/>
  <c r="X20" i="25"/>
  <c r="L19" i="25"/>
  <c r="H19" i="25"/>
  <c r="G19" i="25"/>
  <c r="B19" i="25"/>
  <c r="B21" i="25" s="1"/>
  <c r="B22" i="25" s="1"/>
  <c r="B23" i="25" s="1"/>
  <c r="B24" i="25" s="1"/>
  <c r="B25" i="25" s="1"/>
  <c r="AB18" i="25"/>
  <c r="H18" i="25"/>
  <c r="X18" i="25" s="1"/>
  <c r="G18" i="25"/>
  <c r="X17" i="25"/>
  <c r="X16" i="25"/>
  <c r="G11" i="25"/>
  <c r="L11" i="25" s="1"/>
  <c r="W7" i="25"/>
  <c r="W107" i="25" s="1"/>
  <c r="B7" i="25"/>
  <c r="B1" i="25"/>
  <c r="BQ139" i="24"/>
  <c r="BQ138" i="24"/>
  <c r="BQ136" i="24"/>
  <c r="BQ135" i="24"/>
  <c r="BQ134" i="24"/>
  <c r="BQ133" i="24"/>
  <c r="BQ132" i="24"/>
  <c r="BQ131" i="24"/>
  <c r="V129" i="24"/>
  <c r="BD129" i="24" s="1"/>
  <c r="U129" i="24"/>
  <c r="BC129" i="24" s="1"/>
  <c r="R129" i="24"/>
  <c r="AZ129" i="24" s="1"/>
  <c r="Q129" i="24"/>
  <c r="AY129" i="24" s="1"/>
  <c r="P129" i="24"/>
  <c r="AX129" i="24" s="1"/>
  <c r="O129" i="24"/>
  <c r="AW129" i="24" s="1"/>
  <c r="N129" i="24"/>
  <c r="AV129" i="24" s="1"/>
  <c r="M129" i="24"/>
  <c r="AU129" i="24" s="1"/>
  <c r="L129" i="24"/>
  <c r="AT129" i="24" s="1"/>
  <c r="K129" i="24"/>
  <c r="AS129" i="24" s="1"/>
  <c r="J129" i="24"/>
  <c r="AR129" i="24" s="1"/>
  <c r="I129" i="24"/>
  <c r="AQ129" i="24" s="1"/>
  <c r="V128" i="24"/>
  <c r="BD128" i="24" s="1"/>
  <c r="U128" i="24"/>
  <c r="BC128" i="24" s="1"/>
  <c r="R128" i="24"/>
  <c r="AZ128" i="24" s="1"/>
  <c r="Q128" i="24"/>
  <c r="AY128" i="24" s="1"/>
  <c r="P128" i="24"/>
  <c r="AX128" i="24" s="1"/>
  <c r="O128" i="24"/>
  <c r="AW128" i="24" s="1"/>
  <c r="N128" i="24"/>
  <c r="AV128" i="24" s="1"/>
  <c r="M128" i="24"/>
  <c r="AU128" i="24" s="1"/>
  <c r="L128" i="24"/>
  <c r="AT128" i="24" s="1"/>
  <c r="K128" i="24"/>
  <c r="AS128" i="24" s="1"/>
  <c r="J128" i="24"/>
  <c r="AR128" i="24" s="1"/>
  <c r="I128" i="24"/>
  <c r="AQ128" i="24" s="1"/>
  <c r="V127" i="24"/>
  <c r="BD127" i="24" s="1"/>
  <c r="U127" i="24"/>
  <c r="BC127" i="24" s="1"/>
  <c r="R127" i="24"/>
  <c r="AZ127" i="24" s="1"/>
  <c r="Q127" i="24"/>
  <c r="AY127" i="24" s="1"/>
  <c r="P127" i="24"/>
  <c r="AX127" i="24" s="1"/>
  <c r="O127" i="24"/>
  <c r="AW127" i="24" s="1"/>
  <c r="N127" i="24"/>
  <c r="AV127" i="24" s="1"/>
  <c r="M127" i="24"/>
  <c r="AU127" i="24" s="1"/>
  <c r="L127" i="24"/>
  <c r="AT127" i="24" s="1"/>
  <c r="K127" i="24"/>
  <c r="J127" i="24"/>
  <c r="AR127" i="24" s="1"/>
  <c r="I127" i="24"/>
  <c r="AQ127" i="24" s="1"/>
  <c r="V126" i="24"/>
  <c r="BD126" i="24" s="1"/>
  <c r="U126" i="24"/>
  <c r="BC126" i="24" s="1"/>
  <c r="BL126" i="24" s="1"/>
  <c r="R126" i="24"/>
  <c r="Q126" i="24"/>
  <c r="AY126" i="24" s="1"/>
  <c r="P126" i="24"/>
  <c r="AX126" i="24" s="1"/>
  <c r="O126" i="24"/>
  <c r="AW126" i="24" s="1"/>
  <c r="N126" i="24"/>
  <c r="AV126" i="24" s="1"/>
  <c r="M126" i="24"/>
  <c r="AU126" i="24" s="1"/>
  <c r="L126" i="24"/>
  <c r="AT126" i="24" s="1"/>
  <c r="K126" i="24"/>
  <c r="AS126" i="24" s="1"/>
  <c r="J126" i="24"/>
  <c r="I126" i="24"/>
  <c r="AQ126" i="24" s="1"/>
  <c r="V125" i="24"/>
  <c r="BD125" i="24" s="1"/>
  <c r="U125" i="24"/>
  <c r="BC125" i="24" s="1"/>
  <c r="R125" i="24"/>
  <c r="AZ125" i="24" s="1"/>
  <c r="Q125" i="24"/>
  <c r="AY125" i="24" s="1"/>
  <c r="P125" i="24"/>
  <c r="AX125" i="24" s="1"/>
  <c r="O125" i="24"/>
  <c r="N125" i="24"/>
  <c r="AV125" i="24" s="1"/>
  <c r="M125" i="24"/>
  <c r="AU125" i="24" s="1"/>
  <c r="L125" i="24"/>
  <c r="AT125" i="24" s="1"/>
  <c r="K125" i="24"/>
  <c r="AS125" i="24" s="1"/>
  <c r="J125" i="24"/>
  <c r="AR125" i="24" s="1"/>
  <c r="I125" i="24"/>
  <c r="AQ125" i="24" s="1"/>
  <c r="BF124" i="24"/>
  <c r="V124" i="24"/>
  <c r="BD124" i="24" s="1"/>
  <c r="U124" i="24"/>
  <c r="BC124" i="24" s="1"/>
  <c r="R124" i="24"/>
  <c r="AZ124" i="24" s="1"/>
  <c r="Q124" i="24"/>
  <c r="AY124" i="24" s="1"/>
  <c r="P124" i="24"/>
  <c r="AX124" i="24" s="1"/>
  <c r="O124" i="24"/>
  <c r="N124" i="24"/>
  <c r="AV124" i="24" s="1"/>
  <c r="M124" i="24"/>
  <c r="AU124" i="24" s="1"/>
  <c r="L124" i="24"/>
  <c r="AT124" i="24" s="1"/>
  <c r="K124" i="24"/>
  <c r="AS124" i="24" s="1"/>
  <c r="J124" i="24"/>
  <c r="AR124" i="24" s="1"/>
  <c r="I124" i="24"/>
  <c r="AQ124" i="24" s="1"/>
  <c r="V123" i="24"/>
  <c r="BD123" i="24" s="1"/>
  <c r="U123" i="24"/>
  <c r="BC123" i="24" s="1"/>
  <c r="R123" i="24"/>
  <c r="AZ123" i="24" s="1"/>
  <c r="Q123" i="24"/>
  <c r="AY123" i="24" s="1"/>
  <c r="P123" i="24"/>
  <c r="AX123" i="24" s="1"/>
  <c r="O123" i="24"/>
  <c r="AW123" i="24" s="1"/>
  <c r="N123" i="24"/>
  <c r="AV123" i="24" s="1"/>
  <c r="M123" i="24"/>
  <c r="AU123" i="24" s="1"/>
  <c r="L123" i="24"/>
  <c r="AT123" i="24" s="1"/>
  <c r="K123" i="24"/>
  <c r="AS123" i="24" s="1"/>
  <c r="J123" i="24"/>
  <c r="AR123" i="24" s="1"/>
  <c r="I123" i="24"/>
  <c r="AQ123" i="24" s="1"/>
  <c r="V122" i="24"/>
  <c r="BD122" i="24" s="1"/>
  <c r="U122" i="24"/>
  <c r="BC122" i="24" s="1"/>
  <c r="R122" i="24"/>
  <c r="AZ122" i="24" s="1"/>
  <c r="Q122" i="24"/>
  <c r="AY122" i="24" s="1"/>
  <c r="P122" i="24"/>
  <c r="AX122" i="24" s="1"/>
  <c r="O122" i="24"/>
  <c r="AW122" i="24" s="1"/>
  <c r="N122" i="24"/>
  <c r="AV122" i="24" s="1"/>
  <c r="M122" i="24"/>
  <c r="AU122" i="24" s="1"/>
  <c r="L122" i="24"/>
  <c r="K122" i="24"/>
  <c r="AS122" i="24" s="1"/>
  <c r="J122" i="24"/>
  <c r="AR122" i="24" s="1"/>
  <c r="I122" i="24"/>
  <c r="AQ122" i="24" s="1"/>
  <c r="BF121" i="24"/>
  <c r="V121" i="24"/>
  <c r="BD121" i="24" s="1"/>
  <c r="U121" i="24"/>
  <c r="BC121" i="24" s="1"/>
  <c r="R121" i="24"/>
  <c r="AZ121" i="24" s="1"/>
  <c r="Q121" i="24"/>
  <c r="AY121" i="24" s="1"/>
  <c r="P121" i="24"/>
  <c r="AX121" i="24" s="1"/>
  <c r="O121" i="24"/>
  <c r="AW121" i="24" s="1"/>
  <c r="N121" i="24"/>
  <c r="AV121" i="24" s="1"/>
  <c r="M121" i="24"/>
  <c r="AU121" i="24" s="1"/>
  <c r="L121" i="24"/>
  <c r="AT121" i="24" s="1"/>
  <c r="K121" i="24"/>
  <c r="AS121" i="24" s="1"/>
  <c r="J121" i="24"/>
  <c r="AR121" i="24" s="1"/>
  <c r="I121" i="24"/>
  <c r="AQ121" i="24" s="1"/>
  <c r="BF120" i="24"/>
  <c r="BO120" i="24" s="1"/>
  <c r="V120" i="24"/>
  <c r="BD120" i="24" s="1"/>
  <c r="U120" i="24"/>
  <c r="BC120" i="24" s="1"/>
  <c r="T120" i="24"/>
  <c r="BB120" i="24" s="1"/>
  <c r="S120" i="24"/>
  <c r="BA120" i="24" s="1"/>
  <c r="R120" i="24"/>
  <c r="AZ120" i="24" s="1"/>
  <c r="Q120" i="24"/>
  <c r="AY120" i="24" s="1"/>
  <c r="P120" i="24"/>
  <c r="AX120" i="24" s="1"/>
  <c r="O120" i="24"/>
  <c r="AW120" i="24" s="1"/>
  <c r="N120" i="24"/>
  <c r="AV120" i="24" s="1"/>
  <c r="M120" i="24"/>
  <c r="AU120" i="24" s="1"/>
  <c r="L120" i="24"/>
  <c r="AT120" i="24" s="1"/>
  <c r="K120" i="24"/>
  <c r="AS120" i="24" s="1"/>
  <c r="J120" i="24"/>
  <c r="AR120" i="24" s="1"/>
  <c r="I120" i="24"/>
  <c r="AQ120" i="24" s="1"/>
  <c r="H120" i="24"/>
  <c r="AP120" i="24" s="1"/>
  <c r="G120" i="24"/>
  <c r="AO120" i="24" s="1"/>
  <c r="V119" i="24"/>
  <c r="BD119" i="24" s="1"/>
  <c r="U119" i="24"/>
  <c r="BC119" i="24" s="1"/>
  <c r="R119" i="24"/>
  <c r="AZ119" i="24" s="1"/>
  <c r="Q119" i="24"/>
  <c r="AY119" i="24" s="1"/>
  <c r="P119" i="24"/>
  <c r="AX119" i="24" s="1"/>
  <c r="O119" i="24"/>
  <c r="AW119" i="24" s="1"/>
  <c r="N119" i="24"/>
  <c r="AV119" i="24" s="1"/>
  <c r="M119" i="24"/>
  <c r="AU119" i="24" s="1"/>
  <c r="L119" i="24"/>
  <c r="AT119" i="24" s="1"/>
  <c r="K119" i="24"/>
  <c r="AS119" i="24" s="1"/>
  <c r="J119" i="24"/>
  <c r="AR119" i="24" s="1"/>
  <c r="I119" i="24"/>
  <c r="AQ119" i="24" s="1"/>
  <c r="V118" i="24"/>
  <c r="BD118" i="24" s="1"/>
  <c r="U118" i="24"/>
  <c r="BC118" i="24" s="1"/>
  <c r="R118" i="24"/>
  <c r="AZ118" i="24" s="1"/>
  <c r="Q118" i="24"/>
  <c r="AY118" i="24" s="1"/>
  <c r="P118" i="24"/>
  <c r="AX118" i="24" s="1"/>
  <c r="O118" i="24"/>
  <c r="AW118" i="24" s="1"/>
  <c r="N118" i="24"/>
  <c r="AV118" i="24" s="1"/>
  <c r="M118" i="24"/>
  <c r="AU118" i="24" s="1"/>
  <c r="L118" i="24"/>
  <c r="AT118" i="24" s="1"/>
  <c r="K118" i="24"/>
  <c r="AS118" i="24" s="1"/>
  <c r="J118" i="24"/>
  <c r="AR118" i="24" s="1"/>
  <c r="I118" i="24"/>
  <c r="AQ118" i="24" s="1"/>
  <c r="V117" i="24"/>
  <c r="BD117" i="24" s="1"/>
  <c r="U117" i="24"/>
  <c r="BC117" i="24" s="1"/>
  <c r="BL117" i="24" s="1"/>
  <c r="R117" i="24"/>
  <c r="AZ117" i="24" s="1"/>
  <c r="Q117" i="24"/>
  <c r="AY117" i="24" s="1"/>
  <c r="P117" i="24"/>
  <c r="AX117" i="24" s="1"/>
  <c r="O117" i="24"/>
  <c r="AW117" i="24" s="1"/>
  <c r="N117" i="24"/>
  <c r="AV117" i="24" s="1"/>
  <c r="M117" i="24"/>
  <c r="AU117" i="24" s="1"/>
  <c r="L117" i="24"/>
  <c r="AT117" i="24" s="1"/>
  <c r="K117" i="24"/>
  <c r="AS117" i="24" s="1"/>
  <c r="J117" i="24"/>
  <c r="AR117" i="24" s="1"/>
  <c r="I117" i="24"/>
  <c r="AQ117" i="24" s="1"/>
  <c r="B117" i="24"/>
  <c r="B118" i="24" s="1"/>
  <c r="B119" i="24" s="1"/>
  <c r="B121" i="24" s="1"/>
  <c r="B122" i="24" s="1"/>
  <c r="B123" i="24" s="1"/>
  <c r="B124" i="24" s="1"/>
  <c r="B125" i="24" s="1"/>
  <c r="B126" i="24" s="1"/>
  <c r="B127" i="24" s="1"/>
  <c r="B128" i="24" s="1"/>
  <c r="B129" i="24" s="1"/>
  <c r="V116" i="24"/>
  <c r="BD116" i="24" s="1"/>
  <c r="U116" i="24"/>
  <c r="BC116" i="24" s="1"/>
  <c r="T116" i="24"/>
  <c r="S116" i="24"/>
  <c r="R116" i="24"/>
  <c r="AZ116" i="24" s="1"/>
  <c r="Q116" i="24"/>
  <c r="AY116" i="24" s="1"/>
  <c r="P116" i="24"/>
  <c r="AX116" i="24" s="1"/>
  <c r="O116" i="24"/>
  <c r="AW116" i="24" s="1"/>
  <c r="N116" i="24"/>
  <c r="AV116" i="24" s="1"/>
  <c r="M116" i="24"/>
  <c r="AU116" i="24" s="1"/>
  <c r="L116" i="24"/>
  <c r="AT116" i="24" s="1"/>
  <c r="K116" i="24"/>
  <c r="AS116" i="24" s="1"/>
  <c r="J116" i="24"/>
  <c r="AR116" i="24" s="1"/>
  <c r="I116" i="24"/>
  <c r="AQ116" i="24" s="1"/>
  <c r="H116" i="24"/>
  <c r="AP116" i="24" s="1"/>
  <c r="G116" i="24"/>
  <c r="AO116" i="24" s="1"/>
  <c r="BF115" i="24"/>
  <c r="BO115" i="24" s="1"/>
  <c r="V115" i="24"/>
  <c r="BD115" i="24" s="1"/>
  <c r="U115" i="24"/>
  <c r="BC115" i="24" s="1"/>
  <c r="T115" i="24"/>
  <c r="BB115" i="24" s="1"/>
  <c r="S115" i="24"/>
  <c r="BA115" i="24" s="1"/>
  <c r="R115" i="24"/>
  <c r="AZ115" i="24" s="1"/>
  <c r="Q115" i="24"/>
  <c r="AY115" i="24" s="1"/>
  <c r="P115" i="24"/>
  <c r="AX115" i="24" s="1"/>
  <c r="O115" i="24"/>
  <c r="AW115" i="24" s="1"/>
  <c r="N115" i="24"/>
  <c r="AV115" i="24" s="1"/>
  <c r="M115" i="24"/>
  <c r="AU115" i="24" s="1"/>
  <c r="L115" i="24"/>
  <c r="AT115" i="24" s="1"/>
  <c r="K115" i="24"/>
  <c r="AS115" i="24" s="1"/>
  <c r="J115" i="24"/>
  <c r="AR115" i="24" s="1"/>
  <c r="I115" i="24"/>
  <c r="AQ115" i="24" s="1"/>
  <c r="H115" i="24"/>
  <c r="AP115" i="24" s="1"/>
  <c r="G115" i="24"/>
  <c r="AO115" i="24" s="1"/>
  <c r="V114" i="24"/>
  <c r="BD114" i="24" s="1"/>
  <c r="U114" i="24"/>
  <c r="BC114" i="24" s="1"/>
  <c r="R114" i="24"/>
  <c r="AZ114" i="24" s="1"/>
  <c r="Q114" i="24"/>
  <c r="AY114" i="24" s="1"/>
  <c r="P114" i="24"/>
  <c r="AX114" i="24" s="1"/>
  <c r="O114" i="24"/>
  <c r="AW114" i="24" s="1"/>
  <c r="N114" i="24"/>
  <c r="AV114" i="24" s="1"/>
  <c r="M114" i="24"/>
  <c r="AU114" i="24" s="1"/>
  <c r="L114" i="24"/>
  <c r="AT114" i="24" s="1"/>
  <c r="K114" i="24"/>
  <c r="AS114" i="24" s="1"/>
  <c r="J114" i="24"/>
  <c r="AR114" i="24" s="1"/>
  <c r="I114" i="24"/>
  <c r="AQ114" i="24" s="1"/>
  <c r="V113" i="24"/>
  <c r="BD113" i="24" s="1"/>
  <c r="U113" i="24"/>
  <c r="BC113" i="24" s="1"/>
  <c r="BL113" i="24" s="1"/>
  <c r="R113" i="24"/>
  <c r="AZ113" i="24" s="1"/>
  <c r="Q113" i="24"/>
  <c r="AY113" i="24" s="1"/>
  <c r="P113" i="24"/>
  <c r="AX113" i="24" s="1"/>
  <c r="O113" i="24"/>
  <c r="AW113" i="24" s="1"/>
  <c r="N113" i="24"/>
  <c r="AV113" i="24" s="1"/>
  <c r="M113" i="24"/>
  <c r="AU113" i="24" s="1"/>
  <c r="L113" i="24"/>
  <c r="AT113" i="24" s="1"/>
  <c r="K113" i="24"/>
  <c r="AS113" i="24" s="1"/>
  <c r="J113" i="24"/>
  <c r="AR113" i="24" s="1"/>
  <c r="I113" i="24"/>
  <c r="AQ113" i="24" s="1"/>
  <c r="BF112" i="24"/>
  <c r="V112" i="24"/>
  <c r="BD112" i="24" s="1"/>
  <c r="U112" i="24"/>
  <c r="BC112" i="24" s="1"/>
  <c r="R112" i="24"/>
  <c r="AZ112" i="24" s="1"/>
  <c r="Q112" i="24"/>
  <c r="AY112" i="24" s="1"/>
  <c r="P112" i="24"/>
  <c r="AX112" i="24" s="1"/>
  <c r="O112" i="24"/>
  <c r="AW112" i="24" s="1"/>
  <c r="N112" i="24"/>
  <c r="AV112" i="24" s="1"/>
  <c r="M112" i="24"/>
  <c r="AU112" i="24" s="1"/>
  <c r="L112" i="24"/>
  <c r="AT112" i="24" s="1"/>
  <c r="K112" i="24"/>
  <c r="AS112" i="24" s="1"/>
  <c r="J112" i="24"/>
  <c r="AR112" i="24" s="1"/>
  <c r="I112" i="24"/>
  <c r="AQ112" i="24" s="1"/>
  <c r="V111" i="24"/>
  <c r="BD111" i="24" s="1"/>
  <c r="U111" i="24"/>
  <c r="BC111" i="24" s="1"/>
  <c r="R111" i="24"/>
  <c r="AZ111" i="24" s="1"/>
  <c r="Q111" i="24"/>
  <c r="AY111" i="24" s="1"/>
  <c r="P111" i="24"/>
  <c r="AX111" i="24" s="1"/>
  <c r="O111" i="24"/>
  <c r="AW111" i="24" s="1"/>
  <c r="N111" i="24"/>
  <c r="AV111" i="24" s="1"/>
  <c r="M111" i="24"/>
  <c r="AU111" i="24" s="1"/>
  <c r="L111" i="24"/>
  <c r="AT111" i="24" s="1"/>
  <c r="K111" i="24"/>
  <c r="AS111" i="24" s="1"/>
  <c r="J111" i="24"/>
  <c r="AR111" i="24" s="1"/>
  <c r="I111" i="24"/>
  <c r="AQ111" i="24" s="1"/>
  <c r="V110" i="24"/>
  <c r="BD110" i="24" s="1"/>
  <c r="U110" i="24"/>
  <c r="BC110" i="24" s="1"/>
  <c r="R110" i="24"/>
  <c r="AZ110" i="24" s="1"/>
  <c r="Q110" i="24"/>
  <c r="AY110" i="24" s="1"/>
  <c r="P110" i="24"/>
  <c r="AX110" i="24" s="1"/>
  <c r="O110" i="24"/>
  <c r="AW110" i="24" s="1"/>
  <c r="N110" i="24"/>
  <c r="AV110" i="24" s="1"/>
  <c r="M110" i="24"/>
  <c r="AU110" i="24" s="1"/>
  <c r="L110" i="24"/>
  <c r="AT110" i="24" s="1"/>
  <c r="K110" i="24"/>
  <c r="AS110" i="24" s="1"/>
  <c r="J110" i="24"/>
  <c r="AR110" i="24" s="1"/>
  <c r="I110" i="24"/>
  <c r="V109" i="24"/>
  <c r="BD109" i="24" s="1"/>
  <c r="U109" i="24"/>
  <c r="BC109" i="24" s="1"/>
  <c r="R109" i="24"/>
  <c r="AZ109" i="24" s="1"/>
  <c r="Q109" i="24"/>
  <c r="AY109" i="24" s="1"/>
  <c r="P109" i="24"/>
  <c r="AX109" i="24" s="1"/>
  <c r="O109" i="24"/>
  <c r="N109" i="24"/>
  <c r="AV109" i="24" s="1"/>
  <c r="M109" i="24"/>
  <c r="AU109" i="24" s="1"/>
  <c r="L109" i="24"/>
  <c r="AT109" i="24" s="1"/>
  <c r="K109" i="24"/>
  <c r="AS109" i="24" s="1"/>
  <c r="J109" i="24"/>
  <c r="AR109" i="24" s="1"/>
  <c r="I109" i="24"/>
  <c r="AQ109" i="24" s="1"/>
  <c r="BF108" i="24"/>
  <c r="V108" i="24"/>
  <c r="BD108" i="24" s="1"/>
  <c r="U108" i="24"/>
  <c r="BC108" i="24" s="1"/>
  <c r="BL108" i="24" s="1"/>
  <c r="R108" i="24"/>
  <c r="AZ108" i="24" s="1"/>
  <c r="Q108" i="24"/>
  <c r="AY108" i="24" s="1"/>
  <c r="P108" i="24"/>
  <c r="AX108" i="24" s="1"/>
  <c r="O108" i="24"/>
  <c r="AW108" i="24" s="1"/>
  <c r="N108" i="24"/>
  <c r="AV108" i="24" s="1"/>
  <c r="M108" i="24"/>
  <c r="AU108" i="24" s="1"/>
  <c r="L108" i="24"/>
  <c r="AT108" i="24" s="1"/>
  <c r="K108" i="24"/>
  <c r="AS108" i="24" s="1"/>
  <c r="J108" i="24"/>
  <c r="AR108" i="24" s="1"/>
  <c r="I108" i="24"/>
  <c r="AQ108" i="24" s="1"/>
  <c r="V107" i="24"/>
  <c r="BD107" i="24" s="1"/>
  <c r="U107" i="24"/>
  <c r="BC107" i="24" s="1"/>
  <c r="R107" i="24"/>
  <c r="AZ107" i="24" s="1"/>
  <c r="Q107" i="24"/>
  <c r="AY107" i="24" s="1"/>
  <c r="P107" i="24"/>
  <c r="AX107" i="24" s="1"/>
  <c r="O107" i="24"/>
  <c r="AW107" i="24" s="1"/>
  <c r="N107" i="24"/>
  <c r="AV107" i="24" s="1"/>
  <c r="M107" i="24"/>
  <c r="AU107" i="24" s="1"/>
  <c r="L107" i="24"/>
  <c r="AT107" i="24" s="1"/>
  <c r="K107" i="24"/>
  <c r="AS107" i="24" s="1"/>
  <c r="J107" i="24"/>
  <c r="AR107" i="24" s="1"/>
  <c r="I107" i="24"/>
  <c r="AQ107" i="24" s="1"/>
  <c r="V106" i="24"/>
  <c r="BD106" i="24" s="1"/>
  <c r="U106" i="24"/>
  <c r="BC106" i="24" s="1"/>
  <c r="R106" i="24"/>
  <c r="AZ106" i="24" s="1"/>
  <c r="Q106" i="24"/>
  <c r="AY106" i="24" s="1"/>
  <c r="P106" i="24"/>
  <c r="AX106" i="24" s="1"/>
  <c r="O106" i="24"/>
  <c r="AW106" i="24" s="1"/>
  <c r="N106" i="24"/>
  <c r="AV106" i="24" s="1"/>
  <c r="M106" i="24"/>
  <c r="AU106" i="24" s="1"/>
  <c r="L106" i="24"/>
  <c r="AT106" i="24" s="1"/>
  <c r="K106" i="24"/>
  <c r="AS106" i="24" s="1"/>
  <c r="J106" i="24"/>
  <c r="AR106" i="24" s="1"/>
  <c r="I106" i="24"/>
  <c r="AQ106" i="24" s="1"/>
  <c r="V105" i="24"/>
  <c r="BD105" i="24" s="1"/>
  <c r="U105" i="24"/>
  <c r="BC105" i="24" s="1"/>
  <c r="BL105" i="24" s="1"/>
  <c r="R105" i="24"/>
  <c r="AZ105" i="24" s="1"/>
  <c r="Q105" i="24"/>
  <c r="AY105" i="24" s="1"/>
  <c r="P105" i="24"/>
  <c r="AX105" i="24" s="1"/>
  <c r="O105" i="24"/>
  <c r="AW105" i="24" s="1"/>
  <c r="N105" i="24"/>
  <c r="AV105" i="24" s="1"/>
  <c r="M105" i="24"/>
  <c r="AU105" i="24" s="1"/>
  <c r="L105" i="24"/>
  <c r="AT105" i="24" s="1"/>
  <c r="K105" i="24"/>
  <c r="AS105" i="24" s="1"/>
  <c r="J105" i="24"/>
  <c r="AR105" i="24" s="1"/>
  <c r="I105" i="24"/>
  <c r="AQ105" i="24" s="1"/>
  <c r="V104" i="24"/>
  <c r="BD104" i="24" s="1"/>
  <c r="U104" i="24"/>
  <c r="BC104" i="24" s="1"/>
  <c r="T104" i="24"/>
  <c r="BB104" i="24" s="1"/>
  <c r="S104" i="24"/>
  <c r="BA104" i="24" s="1"/>
  <c r="R104" i="24"/>
  <c r="AZ104" i="24" s="1"/>
  <c r="Q104" i="24"/>
  <c r="AY104" i="24" s="1"/>
  <c r="P104" i="24"/>
  <c r="AX104" i="24" s="1"/>
  <c r="O104" i="24"/>
  <c r="AW104" i="24" s="1"/>
  <c r="N104" i="24"/>
  <c r="AV104" i="24" s="1"/>
  <c r="M104" i="24"/>
  <c r="AU104" i="24" s="1"/>
  <c r="L104" i="24"/>
  <c r="AT104" i="24" s="1"/>
  <c r="K104" i="24"/>
  <c r="AS104" i="24" s="1"/>
  <c r="J104" i="24"/>
  <c r="AR104" i="24" s="1"/>
  <c r="I104" i="24"/>
  <c r="AQ104" i="24" s="1"/>
  <c r="H104" i="24"/>
  <c r="AP104" i="24" s="1"/>
  <c r="G104" i="24"/>
  <c r="AO104" i="24" s="1"/>
  <c r="V103" i="24"/>
  <c r="BD103" i="24" s="1"/>
  <c r="U103" i="24"/>
  <c r="BC103" i="24" s="1"/>
  <c r="BL103" i="24" s="1"/>
  <c r="R103" i="24"/>
  <c r="AZ103" i="24" s="1"/>
  <c r="Q103" i="24"/>
  <c r="AY103" i="24" s="1"/>
  <c r="P103" i="24"/>
  <c r="AX103" i="24" s="1"/>
  <c r="O103" i="24"/>
  <c r="AW103" i="24" s="1"/>
  <c r="N103" i="24"/>
  <c r="AV103" i="24" s="1"/>
  <c r="M103" i="24"/>
  <c r="AU103" i="24" s="1"/>
  <c r="L103" i="24"/>
  <c r="AT103" i="24" s="1"/>
  <c r="K103" i="24"/>
  <c r="AS103" i="24" s="1"/>
  <c r="J103" i="24"/>
  <c r="AR103" i="24" s="1"/>
  <c r="I103" i="24"/>
  <c r="AQ103" i="24" s="1"/>
  <c r="V102" i="24"/>
  <c r="BD102" i="24" s="1"/>
  <c r="U102" i="24"/>
  <c r="BC102" i="24" s="1"/>
  <c r="R102" i="24"/>
  <c r="AZ102" i="24" s="1"/>
  <c r="Q102" i="24"/>
  <c r="AY102" i="24" s="1"/>
  <c r="P102" i="24"/>
  <c r="AX102" i="24" s="1"/>
  <c r="O102" i="24"/>
  <c r="AW102" i="24" s="1"/>
  <c r="N102" i="24"/>
  <c r="AV102" i="24" s="1"/>
  <c r="M102" i="24"/>
  <c r="AU102" i="24" s="1"/>
  <c r="L102" i="24"/>
  <c r="AT102" i="24" s="1"/>
  <c r="K102" i="24"/>
  <c r="AS102" i="24" s="1"/>
  <c r="J102" i="24"/>
  <c r="AR102" i="24" s="1"/>
  <c r="I102" i="24"/>
  <c r="AQ102" i="24" s="1"/>
  <c r="V101" i="24"/>
  <c r="BD101" i="24" s="1"/>
  <c r="U101" i="24"/>
  <c r="BC101" i="24" s="1"/>
  <c r="T101" i="24"/>
  <c r="BB101" i="24" s="1"/>
  <c r="S101" i="24"/>
  <c r="BA101" i="24" s="1"/>
  <c r="R101" i="24"/>
  <c r="AZ101" i="24" s="1"/>
  <c r="Q101" i="24"/>
  <c r="AY101" i="24" s="1"/>
  <c r="P101" i="24"/>
  <c r="AX101" i="24" s="1"/>
  <c r="O101" i="24"/>
  <c r="AW101" i="24" s="1"/>
  <c r="N101" i="24"/>
  <c r="AV101" i="24" s="1"/>
  <c r="M101" i="24"/>
  <c r="AU101" i="24" s="1"/>
  <c r="L101" i="24"/>
  <c r="AT101" i="24" s="1"/>
  <c r="K101" i="24"/>
  <c r="AS101" i="24" s="1"/>
  <c r="J101" i="24"/>
  <c r="AR101" i="24" s="1"/>
  <c r="I101" i="24"/>
  <c r="AQ101" i="24" s="1"/>
  <c r="H101" i="24"/>
  <c r="AP101" i="24" s="1"/>
  <c r="G101" i="24"/>
  <c r="AO101" i="24" s="1"/>
  <c r="BH101" i="24" s="1"/>
  <c r="BF100" i="24"/>
  <c r="V100" i="24"/>
  <c r="BD100" i="24" s="1"/>
  <c r="U100" i="24"/>
  <c r="BC100" i="24" s="1"/>
  <c r="R100" i="24"/>
  <c r="AZ100" i="24" s="1"/>
  <c r="Q100" i="24"/>
  <c r="AY100" i="24" s="1"/>
  <c r="P100" i="24"/>
  <c r="O100" i="24"/>
  <c r="AW100" i="24" s="1"/>
  <c r="N100" i="24"/>
  <c r="AV100" i="24" s="1"/>
  <c r="M100" i="24"/>
  <c r="AU100" i="24" s="1"/>
  <c r="L100" i="24"/>
  <c r="AT100" i="24" s="1"/>
  <c r="K100" i="24"/>
  <c r="AS100" i="24" s="1"/>
  <c r="J100" i="24"/>
  <c r="AR100" i="24" s="1"/>
  <c r="I100" i="24"/>
  <c r="AQ100" i="24" s="1"/>
  <c r="V99" i="24"/>
  <c r="BD99" i="24" s="1"/>
  <c r="U99" i="24"/>
  <c r="BC99" i="24" s="1"/>
  <c r="BL99" i="24" s="1"/>
  <c r="R99" i="24"/>
  <c r="AZ99" i="24" s="1"/>
  <c r="Q99" i="24"/>
  <c r="AY99" i="24" s="1"/>
  <c r="P99" i="24"/>
  <c r="AX99" i="24" s="1"/>
  <c r="O99" i="24"/>
  <c r="AW99" i="24" s="1"/>
  <c r="N99" i="24"/>
  <c r="AV99" i="24" s="1"/>
  <c r="M99" i="24"/>
  <c r="AU99" i="24" s="1"/>
  <c r="L99" i="24"/>
  <c r="AT99" i="24" s="1"/>
  <c r="K99" i="24"/>
  <c r="AS99" i="24" s="1"/>
  <c r="J99" i="24"/>
  <c r="AR99" i="24" s="1"/>
  <c r="I99" i="24"/>
  <c r="AQ99" i="24" s="1"/>
  <c r="V98" i="24"/>
  <c r="BD98" i="24" s="1"/>
  <c r="U98" i="24"/>
  <c r="BC98" i="24" s="1"/>
  <c r="R98" i="24"/>
  <c r="AZ98" i="24" s="1"/>
  <c r="Q98" i="24"/>
  <c r="AY98" i="24" s="1"/>
  <c r="P98" i="24"/>
  <c r="AX98" i="24" s="1"/>
  <c r="O98" i="24"/>
  <c r="AW98" i="24" s="1"/>
  <c r="N98" i="24"/>
  <c r="AV98" i="24" s="1"/>
  <c r="M98" i="24"/>
  <c r="AU98" i="24" s="1"/>
  <c r="L98" i="24"/>
  <c r="AT98" i="24" s="1"/>
  <c r="K98" i="24"/>
  <c r="AS98" i="24" s="1"/>
  <c r="J98" i="24"/>
  <c r="AR98" i="24" s="1"/>
  <c r="I98" i="24"/>
  <c r="AQ98" i="24" s="1"/>
  <c r="V97" i="24"/>
  <c r="BD97" i="24" s="1"/>
  <c r="U97" i="24"/>
  <c r="BC97" i="24" s="1"/>
  <c r="R97" i="24"/>
  <c r="AZ97" i="24" s="1"/>
  <c r="Q97" i="24"/>
  <c r="AY97" i="24" s="1"/>
  <c r="P97" i="24"/>
  <c r="AX97" i="24" s="1"/>
  <c r="O97" i="24"/>
  <c r="AW97" i="24" s="1"/>
  <c r="N97" i="24"/>
  <c r="M97" i="24"/>
  <c r="AU97" i="24" s="1"/>
  <c r="L97" i="24"/>
  <c r="AT97" i="24" s="1"/>
  <c r="K97" i="24"/>
  <c r="AS97" i="24" s="1"/>
  <c r="J97" i="24"/>
  <c r="AR97" i="24" s="1"/>
  <c r="I97" i="24"/>
  <c r="AQ97" i="24" s="1"/>
  <c r="B97" i="24"/>
  <c r="B98" i="24" s="1"/>
  <c r="B99" i="24" s="1"/>
  <c r="B100" i="24" s="1"/>
  <c r="B101" i="24" s="1"/>
  <c r="B102" i="24" s="1"/>
  <c r="B103" i="24" s="1"/>
  <c r="B105" i="24" s="1"/>
  <c r="B106" i="24" s="1"/>
  <c r="B107" i="24" s="1"/>
  <c r="B108" i="24" s="1"/>
  <c r="B109" i="24" s="1"/>
  <c r="B110" i="24" s="1"/>
  <c r="B111" i="24" s="1"/>
  <c r="B112" i="24" s="1"/>
  <c r="B113" i="24" s="1"/>
  <c r="B114" i="24" s="1"/>
  <c r="B116" i="24" s="1"/>
  <c r="BF96" i="24"/>
  <c r="BO96" i="24" s="1"/>
  <c r="V96" i="24"/>
  <c r="BD96" i="24" s="1"/>
  <c r="U96" i="24"/>
  <c r="BC96" i="24" s="1"/>
  <c r="T96" i="24"/>
  <c r="S96" i="24"/>
  <c r="BA96" i="24" s="1"/>
  <c r="R96" i="24"/>
  <c r="AZ96" i="24" s="1"/>
  <c r="Q96" i="24"/>
  <c r="AY96" i="24" s="1"/>
  <c r="P96" i="24"/>
  <c r="AX96" i="24" s="1"/>
  <c r="O96" i="24"/>
  <c r="AW96" i="24" s="1"/>
  <c r="N96" i="24"/>
  <c r="AV96" i="24" s="1"/>
  <c r="M96" i="24"/>
  <c r="AU96" i="24" s="1"/>
  <c r="L96" i="24"/>
  <c r="AT96" i="24" s="1"/>
  <c r="K96" i="24"/>
  <c r="AS96" i="24" s="1"/>
  <c r="J96" i="24"/>
  <c r="AR96" i="24" s="1"/>
  <c r="I96" i="24"/>
  <c r="AQ96" i="24" s="1"/>
  <c r="H96" i="24"/>
  <c r="G96" i="24"/>
  <c r="AO96" i="24" s="1"/>
  <c r="BF95" i="24"/>
  <c r="BO95" i="24" s="1"/>
  <c r="V95" i="24"/>
  <c r="BD95" i="24" s="1"/>
  <c r="U95" i="24"/>
  <c r="BC95" i="24" s="1"/>
  <c r="T95" i="24"/>
  <c r="BB95" i="24" s="1"/>
  <c r="S95" i="24"/>
  <c r="BA95" i="24" s="1"/>
  <c r="R95" i="24"/>
  <c r="AZ95" i="24" s="1"/>
  <c r="Q95" i="24"/>
  <c r="AY95" i="24" s="1"/>
  <c r="P95" i="24"/>
  <c r="AX95" i="24" s="1"/>
  <c r="O95" i="24"/>
  <c r="AW95" i="24" s="1"/>
  <c r="N95" i="24"/>
  <c r="AV95" i="24" s="1"/>
  <c r="M95" i="24"/>
  <c r="AU95" i="24" s="1"/>
  <c r="L95" i="24"/>
  <c r="AT95" i="24" s="1"/>
  <c r="K95" i="24"/>
  <c r="AS95" i="24" s="1"/>
  <c r="J95" i="24"/>
  <c r="AR95" i="24" s="1"/>
  <c r="I95" i="24"/>
  <c r="AQ95" i="24" s="1"/>
  <c r="H95" i="24"/>
  <c r="AP95" i="24" s="1"/>
  <c r="G95" i="24"/>
  <c r="AO95" i="24" s="1"/>
  <c r="AL135" i="24"/>
  <c r="AI135" i="24"/>
  <c r="AH135" i="24"/>
  <c r="AF135" i="24"/>
  <c r="AD135" i="24"/>
  <c r="AC135" i="24"/>
  <c r="AB135" i="24"/>
  <c r="AA135" i="24"/>
  <c r="Z135" i="24"/>
  <c r="V94" i="24"/>
  <c r="BD94" i="24" s="1"/>
  <c r="U94" i="24"/>
  <c r="BC94" i="24" s="1"/>
  <c r="T94" i="24"/>
  <c r="BB94" i="24" s="1"/>
  <c r="S94" i="24"/>
  <c r="BA94" i="24" s="1"/>
  <c r="R94" i="24"/>
  <c r="AZ94" i="24" s="1"/>
  <c r="Q94" i="24"/>
  <c r="AY94" i="24" s="1"/>
  <c r="P94" i="24"/>
  <c r="AX94" i="24" s="1"/>
  <c r="O94" i="24"/>
  <c r="AW94" i="24" s="1"/>
  <c r="N94" i="24"/>
  <c r="AV94" i="24" s="1"/>
  <c r="M94" i="24"/>
  <c r="AU94" i="24" s="1"/>
  <c r="L94" i="24"/>
  <c r="AT94" i="24" s="1"/>
  <c r="K94" i="24"/>
  <c r="AS94" i="24" s="1"/>
  <c r="J94" i="24"/>
  <c r="AR94" i="24" s="1"/>
  <c r="I94" i="24"/>
  <c r="AQ94" i="24" s="1"/>
  <c r="H94" i="24"/>
  <c r="AP94" i="24" s="1"/>
  <c r="G94" i="24"/>
  <c r="AO94" i="24" s="1"/>
  <c r="BF93" i="24"/>
  <c r="BO93" i="24" s="1"/>
  <c r="V93" i="24"/>
  <c r="BD93" i="24" s="1"/>
  <c r="U93" i="24"/>
  <c r="BC93" i="24" s="1"/>
  <c r="T93" i="24"/>
  <c r="BB93" i="24" s="1"/>
  <c r="S93" i="24"/>
  <c r="BA93" i="24" s="1"/>
  <c r="R93" i="24"/>
  <c r="AZ93" i="24" s="1"/>
  <c r="Q93" i="24"/>
  <c r="AY93" i="24" s="1"/>
  <c r="P93" i="24"/>
  <c r="AX93" i="24" s="1"/>
  <c r="O93" i="24"/>
  <c r="AW93" i="24" s="1"/>
  <c r="N93" i="24"/>
  <c r="AV93" i="24" s="1"/>
  <c r="M93" i="24"/>
  <c r="AU93" i="24" s="1"/>
  <c r="L93" i="24"/>
  <c r="AT93" i="24" s="1"/>
  <c r="K93" i="24"/>
  <c r="AS93" i="24" s="1"/>
  <c r="J93" i="24"/>
  <c r="AR93" i="24" s="1"/>
  <c r="I93" i="24"/>
  <c r="AQ93" i="24" s="1"/>
  <c r="H93" i="24"/>
  <c r="AP93" i="24" s="1"/>
  <c r="G93" i="24"/>
  <c r="AO93" i="24" s="1"/>
  <c r="BH93" i="24" s="1"/>
  <c r="BF92" i="24"/>
  <c r="BO92" i="24" s="1"/>
  <c r="V92" i="24"/>
  <c r="BD92" i="24" s="1"/>
  <c r="U92" i="24"/>
  <c r="BC92" i="24" s="1"/>
  <c r="T92" i="24"/>
  <c r="BB92" i="24" s="1"/>
  <c r="S92" i="24"/>
  <c r="BA92" i="24" s="1"/>
  <c r="R92" i="24"/>
  <c r="AZ92" i="24" s="1"/>
  <c r="Q92" i="24"/>
  <c r="AY92" i="24" s="1"/>
  <c r="P92" i="24"/>
  <c r="AX92" i="24" s="1"/>
  <c r="O92" i="24"/>
  <c r="AW92" i="24" s="1"/>
  <c r="N92" i="24"/>
  <c r="AV92" i="24" s="1"/>
  <c r="M92" i="24"/>
  <c r="AU92" i="24" s="1"/>
  <c r="L92" i="24"/>
  <c r="AT92" i="24" s="1"/>
  <c r="K92" i="24"/>
  <c r="AS92" i="24" s="1"/>
  <c r="J92" i="24"/>
  <c r="AR92" i="24" s="1"/>
  <c r="I92" i="24"/>
  <c r="AQ92" i="24" s="1"/>
  <c r="H92" i="24"/>
  <c r="AP92" i="24" s="1"/>
  <c r="G92" i="24"/>
  <c r="AO92" i="24" s="1"/>
  <c r="BH92" i="24" s="1"/>
  <c r="V91" i="24"/>
  <c r="BD91" i="24" s="1"/>
  <c r="U91" i="24"/>
  <c r="BC91" i="24" s="1"/>
  <c r="T91" i="24"/>
  <c r="BB91" i="24" s="1"/>
  <c r="S91" i="24"/>
  <c r="BA91" i="24" s="1"/>
  <c r="R91" i="24"/>
  <c r="AZ91" i="24" s="1"/>
  <c r="Q91" i="24"/>
  <c r="AY91" i="24" s="1"/>
  <c r="P91" i="24"/>
  <c r="AX91" i="24" s="1"/>
  <c r="O91" i="24"/>
  <c r="AW91" i="24" s="1"/>
  <c r="N91" i="24"/>
  <c r="AV91" i="24" s="1"/>
  <c r="M91" i="24"/>
  <c r="AU91" i="24" s="1"/>
  <c r="L91" i="24"/>
  <c r="AT91" i="24" s="1"/>
  <c r="K91" i="24"/>
  <c r="AS91" i="24" s="1"/>
  <c r="J91" i="24"/>
  <c r="AR91" i="24" s="1"/>
  <c r="I91" i="24"/>
  <c r="AQ91" i="24" s="1"/>
  <c r="H91" i="24"/>
  <c r="AP91" i="24" s="1"/>
  <c r="G91" i="24"/>
  <c r="AO91" i="24" s="1"/>
  <c r="BH91" i="24" s="1"/>
  <c r="BF90" i="24"/>
  <c r="BO90" i="24" s="1"/>
  <c r="V90" i="24"/>
  <c r="BD90" i="24" s="1"/>
  <c r="U90" i="24"/>
  <c r="BC90" i="24" s="1"/>
  <c r="T90" i="24"/>
  <c r="BB90" i="24" s="1"/>
  <c r="S90" i="24"/>
  <c r="BA90" i="24" s="1"/>
  <c r="R90" i="24"/>
  <c r="AZ90" i="24" s="1"/>
  <c r="Q90" i="24"/>
  <c r="AY90" i="24" s="1"/>
  <c r="P90" i="24"/>
  <c r="AX90" i="24" s="1"/>
  <c r="O90" i="24"/>
  <c r="AW90" i="24" s="1"/>
  <c r="N90" i="24"/>
  <c r="AV90" i="24" s="1"/>
  <c r="M90" i="24"/>
  <c r="AU90" i="24" s="1"/>
  <c r="L90" i="24"/>
  <c r="AT90" i="24" s="1"/>
  <c r="K90" i="24"/>
  <c r="AS90" i="24" s="1"/>
  <c r="J90" i="24"/>
  <c r="AR90" i="24" s="1"/>
  <c r="I90" i="24"/>
  <c r="AQ90" i="24" s="1"/>
  <c r="H90" i="24"/>
  <c r="AP90" i="24" s="1"/>
  <c r="G90" i="24"/>
  <c r="AO90" i="24" s="1"/>
  <c r="BH90" i="24" s="1"/>
  <c r="V89" i="24"/>
  <c r="BD89" i="24" s="1"/>
  <c r="U89" i="24"/>
  <c r="BC89" i="24" s="1"/>
  <c r="T89" i="24"/>
  <c r="BB89" i="24" s="1"/>
  <c r="S89" i="24"/>
  <c r="BA89" i="24" s="1"/>
  <c r="R89" i="24"/>
  <c r="AZ89" i="24" s="1"/>
  <c r="Q89" i="24"/>
  <c r="AY89" i="24" s="1"/>
  <c r="P89" i="24"/>
  <c r="AX89" i="24" s="1"/>
  <c r="O89" i="24"/>
  <c r="AW89" i="24" s="1"/>
  <c r="N89" i="24"/>
  <c r="AV89" i="24" s="1"/>
  <c r="M89" i="24"/>
  <c r="AU89" i="24" s="1"/>
  <c r="L89" i="24"/>
  <c r="AT89" i="24" s="1"/>
  <c r="K89" i="24"/>
  <c r="AS89" i="24" s="1"/>
  <c r="J89" i="24"/>
  <c r="AR89" i="24" s="1"/>
  <c r="I89" i="24"/>
  <c r="AQ89" i="24" s="1"/>
  <c r="H89" i="24"/>
  <c r="AP89" i="24" s="1"/>
  <c r="G89" i="24"/>
  <c r="AO89" i="24" s="1"/>
  <c r="BH89" i="24" s="1"/>
  <c r="V88" i="24"/>
  <c r="BD88" i="24" s="1"/>
  <c r="U88" i="24"/>
  <c r="BC88" i="24" s="1"/>
  <c r="T88" i="24"/>
  <c r="BB88" i="24" s="1"/>
  <c r="S88" i="24"/>
  <c r="BA88" i="24" s="1"/>
  <c r="R88" i="24"/>
  <c r="AZ88" i="24" s="1"/>
  <c r="Q88" i="24"/>
  <c r="AY88" i="24" s="1"/>
  <c r="P88" i="24"/>
  <c r="AX88" i="24" s="1"/>
  <c r="O88" i="24"/>
  <c r="AW88" i="24" s="1"/>
  <c r="N88" i="24"/>
  <c r="AV88" i="24" s="1"/>
  <c r="M88" i="24"/>
  <c r="AU88" i="24" s="1"/>
  <c r="L88" i="24"/>
  <c r="AT88" i="24" s="1"/>
  <c r="K88" i="24"/>
  <c r="AS88" i="24" s="1"/>
  <c r="J88" i="24"/>
  <c r="AR88" i="24" s="1"/>
  <c r="I88" i="24"/>
  <c r="AQ88" i="24" s="1"/>
  <c r="H88" i="24"/>
  <c r="AP88" i="24" s="1"/>
  <c r="BI88" i="24" s="1"/>
  <c r="G88" i="24"/>
  <c r="AO88" i="24" s="1"/>
  <c r="BH88" i="24" s="1"/>
  <c r="V87" i="24"/>
  <c r="BD87" i="24" s="1"/>
  <c r="U87" i="24"/>
  <c r="BC87" i="24" s="1"/>
  <c r="R87" i="24"/>
  <c r="AZ87" i="24" s="1"/>
  <c r="Q87" i="24"/>
  <c r="AY87" i="24" s="1"/>
  <c r="P87" i="24"/>
  <c r="AX87" i="24" s="1"/>
  <c r="O87" i="24"/>
  <c r="AW87" i="24" s="1"/>
  <c r="N87" i="24"/>
  <c r="AV87" i="24" s="1"/>
  <c r="M87" i="24"/>
  <c r="AU87" i="24" s="1"/>
  <c r="L87" i="24"/>
  <c r="AT87" i="24" s="1"/>
  <c r="J87" i="24"/>
  <c r="AR87" i="24" s="1"/>
  <c r="H87" i="24"/>
  <c r="AP87" i="24" s="1"/>
  <c r="V86" i="24"/>
  <c r="BD86" i="24" s="1"/>
  <c r="U86" i="24"/>
  <c r="BC86" i="24" s="1"/>
  <c r="R86" i="24"/>
  <c r="AZ86" i="24" s="1"/>
  <c r="Q86" i="24"/>
  <c r="AY86" i="24" s="1"/>
  <c r="P86" i="24"/>
  <c r="AX86" i="24" s="1"/>
  <c r="O86" i="24"/>
  <c r="AW86" i="24" s="1"/>
  <c r="N86" i="24"/>
  <c r="AV86" i="24" s="1"/>
  <c r="M86" i="24"/>
  <c r="AU86" i="24" s="1"/>
  <c r="L86" i="24"/>
  <c r="AT86" i="24" s="1"/>
  <c r="J86" i="24"/>
  <c r="AR86" i="24" s="1"/>
  <c r="H86" i="24"/>
  <c r="AP86" i="24" s="1"/>
  <c r="V85" i="24"/>
  <c r="BD85" i="24" s="1"/>
  <c r="U85" i="24"/>
  <c r="BC85" i="24" s="1"/>
  <c r="BL85" i="24" s="1"/>
  <c r="R85" i="24"/>
  <c r="AZ85" i="24" s="1"/>
  <c r="Q85" i="24"/>
  <c r="AY85" i="24" s="1"/>
  <c r="P85" i="24"/>
  <c r="AX85" i="24" s="1"/>
  <c r="O85" i="24"/>
  <c r="AW85" i="24" s="1"/>
  <c r="N85" i="24"/>
  <c r="AV85" i="24" s="1"/>
  <c r="M85" i="24"/>
  <c r="AU85" i="24" s="1"/>
  <c r="L85" i="24"/>
  <c r="AT85" i="24" s="1"/>
  <c r="J85" i="24"/>
  <c r="AR85" i="24" s="1"/>
  <c r="H85" i="24"/>
  <c r="AP85" i="24" s="1"/>
  <c r="BF84" i="24"/>
  <c r="V84" i="24"/>
  <c r="BD84" i="24" s="1"/>
  <c r="U84" i="24"/>
  <c r="BC84" i="24" s="1"/>
  <c r="R84" i="24"/>
  <c r="AZ84" i="24" s="1"/>
  <c r="Q84" i="24"/>
  <c r="AY84" i="24" s="1"/>
  <c r="P84" i="24"/>
  <c r="AX84" i="24" s="1"/>
  <c r="O84" i="24"/>
  <c r="AW84" i="24" s="1"/>
  <c r="N84" i="24"/>
  <c r="AV84" i="24" s="1"/>
  <c r="M84" i="24"/>
  <c r="AU84" i="24" s="1"/>
  <c r="L84" i="24"/>
  <c r="AT84" i="24" s="1"/>
  <c r="J84" i="24"/>
  <c r="AR84" i="24" s="1"/>
  <c r="H84" i="24"/>
  <c r="AP84" i="24" s="1"/>
  <c r="V83" i="24"/>
  <c r="BD83" i="24" s="1"/>
  <c r="U83" i="24"/>
  <c r="BC83" i="24" s="1"/>
  <c r="BL83" i="24" s="1"/>
  <c r="R83" i="24"/>
  <c r="AZ83" i="24" s="1"/>
  <c r="Q83" i="24"/>
  <c r="AY83" i="24" s="1"/>
  <c r="P83" i="24"/>
  <c r="AX83" i="24" s="1"/>
  <c r="O83" i="24"/>
  <c r="AW83" i="24" s="1"/>
  <c r="N83" i="24"/>
  <c r="AV83" i="24" s="1"/>
  <c r="M83" i="24"/>
  <c r="AU83" i="24" s="1"/>
  <c r="L83" i="24"/>
  <c r="AT83" i="24" s="1"/>
  <c r="J83" i="24"/>
  <c r="AR83" i="24" s="1"/>
  <c r="H83" i="24"/>
  <c r="AP83" i="24" s="1"/>
  <c r="V82" i="24"/>
  <c r="BD82" i="24" s="1"/>
  <c r="U82" i="24"/>
  <c r="BC82" i="24" s="1"/>
  <c r="BL82" i="24" s="1"/>
  <c r="R82" i="24"/>
  <c r="AZ82" i="24" s="1"/>
  <c r="Q82" i="24"/>
  <c r="AY82" i="24" s="1"/>
  <c r="P82" i="24"/>
  <c r="O82" i="24"/>
  <c r="AW82" i="24" s="1"/>
  <c r="N82" i="24"/>
  <c r="AV82" i="24" s="1"/>
  <c r="M82" i="24"/>
  <c r="AU82" i="24" s="1"/>
  <c r="L82" i="24"/>
  <c r="AT82" i="24" s="1"/>
  <c r="J82" i="24"/>
  <c r="AR82" i="24" s="1"/>
  <c r="H82" i="24"/>
  <c r="V81" i="24"/>
  <c r="BD81" i="24" s="1"/>
  <c r="U81" i="24"/>
  <c r="BC81" i="24" s="1"/>
  <c r="R81" i="24"/>
  <c r="AZ81" i="24" s="1"/>
  <c r="Q81" i="24"/>
  <c r="AY81" i="24" s="1"/>
  <c r="P81" i="24"/>
  <c r="AX81" i="24" s="1"/>
  <c r="O81" i="24"/>
  <c r="AW81" i="24" s="1"/>
  <c r="N81" i="24"/>
  <c r="AV81" i="24" s="1"/>
  <c r="M81" i="24"/>
  <c r="AU81" i="24" s="1"/>
  <c r="L81" i="24"/>
  <c r="AT81" i="24" s="1"/>
  <c r="J81" i="24"/>
  <c r="AR81" i="24" s="1"/>
  <c r="H81" i="24"/>
  <c r="AP81" i="24" s="1"/>
  <c r="V80" i="24"/>
  <c r="BD80" i="24" s="1"/>
  <c r="U80" i="24"/>
  <c r="BC80" i="24" s="1"/>
  <c r="BL80" i="24" s="1"/>
  <c r="R80" i="24"/>
  <c r="AZ80" i="24" s="1"/>
  <c r="Q80" i="24"/>
  <c r="AY80" i="24" s="1"/>
  <c r="P80" i="24"/>
  <c r="AX80" i="24" s="1"/>
  <c r="O80" i="24"/>
  <c r="AW80" i="24" s="1"/>
  <c r="N80" i="24"/>
  <c r="AV80" i="24" s="1"/>
  <c r="M80" i="24"/>
  <c r="AU80" i="24" s="1"/>
  <c r="L80" i="24"/>
  <c r="AT80" i="24" s="1"/>
  <c r="J80" i="24"/>
  <c r="AR80" i="24" s="1"/>
  <c r="H80" i="24"/>
  <c r="AP80" i="24" s="1"/>
  <c r="V79" i="24"/>
  <c r="BD79" i="24" s="1"/>
  <c r="U79" i="24"/>
  <c r="BC79" i="24" s="1"/>
  <c r="R79" i="24"/>
  <c r="AZ79" i="24" s="1"/>
  <c r="Q79" i="24"/>
  <c r="AY79" i="24" s="1"/>
  <c r="P79" i="24"/>
  <c r="AX79" i="24" s="1"/>
  <c r="O79" i="24"/>
  <c r="AW79" i="24" s="1"/>
  <c r="N79" i="24"/>
  <c r="AV79" i="24" s="1"/>
  <c r="M79" i="24"/>
  <c r="AU79" i="24" s="1"/>
  <c r="L79" i="24"/>
  <c r="AT79" i="24" s="1"/>
  <c r="J79" i="24"/>
  <c r="AR79" i="24" s="1"/>
  <c r="H79" i="24"/>
  <c r="AP79" i="24" s="1"/>
  <c r="V78" i="24"/>
  <c r="BD78" i="24" s="1"/>
  <c r="U78" i="24"/>
  <c r="BC78" i="24" s="1"/>
  <c r="T78" i="24"/>
  <c r="BB78" i="24" s="1"/>
  <c r="S78" i="24"/>
  <c r="BA78" i="24" s="1"/>
  <c r="R78" i="24"/>
  <c r="AZ78" i="24" s="1"/>
  <c r="Q78" i="24"/>
  <c r="AY78" i="24" s="1"/>
  <c r="P78" i="24"/>
  <c r="AX78" i="24" s="1"/>
  <c r="O78" i="24"/>
  <c r="AW78" i="24" s="1"/>
  <c r="N78" i="24"/>
  <c r="AV78" i="24" s="1"/>
  <c r="M78" i="24"/>
  <c r="AU78" i="24" s="1"/>
  <c r="L78" i="24"/>
  <c r="AT78" i="24" s="1"/>
  <c r="K78" i="24"/>
  <c r="AS78" i="24" s="1"/>
  <c r="J78" i="24"/>
  <c r="AR78" i="24" s="1"/>
  <c r="I78" i="24"/>
  <c r="AQ78" i="24" s="1"/>
  <c r="H78" i="24"/>
  <c r="AP78" i="24" s="1"/>
  <c r="G78" i="24"/>
  <c r="AO78" i="24" s="1"/>
  <c r="BH78" i="24" s="1"/>
  <c r="V77" i="24"/>
  <c r="BD77" i="24" s="1"/>
  <c r="U77" i="24"/>
  <c r="BC77" i="24" s="1"/>
  <c r="T77" i="24"/>
  <c r="BB77" i="24" s="1"/>
  <c r="S77" i="24"/>
  <c r="R77" i="24"/>
  <c r="AZ77" i="24" s="1"/>
  <c r="Q77" i="24"/>
  <c r="AY77" i="24" s="1"/>
  <c r="P77" i="24"/>
  <c r="AX77" i="24" s="1"/>
  <c r="O77" i="24"/>
  <c r="AW77" i="24" s="1"/>
  <c r="N77" i="24"/>
  <c r="AV77" i="24" s="1"/>
  <c r="M77" i="24"/>
  <c r="AU77" i="24" s="1"/>
  <c r="L77" i="24"/>
  <c r="AT77" i="24" s="1"/>
  <c r="K77" i="24"/>
  <c r="AS77" i="24" s="1"/>
  <c r="J77" i="24"/>
  <c r="AR77" i="24" s="1"/>
  <c r="I77" i="24"/>
  <c r="H77" i="24"/>
  <c r="AP77" i="24" s="1"/>
  <c r="G77" i="24"/>
  <c r="AO77" i="24" s="1"/>
  <c r="BH77" i="24" s="1"/>
  <c r="BE76" i="24"/>
  <c r="V76" i="24"/>
  <c r="BD76" i="24" s="1"/>
  <c r="U76" i="24"/>
  <c r="BC76" i="24" s="1"/>
  <c r="T76" i="24"/>
  <c r="BB76" i="24" s="1"/>
  <c r="R76" i="24"/>
  <c r="AZ76" i="24" s="1"/>
  <c r="Q76" i="24"/>
  <c r="AY76" i="24" s="1"/>
  <c r="P76" i="24"/>
  <c r="AX76" i="24" s="1"/>
  <c r="O76" i="24"/>
  <c r="AW76" i="24" s="1"/>
  <c r="N76" i="24"/>
  <c r="AV76" i="24" s="1"/>
  <c r="M76" i="24"/>
  <c r="AU76" i="24" s="1"/>
  <c r="L76" i="24"/>
  <c r="AT76" i="24" s="1"/>
  <c r="K76" i="24"/>
  <c r="AS76" i="24" s="1"/>
  <c r="J76" i="24"/>
  <c r="AR76" i="24" s="1"/>
  <c r="I76" i="24"/>
  <c r="H76" i="24"/>
  <c r="AP76" i="24" s="1"/>
  <c r="G76" i="24"/>
  <c r="AO76" i="24" s="1"/>
  <c r="BH76" i="24" s="1"/>
  <c r="BF75" i="24"/>
  <c r="V75" i="24"/>
  <c r="BD75" i="24" s="1"/>
  <c r="U75" i="24"/>
  <c r="BC75" i="24" s="1"/>
  <c r="T75" i="24"/>
  <c r="BB75" i="24" s="1"/>
  <c r="S75" i="24"/>
  <c r="BA75" i="24" s="1"/>
  <c r="R75" i="24"/>
  <c r="AZ75" i="24" s="1"/>
  <c r="Q75" i="24"/>
  <c r="AY75" i="24" s="1"/>
  <c r="P75" i="24"/>
  <c r="AX75" i="24" s="1"/>
  <c r="O75" i="24"/>
  <c r="AW75" i="24" s="1"/>
  <c r="N75" i="24"/>
  <c r="AV75" i="24" s="1"/>
  <c r="M75" i="24"/>
  <c r="AU75" i="24" s="1"/>
  <c r="L75" i="24"/>
  <c r="AT75" i="24" s="1"/>
  <c r="K75" i="24"/>
  <c r="AS75" i="24" s="1"/>
  <c r="J75" i="24"/>
  <c r="AR75" i="24" s="1"/>
  <c r="I75" i="24"/>
  <c r="AQ75" i="24" s="1"/>
  <c r="H75" i="24"/>
  <c r="AP75" i="24" s="1"/>
  <c r="G75" i="24"/>
  <c r="V74" i="24"/>
  <c r="BD74" i="24" s="1"/>
  <c r="U74" i="24"/>
  <c r="BC74" i="24" s="1"/>
  <c r="T74" i="24"/>
  <c r="BB74" i="24" s="1"/>
  <c r="S74" i="24"/>
  <c r="BA74" i="24" s="1"/>
  <c r="R74" i="24"/>
  <c r="AZ74" i="24" s="1"/>
  <c r="Q74" i="24"/>
  <c r="AY74" i="24" s="1"/>
  <c r="P74" i="24"/>
  <c r="AX74" i="24" s="1"/>
  <c r="O74" i="24"/>
  <c r="AW74" i="24" s="1"/>
  <c r="N74" i="24"/>
  <c r="AV74" i="24" s="1"/>
  <c r="M74" i="24"/>
  <c r="AU74" i="24" s="1"/>
  <c r="L74" i="24"/>
  <c r="AT74" i="24" s="1"/>
  <c r="K74" i="24"/>
  <c r="J74" i="24"/>
  <c r="AR74" i="24" s="1"/>
  <c r="I74" i="24"/>
  <c r="H74" i="24"/>
  <c r="AP74" i="24" s="1"/>
  <c r="G74" i="24"/>
  <c r="AO74" i="24" s="1"/>
  <c r="BH74" i="24" s="1"/>
  <c r="B74" i="24"/>
  <c r="B75" i="24" s="1"/>
  <c r="B76" i="24" s="1"/>
  <c r="B77" i="24" s="1"/>
  <c r="B79" i="24" s="1"/>
  <c r="B80" i="24" s="1"/>
  <c r="B81" i="24" s="1"/>
  <c r="B82" i="24" s="1"/>
  <c r="B83" i="24" s="1"/>
  <c r="B84" i="24" s="1"/>
  <c r="B85" i="24" s="1"/>
  <c r="B86" i="24" s="1"/>
  <c r="B87" i="24" s="1"/>
  <c r="B88" i="24" s="1"/>
  <c r="B89" i="24" s="1"/>
  <c r="B90" i="24" s="1"/>
  <c r="B91" i="24" s="1"/>
  <c r="B92" i="24" s="1"/>
  <c r="B93" i="24" s="1"/>
  <c r="V73" i="24"/>
  <c r="BD73" i="24" s="1"/>
  <c r="U73" i="24"/>
  <c r="BC73" i="24" s="1"/>
  <c r="T73" i="24"/>
  <c r="S73" i="24"/>
  <c r="BA73" i="24" s="1"/>
  <c r="R73" i="24"/>
  <c r="AZ73" i="24" s="1"/>
  <c r="Q73" i="24"/>
  <c r="AY73" i="24" s="1"/>
  <c r="P73" i="24"/>
  <c r="O73" i="24"/>
  <c r="AW73" i="24" s="1"/>
  <c r="N73" i="24"/>
  <c r="AV73" i="24" s="1"/>
  <c r="M73" i="24"/>
  <c r="AU73" i="24" s="1"/>
  <c r="L73" i="24"/>
  <c r="AT73" i="24" s="1"/>
  <c r="J73" i="24"/>
  <c r="AR73" i="24" s="1"/>
  <c r="H73" i="24"/>
  <c r="AP73" i="24" s="1"/>
  <c r="G73" i="24"/>
  <c r="B73" i="24"/>
  <c r="V72" i="24"/>
  <c r="BD72" i="24" s="1"/>
  <c r="U72" i="24"/>
  <c r="BC72" i="24" s="1"/>
  <c r="T72" i="24"/>
  <c r="BB72" i="24" s="1"/>
  <c r="S72" i="24"/>
  <c r="BA72" i="24" s="1"/>
  <c r="R72" i="24"/>
  <c r="AZ72" i="24" s="1"/>
  <c r="Q72" i="24"/>
  <c r="AY72" i="24" s="1"/>
  <c r="P72" i="24"/>
  <c r="AX72" i="24" s="1"/>
  <c r="O72" i="24"/>
  <c r="AW72" i="24" s="1"/>
  <c r="N72" i="24"/>
  <c r="AV72" i="24" s="1"/>
  <c r="M72" i="24"/>
  <c r="AU72" i="24" s="1"/>
  <c r="L72" i="24"/>
  <c r="AT72" i="24" s="1"/>
  <c r="J72" i="24"/>
  <c r="AR72" i="24" s="1"/>
  <c r="H72" i="24"/>
  <c r="AP72" i="24" s="1"/>
  <c r="G72" i="24"/>
  <c r="V71" i="24"/>
  <c r="BD71" i="24" s="1"/>
  <c r="U71" i="24"/>
  <c r="BC71" i="24" s="1"/>
  <c r="T71" i="24"/>
  <c r="BB71" i="24" s="1"/>
  <c r="S71" i="24"/>
  <c r="BA71" i="24" s="1"/>
  <c r="R71" i="24"/>
  <c r="AZ71" i="24" s="1"/>
  <c r="Q71" i="24"/>
  <c r="AY71" i="24" s="1"/>
  <c r="P71" i="24"/>
  <c r="AX71" i="24" s="1"/>
  <c r="O71" i="24"/>
  <c r="AW71" i="24" s="1"/>
  <c r="N71" i="24"/>
  <c r="AV71" i="24" s="1"/>
  <c r="M71" i="24"/>
  <c r="AU71" i="24" s="1"/>
  <c r="L71" i="24"/>
  <c r="AT71" i="24" s="1"/>
  <c r="K71" i="24"/>
  <c r="AS71" i="24" s="1"/>
  <c r="J71" i="24"/>
  <c r="AR71" i="24" s="1"/>
  <c r="I71" i="24"/>
  <c r="AQ71" i="24" s="1"/>
  <c r="H71" i="24"/>
  <c r="AP71" i="24" s="1"/>
  <c r="G71" i="24"/>
  <c r="AO71" i="24" s="1"/>
  <c r="V70" i="24"/>
  <c r="BD70" i="24" s="1"/>
  <c r="U70" i="24"/>
  <c r="BC70" i="24" s="1"/>
  <c r="T70" i="24"/>
  <c r="BB70" i="24" s="1"/>
  <c r="S70" i="24"/>
  <c r="BA70" i="24" s="1"/>
  <c r="R70" i="24"/>
  <c r="AZ70" i="24" s="1"/>
  <c r="Q70" i="24"/>
  <c r="AY70" i="24" s="1"/>
  <c r="P70" i="24"/>
  <c r="AX70" i="24" s="1"/>
  <c r="O70" i="24"/>
  <c r="AW70" i="24" s="1"/>
  <c r="N70" i="24"/>
  <c r="AV70" i="24" s="1"/>
  <c r="M70" i="24"/>
  <c r="AU70" i="24" s="1"/>
  <c r="L70" i="24"/>
  <c r="AT70" i="24" s="1"/>
  <c r="K70" i="24"/>
  <c r="AS70" i="24" s="1"/>
  <c r="J70" i="24"/>
  <c r="AR70" i="24" s="1"/>
  <c r="I70" i="24"/>
  <c r="AQ70" i="24" s="1"/>
  <c r="H70" i="24"/>
  <c r="AP70" i="24" s="1"/>
  <c r="G70" i="24"/>
  <c r="AO70" i="24" s="1"/>
  <c r="V69" i="24"/>
  <c r="BD69" i="24" s="1"/>
  <c r="U69" i="24"/>
  <c r="BC69" i="24" s="1"/>
  <c r="S69" i="24"/>
  <c r="R69" i="24"/>
  <c r="AZ69" i="24" s="1"/>
  <c r="Q69" i="24"/>
  <c r="AY69" i="24" s="1"/>
  <c r="O69" i="24"/>
  <c r="AW69" i="24" s="1"/>
  <c r="N69" i="24"/>
  <c r="AV69" i="24" s="1"/>
  <c r="M69" i="24"/>
  <c r="AU69" i="24" s="1"/>
  <c r="L69" i="24"/>
  <c r="AT69" i="24" s="1"/>
  <c r="J69" i="24"/>
  <c r="AR69" i="24" s="1"/>
  <c r="H69" i="24"/>
  <c r="V68" i="24"/>
  <c r="U68" i="24"/>
  <c r="R68" i="24"/>
  <c r="Q68" i="24"/>
  <c r="P68" i="24"/>
  <c r="O68" i="24"/>
  <c r="N68" i="24"/>
  <c r="M68" i="24"/>
  <c r="L68" i="24"/>
  <c r="J68" i="24"/>
  <c r="H68" i="24"/>
  <c r="V67" i="24"/>
  <c r="U67" i="24"/>
  <c r="R67" i="24"/>
  <c r="Q67" i="24"/>
  <c r="P67" i="24"/>
  <c r="O67" i="24"/>
  <c r="N67" i="24"/>
  <c r="M67" i="24"/>
  <c r="L67" i="24"/>
  <c r="J67" i="24"/>
  <c r="H67" i="24"/>
  <c r="V66" i="24"/>
  <c r="U66" i="24"/>
  <c r="T66" i="24"/>
  <c r="S66" i="24"/>
  <c r="R66" i="24"/>
  <c r="Q66" i="24"/>
  <c r="P66" i="24"/>
  <c r="O66" i="24"/>
  <c r="N66" i="24"/>
  <c r="M66" i="24"/>
  <c r="L66" i="24"/>
  <c r="K66" i="24"/>
  <c r="J66" i="24"/>
  <c r="I66" i="24"/>
  <c r="H66" i="24"/>
  <c r="G66" i="24"/>
  <c r="V65" i="24"/>
  <c r="U65" i="24"/>
  <c r="R65" i="24"/>
  <c r="Q65" i="24"/>
  <c r="P65" i="24"/>
  <c r="O65" i="24"/>
  <c r="N65" i="24"/>
  <c r="M65" i="24"/>
  <c r="L65" i="24"/>
  <c r="J65" i="24"/>
  <c r="H65" i="24"/>
  <c r="V64" i="24"/>
  <c r="U64" i="24"/>
  <c r="R64" i="24"/>
  <c r="Q64" i="24"/>
  <c r="P64" i="24"/>
  <c r="O64" i="24"/>
  <c r="N64" i="24"/>
  <c r="M64" i="24"/>
  <c r="L64" i="24"/>
  <c r="J64" i="24"/>
  <c r="H64" i="24"/>
  <c r="V63" i="24"/>
  <c r="U63" i="24"/>
  <c r="R63" i="24"/>
  <c r="Q63" i="24"/>
  <c r="P63" i="24"/>
  <c r="O63" i="24"/>
  <c r="N63" i="24"/>
  <c r="M63" i="24"/>
  <c r="L63" i="24"/>
  <c r="J63" i="24"/>
  <c r="H63" i="24"/>
  <c r="V62" i="24"/>
  <c r="U62" i="24"/>
  <c r="T62" i="24"/>
  <c r="S62" i="24"/>
  <c r="R62" i="24"/>
  <c r="Q62" i="24"/>
  <c r="P62" i="24"/>
  <c r="O62" i="24"/>
  <c r="N62" i="24"/>
  <c r="M62" i="24"/>
  <c r="L62" i="24"/>
  <c r="K62" i="24"/>
  <c r="J62" i="24"/>
  <c r="I62" i="24"/>
  <c r="H62" i="24"/>
  <c r="G62" i="24"/>
  <c r="V61" i="24"/>
  <c r="U61" i="24"/>
  <c r="R61" i="24"/>
  <c r="Q61" i="24"/>
  <c r="P61" i="24"/>
  <c r="O61" i="24"/>
  <c r="N61" i="24"/>
  <c r="M61" i="24"/>
  <c r="L61" i="24"/>
  <c r="J61" i="24"/>
  <c r="H61" i="24"/>
  <c r="V60" i="24"/>
  <c r="U60" i="24"/>
  <c r="R60" i="24"/>
  <c r="Q60" i="24"/>
  <c r="P60" i="24"/>
  <c r="O60" i="24"/>
  <c r="N60" i="24"/>
  <c r="M60" i="24"/>
  <c r="L60" i="24"/>
  <c r="J60" i="24"/>
  <c r="H60" i="24"/>
  <c r="V59" i="24"/>
  <c r="U59" i="24"/>
  <c r="R59" i="24"/>
  <c r="Q59" i="24"/>
  <c r="P59" i="24"/>
  <c r="O59" i="24"/>
  <c r="N59" i="24"/>
  <c r="M59" i="24"/>
  <c r="L59" i="24"/>
  <c r="J59" i="24"/>
  <c r="H59" i="24"/>
  <c r="V58" i="24"/>
  <c r="U58" i="24"/>
  <c r="R58" i="24"/>
  <c r="Q58" i="24"/>
  <c r="P58" i="24"/>
  <c r="O58" i="24"/>
  <c r="N58" i="24"/>
  <c r="M58" i="24"/>
  <c r="L58" i="24"/>
  <c r="J58" i="24"/>
  <c r="H58" i="24"/>
  <c r="V57" i="24"/>
  <c r="U57" i="24"/>
  <c r="R57" i="24"/>
  <c r="Q57" i="24"/>
  <c r="P57" i="24"/>
  <c r="O57" i="24"/>
  <c r="N57" i="24"/>
  <c r="M57" i="24"/>
  <c r="L57" i="24"/>
  <c r="J57" i="24"/>
  <c r="H57" i="24"/>
  <c r="V56" i="24"/>
  <c r="U56" i="24"/>
  <c r="R56" i="24"/>
  <c r="Q56" i="24"/>
  <c r="P56" i="24"/>
  <c r="O56" i="24"/>
  <c r="N56" i="24"/>
  <c r="M56" i="24"/>
  <c r="L56" i="24"/>
  <c r="J56" i="24"/>
  <c r="H56" i="24"/>
  <c r="V55" i="24"/>
  <c r="U55" i="24"/>
  <c r="T55" i="24"/>
  <c r="S55" i="24"/>
  <c r="R55" i="24"/>
  <c r="Q55" i="24"/>
  <c r="P55" i="24"/>
  <c r="O55" i="24"/>
  <c r="N55" i="24"/>
  <c r="M55" i="24"/>
  <c r="L55" i="24"/>
  <c r="K55" i="24"/>
  <c r="J55" i="24"/>
  <c r="I55" i="24"/>
  <c r="H55" i="24"/>
  <c r="G55" i="24"/>
  <c r="V54" i="24"/>
  <c r="U54" i="24"/>
  <c r="T54" i="24"/>
  <c r="S54" i="24"/>
  <c r="R54" i="24"/>
  <c r="Q54" i="24"/>
  <c r="P54" i="24"/>
  <c r="O54" i="24"/>
  <c r="N54" i="24"/>
  <c r="M54" i="24"/>
  <c r="L54" i="24"/>
  <c r="K54" i="24"/>
  <c r="J54" i="24"/>
  <c r="I54" i="24"/>
  <c r="H54" i="24"/>
  <c r="G54" i="24"/>
  <c r="V53" i="24"/>
  <c r="BD53" i="24" s="1"/>
  <c r="U53" i="24"/>
  <c r="BC53" i="24" s="1"/>
  <c r="R53" i="24"/>
  <c r="AZ53" i="24" s="1"/>
  <c r="Q53" i="24"/>
  <c r="AY53" i="24" s="1"/>
  <c r="P53" i="24"/>
  <c r="AX53" i="24" s="1"/>
  <c r="O53" i="24"/>
  <c r="AW53" i="24" s="1"/>
  <c r="N53" i="24"/>
  <c r="AV53" i="24" s="1"/>
  <c r="M53" i="24"/>
  <c r="AU53" i="24" s="1"/>
  <c r="L53" i="24"/>
  <c r="AT53" i="24" s="1"/>
  <c r="K53" i="24"/>
  <c r="J53" i="24"/>
  <c r="AR53" i="24" s="1"/>
  <c r="I53" i="24"/>
  <c r="H53" i="24"/>
  <c r="AP53" i="24" s="1"/>
  <c r="V52" i="24"/>
  <c r="BD52" i="24" s="1"/>
  <c r="U52" i="24"/>
  <c r="BC52" i="24" s="1"/>
  <c r="T52" i="24"/>
  <c r="BB52" i="24" s="1"/>
  <c r="S52" i="24"/>
  <c r="BA52" i="24" s="1"/>
  <c r="R52" i="24"/>
  <c r="Q52" i="24"/>
  <c r="P52" i="24"/>
  <c r="AX52" i="24" s="1"/>
  <c r="O52" i="24"/>
  <c r="AW52" i="24" s="1"/>
  <c r="N52" i="24"/>
  <c r="AV52" i="24" s="1"/>
  <c r="M52" i="24"/>
  <c r="AU52" i="24" s="1"/>
  <c r="L52" i="24"/>
  <c r="AT52" i="24" s="1"/>
  <c r="K52" i="24"/>
  <c r="AS52" i="24" s="1"/>
  <c r="J52" i="24"/>
  <c r="AR52" i="24" s="1"/>
  <c r="I52" i="24"/>
  <c r="H52" i="24"/>
  <c r="G52" i="24"/>
  <c r="BF51" i="24"/>
  <c r="BO51" i="24" s="1"/>
  <c r="V51" i="24"/>
  <c r="BD51" i="24" s="1"/>
  <c r="U51" i="24"/>
  <c r="BC51" i="24" s="1"/>
  <c r="T51" i="24"/>
  <c r="BB51" i="24" s="1"/>
  <c r="S51" i="24"/>
  <c r="BA51" i="24" s="1"/>
  <c r="R51" i="24"/>
  <c r="AZ51" i="24" s="1"/>
  <c r="Q51" i="24"/>
  <c r="AY51" i="24" s="1"/>
  <c r="P51" i="24"/>
  <c r="AX51" i="24" s="1"/>
  <c r="O51" i="24"/>
  <c r="AW51" i="24" s="1"/>
  <c r="N51" i="24"/>
  <c r="AV51" i="24" s="1"/>
  <c r="M51" i="24"/>
  <c r="AU51" i="24" s="1"/>
  <c r="L51" i="24"/>
  <c r="AT51" i="24" s="1"/>
  <c r="K51" i="24"/>
  <c r="AS51" i="24" s="1"/>
  <c r="J51" i="24"/>
  <c r="AR51" i="24" s="1"/>
  <c r="I51" i="24"/>
  <c r="AQ51" i="24" s="1"/>
  <c r="H51" i="24"/>
  <c r="AP51" i="24" s="1"/>
  <c r="G51" i="24"/>
  <c r="AO51" i="24" s="1"/>
  <c r="BH51" i="24" s="1"/>
  <c r="V50" i="24"/>
  <c r="BD50" i="24" s="1"/>
  <c r="U50" i="24"/>
  <c r="BC50" i="24" s="1"/>
  <c r="T50" i="24"/>
  <c r="S50" i="24"/>
  <c r="BA50" i="24" s="1"/>
  <c r="R50" i="24"/>
  <c r="AZ50" i="24" s="1"/>
  <c r="Q50" i="24"/>
  <c r="AY50" i="24" s="1"/>
  <c r="P50" i="24"/>
  <c r="O50" i="24"/>
  <c r="AW50" i="24" s="1"/>
  <c r="N50" i="24"/>
  <c r="AV50" i="24" s="1"/>
  <c r="M50" i="24"/>
  <c r="AU50" i="24" s="1"/>
  <c r="L50" i="24"/>
  <c r="AT50" i="24" s="1"/>
  <c r="K50" i="24"/>
  <c r="J50" i="24"/>
  <c r="AR50" i="24" s="1"/>
  <c r="I50" i="24"/>
  <c r="H50" i="24"/>
  <c r="AP50" i="24" s="1"/>
  <c r="G50" i="24"/>
  <c r="V49" i="24"/>
  <c r="BD49" i="24" s="1"/>
  <c r="U49" i="24"/>
  <c r="BC49" i="24" s="1"/>
  <c r="T49" i="24"/>
  <c r="S49" i="24"/>
  <c r="R49" i="24"/>
  <c r="AZ49" i="24" s="1"/>
  <c r="Q49" i="24"/>
  <c r="AY49" i="24" s="1"/>
  <c r="P49" i="24"/>
  <c r="AX49" i="24" s="1"/>
  <c r="O49" i="24"/>
  <c r="AW49" i="24" s="1"/>
  <c r="N49" i="24"/>
  <c r="AV49" i="24" s="1"/>
  <c r="M49" i="24"/>
  <c r="AU49" i="24" s="1"/>
  <c r="L49" i="24"/>
  <c r="AT49" i="24" s="1"/>
  <c r="K49" i="24"/>
  <c r="J49" i="24"/>
  <c r="AR49" i="24" s="1"/>
  <c r="I49" i="24"/>
  <c r="H49" i="24"/>
  <c r="AP49" i="24" s="1"/>
  <c r="G49" i="24"/>
  <c r="BF48" i="24"/>
  <c r="BO48" i="24" s="1"/>
  <c r="BE48" i="24"/>
  <c r="V48" i="24"/>
  <c r="BD48" i="24" s="1"/>
  <c r="U48" i="24"/>
  <c r="BC48" i="24" s="1"/>
  <c r="T48" i="24"/>
  <c r="BB48" i="24" s="1"/>
  <c r="S48" i="24"/>
  <c r="BA48" i="24" s="1"/>
  <c r="R48" i="24"/>
  <c r="AZ48" i="24" s="1"/>
  <c r="Q48" i="24"/>
  <c r="AY48" i="24" s="1"/>
  <c r="P48" i="24"/>
  <c r="AX48" i="24" s="1"/>
  <c r="O48" i="24"/>
  <c r="AW48" i="24" s="1"/>
  <c r="N48" i="24"/>
  <c r="AV48" i="24" s="1"/>
  <c r="M48" i="24"/>
  <c r="AU48" i="24" s="1"/>
  <c r="L48" i="24"/>
  <c r="AT48" i="24" s="1"/>
  <c r="K48" i="24"/>
  <c r="AS48" i="24" s="1"/>
  <c r="J48" i="24"/>
  <c r="AR48" i="24" s="1"/>
  <c r="I48" i="24"/>
  <c r="AQ48" i="24" s="1"/>
  <c r="H48" i="24"/>
  <c r="AP48" i="24" s="1"/>
  <c r="G48" i="24"/>
  <c r="AO48" i="24" s="1"/>
  <c r="V47" i="24"/>
  <c r="BD47" i="24" s="1"/>
  <c r="U47" i="24"/>
  <c r="BC47" i="24" s="1"/>
  <c r="T47" i="24"/>
  <c r="BB47" i="24" s="1"/>
  <c r="S47" i="24"/>
  <c r="BA47" i="24" s="1"/>
  <c r="R47" i="24"/>
  <c r="AZ47" i="24" s="1"/>
  <c r="Q47" i="24"/>
  <c r="AY47" i="24" s="1"/>
  <c r="P47" i="24"/>
  <c r="AX47" i="24" s="1"/>
  <c r="O47" i="24"/>
  <c r="AW47" i="24" s="1"/>
  <c r="N47" i="24"/>
  <c r="AV47" i="24" s="1"/>
  <c r="M47" i="24"/>
  <c r="AU47" i="24" s="1"/>
  <c r="J47" i="24"/>
  <c r="AR47" i="24" s="1"/>
  <c r="H47" i="24"/>
  <c r="AP47" i="24" s="1"/>
  <c r="D47" i="24"/>
  <c r="V46" i="24"/>
  <c r="BD46" i="24" s="1"/>
  <c r="U46" i="24"/>
  <c r="BC46" i="24" s="1"/>
  <c r="T46" i="24"/>
  <c r="BB46" i="24" s="1"/>
  <c r="S46" i="24"/>
  <c r="BA46" i="24" s="1"/>
  <c r="R46" i="24"/>
  <c r="AZ46" i="24" s="1"/>
  <c r="Q46" i="24"/>
  <c r="AY46" i="24" s="1"/>
  <c r="P46" i="24"/>
  <c r="AX46" i="24" s="1"/>
  <c r="O46" i="24"/>
  <c r="AW46" i="24" s="1"/>
  <c r="N46" i="24"/>
  <c r="AV46" i="24" s="1"/>
  <c r="M46" i="24"/>
  <c r="AU46" i="24" s="1"/>
  <c r="L46" i="24"/>
  <c r="AT46" i="24" s="1"/>
  <c r="K46" i="24"/>
  <c r="J46" i="24"/>
  <c r="AR46" i="24" s="1"/>
  <c r="I46" i="24"/>
  <c r="H46" i="24"/>
  <c r="AP46" i="24" s="1"/>
  <c r="G46" i="24"/>
  <c r="D46" i="24"/>
  <c r="V45" i="24"/>
  <c r="BD45" i="24" s="1"/>
  <c r="U45" i="24"/>
  <c r="BC45" i="24" s="1"/>
  <c r="T45" i="24"/>
  <c r="BB45" i="24" s="1"/>
  <c r="S45" i="24"/>
  <c r="BA45" i="24" s="1"/>
  <c r="R45" i="24"/>
  <c r="AZ45" i="24" s="1"/>
  <c r="Q45" i="24"/>
  <c r="AY45" i="24" s="1"/>
  <c r="P45" i="24"/>
  <c r="AX45" i="24" s="1"/>
  <c r="O45" i="24"/>
  <c r="AW45" i="24" s="1"/>
  <c r="N45" i="24"/>
  <c r="AV45" i="24" s="1"/>
  <c r="M45" i="24"/>
  <c r="AU45" i="24" s="1"/>
  <c r="K45" i="24"/>
  <c r="AS45" i="24" s="1"/>
  <c r="J45" i="24"/>
  <c r="AR45" i="24" s="1"/>
  <c r="I45" i="24"/>
  <c r="AQ45" i="24" s="1"/>
  <c r="D45" i="24"/>
  <c r="B45" i="24"/>
  <c r="B46" i="24" s="1"/>
  <c r="B47" i="24" s="1"/>
  <c r="B49" i="24" s="1"/>
  <c r="B50" i="24" s="1"/>
  <c r="B51" i="24" s="1"/>
  <c r="B52" i="24" s="1"/>
  <c r="B53" i="24" s="1"/>
  <c r="B55" i="24" s="1"/>
  <c r="B56" i="24" s="1"/>
  <c r="B57" i="24" s="1"/>
  <c r="B58" i="24" s="1"/>
  <c r="B59" i="24" s="1"/>
  <c r="B60" i="24" s="1"/>
  <c r="B61" i="24" s="1"/>
  <c r="B62" i="24" s="1"/>
  <c r="B63" i="24" s="1"/>
  <c r="B64" i="24" s="1"/>
  <c r="B65" i="24" s="1"/>
  <c r="B66" i="24" s="1"/>
  <c r="B67" i="24" s="1"/>
  <c r="B68" i="24" s="1"/>
  <c r="B69" i="24" s="1"/>
  <c r="V44" i="24"/>
  <c r="BD44" i="24" s="1"/>
  <c r="U44" i="24"/>
  <c r="BC44" i="24" s="1"/>
  <c r="T44" i="24"/>
  <c r="BB44" i="24" s="1"/>
  <c r="S44" i="24"/>
  <c r="BA44" i="24" s="1"/>
  <c r="R44" i="24"/>
  <c r="AZ44" i="24" s="1"/>
  <c r="Q44" i="24"/>
  <c r="AY44" i="24" s="1"/>
  <c r="P44" i="24"/>
  <c r="AX44" i="24" s="1"/>
  <c r="O44" i="24"/>
  <c r="AW44" i="24" s="1"/>
  <c r="N44" i="24"/>
  <c r="AV44" i="24" s="1"/>
  <c r="M44" i="24"/>
  <c r="AU44" i="24" s="1"/>
  <c r="L44" i="24"/>
  <c r="AT44" i="24" s="1"/>
  <c r="K44" i="24"/>
  <c r="AS44" i="24" s="1"/>
  <c r="J44" i="24"/>
  <c r="AR44" i="24" s="1"/>
  <c r="I44" i="24"/>
  <c r="AQ44" i="24" s="1"/>
  <c r="H44" i="24"/>
  <c r="G44" i="24"/>
  <c r="D44" i="24"/>
  <c r="B44" i="24"/>
  <c r="BF43" i="24"/>
  <c r="BO43" i="24" s="1"/>
  <c r="V43" i="24"/>
  <c r="BD43" i="24" s="1"/>
  <c r="U43" i="24"/>
  <c r="BC43" i="24" s="1"/>
  <c r="T43" i="24"/>
  <c r="BB43" i="24" s="1"/>
  <c r="S43" i="24"/>
  <c r="BA43" i="24" s="1"/>
  <c r="R43" i="24"/>
  <c r="AZ43" i="24" s="1"/>
  <c r="Q43" i="24"/>
  <c r="AY43" i="24" s="1"/>
  <c r="P43" i="24"/>
  <c r="AX43" i="24" s="1"/>
  <c r="O43" i="24"/>
  <c r="AW43" i="24" s="1"/>
  <c r="N43" i="24"/>
  <c r="AV43" i="24" s="1"/>
  <c r="M43" i="24"/>
  <c r="AU43" i="24" s="1"/>
  <c r="L43" i="24"/>
  <c r="AT43" i="24" s="1"/>
  <c r="K43" i="24"/>
  <c r="AS43" i="24" s="1"/>
  <c r="J43" i="24"/>
  <c r="AR43" i="24" s="1"/>
  <c r="I43" i="24"/>
  <c r="AQ43" i="24" s="1"/>
  <c r="H43" i="24"/>
  <c r="AP43" i="24" s="1"/>
  <c r="G43" i="24"/>
  <c r="AO43" i="24" s="1"/>
  <c r="V42" i="24"/>
  <c r="BD42" i="24" s="1"/>
  <c r="U42" i="24"/>
  <c r="BC42" i="24" s="1"/>
  <c r="T42" i="24"/>
  <c r="BB42" i="24" s="1"/>
  <c r="S42" i="24"/>
  <c r="BA42" i="24" s="1"/>
  <c r="R42" i="24"/>
  <c r="AZ42" i="24" s="1"/>
  <c r="Q42" i="24"/>
  <c r="AY42" i="24" s="1"/>
  <c r="P42" i="24"/>
  <c r="AX42" i="24" s="1"/>
  <c r="O42" i="24"/>
  <c r="AW42" i="24" s="1"/>
  <c r="N42" i="24"/>
  <c r="AV42" i="24" s="1"/>
  <c r="M42" i="24"/>
  <c r="AU42" i="24" s="1"/>
  <c r="L42" i="24"/>
  <c r="AT42" i="24" s="1"/>
  <c r="K42" i="24"/>
  <c r="AS42" i="24" s="1"/>
  <c r="J42" i="24"/>
  <c r="AR42" i="24" s="1"/>
  <c r="I42" i="24"/>
  <c r="AQ42" i="24" s="1"/>
  <c r="H42" i="24"/>
  <c r="AP42" i="24" s="1"/>
  <c r="G42" i="24"/>
  <c r="AO42" i="24" s="1"/>
  <c r="V41" i="24"/>
  <c r="BD41" i="24" s="1"/>
  <c r="U41" i="24"/>
  <c r="BC41" i="24" s="1"/>
  <c r="T41" i="24"/>
  <c r="BB41" i="24" s="1"/>
  <c r="S41" i="24"/>
  <c r="BA41" i="24" s="1"/>
  <c r="R41" i="24"/>
  <c r="Q41" i="24"/>
  <c r="P41" i="24"/>
  <c r="AX41" i="24" s="1"/>
  <c r="O41" i="24"/>
  <c r="AW41" i="24" s="1"/>
  <c r="N41" i="24"/>
  <c r="AV41" i="24" s="1"/>
  <c r="M41" i="24"/>
  <c r="AU41" i="24" s="1"/>
  <c r="L41" i="24"/>
  <c r="AT41" i="24" s="1"/>
  <c r="K41" i="24"/>
  <c r="AS41" i="24" s="1"/>
  <c r="J41" i="24"/>
  <c r="AR41" i="24" s="1"/>
  <c r="I41" i="24"/>
  <c r="AQ41" i="24" s="1"/>
  <c r="H41" i="24"/>
  <c r="G41" i="24"/>
  <c r="D41" i="24"/>
  <c r="V40" i="24"/>
  <c r="BD40" i="24" s="1"/>
  <c r="U40" i="24"/>
  <c r="BC40" i="24" s="1"/>
  <c r="T40" i="24"/>
  <c r="S40" i="24"/>
  <c r="BA40" i="24" s="1"/>
  <c r="R40" i="24"/>
  <c r="AZ40" i="24" s="1"/>
  <c r="Q40" i="24"/>
  <c r="AY40" i="24" s="1"/>
  <c r="P40" i="24"/>
  <c r="AX40" i="24" s="1"/>
  <c r="O40" i="24"/>
  <c r="AW40" i="24" s="1"/>
  <c r="N40" i="24"/>
  <c r="AV40" i="24" s="1"/>
  <c r="M40" i="24"/>
  <c r="AU40" i="24" s="1"/>
  <c r="L40" i="24"/>
  <c r="AT40" i="24" s="1"/>
  <c r="K40" i="24"/>
  <c r="J40" i="24"/>
  <c r="I40" i="24"/>
  <c r="H40" i="24"/>
  <c r="AP40" i="24" s="1"/>
  <c r="G40" i="24"/>
  <c r="D40" i="24"/>
  <c r="V39" i="24"/>
  <c r="BD39" i="24" s="1"/>
  <c r="U39" i="24"/>
  <c r="BC39" i="24" s="1"/>
  <c r="T39" i="24"/>
  <c r="BB39" i="24" s="1"/>
  <c r="S39" i="24"/>
  <c r="BA39" i="24" s="1"/>
  <c r="R39" i="24"/>
  <c r="AZ39" i="24" s="1"/>
  <c r="Q39" i="24"/>
  <c r="AY39" i="24" s="1"/>
  <c r="P39" i="24"/>
  <c r="AX39" i="24" s="1"/>
  <c r="O39" i="24"/>
  <c r="AW39" i="24" s="1"/>
  <c r="N39" i="24"/>
  <c r="AV39" i="24" s="1"/>
  <c r="M39" i="24"/>
  <c r="AU39" i="24" s="1"/>
  <c r="L39" i="24"/>
  <c r="AT39" i="24" s="1"/>
  <c r="K39" i="24"/>
  <c r="J39" i="24"/>
  <c r="I39" i="24"/>
  <c r="H39" i="24"/>
  <c r="AP39" i="24" s="1"/>
  <c r="G39" i="24"/>
  <c r="D39" i="24"/>
  <c r="BF38" i="24"/>
  <c r="BO38" i="24" s="1"/>
  <c r="BE38" i="24"/>
  <c r="V38" i="24"/>
  <c r="BD38" i="24" s="1"/>
  <c r="U38" i="24"/>
  <c r="BC38" i="24" s="1"/>
  <c r="T38" i="24"/>
  <c r="BB38" i="24" s="1"/>
  <c r="S38" i="24"/>
  <c r="BA38" i="24" s="1"/>
  <c r="R38" i="24"/>
  <c r="AZ38" i="24" s="1"/>
  <c r="Q38" i="24"/>
  <c r="AY38" i="24" s="1"/>
  <c r="P38" i="24"/>
  <c r="AX38" i="24" s="1"/>
  <c r="O38" i="24"/>
  <c r="AW38" i="24" s="1"/>
  <c r="N38" i="24"/>
  <c r="AV38" i="24" s="1"/>
  <c r="M38" i="24"/>
  <c r="AU38" i="24" s="1"/>
  <c r="L38" i="24"/>
  <c r="AT38" i="24" s="1"/>
  <c r="K38" i="24"/>
  <c r="AS38" i="24" s="1"/>
  <c r="J38" i="24"/>
  <c r="AR38" i="24" s="1"/>
  <c r="I38" i="24"/>
  <c r="AQ38" i="24" s="1"/>
  <c r="H38" i="24"/>
  <c r="AP38" i="24" s="1"/>
  <c r="G38" i="24"/>
  <c r="AO38" i="24" s="1"/>
  <c r="V37" i="24"/>
  <c r="BD37" i="24" s="1"/>
  <c r="U37" i="24"/>
  <c r="BC37" i="24" s="1"/>
  <c r="BL37" i="24" s="1"/>
  <c r="T37" i="24"/>
  <c r="BB37" i="24" s="1"/>
  <c r="S37" i="24"/>
  <c r="BA37" i="24" s="1"/>
  <c r="R37" i="24"/>
  <c r="AZ37" i="24" s="1"/>
  <c r="Q37" i="24"/>
  <c r="AY37" i="24" s="1"/>
  <c r="P37" i="24"/>
  <c r="AX37" i="24" s="1"/>
  <c r="O37" i="24"/>
  <c r="AW37" i="24" s="1"/>
  <c r="N37" i="24"/>
  <c r="AV37" i="24" s="1"/>
  <c r="M37" i="24"/>
  <c r="AU37" i="24" s="1"/>
  <c r="K37" i="24"/>
  <c r="AS37" i="24" s="1"/>
  <c r="J37" i="24"/>
  <c r="AR37" i="24" s="1"/>
  <c r="I37" i="24"/>
  <c r="AQ37" i="24" s="1"/>
  <c r="H37" i="24"/>
  <c r="AP37" i="24" s="1"/>
  <c r="G37" i="24"/>
  <c r="D37" i="24"/>
  <c r="V36" i="24"/>
  <c r="BD36" i="24" s="1"/>
  <c r="U36" i="24"/>
  <c r="BC36" i="24" s="1"/>
  <c r="T36" i="24"/>
  <c r="BB36" i="24" s="1"/>
  <c r="S36" i="24"/>
  <c r="BA36" i="24" s="1"/>
  <c r="R36" i="24"/>
  <c r="AZ36" i="24" s="1"/>
  <c r="Q36" i="24"/>
  <c r="AY36" i="24" s="1"/>
  <c r="P36" i="24"/>
  <c r="AX36" i="24" s="1"/>
  <c r="O36" i="24"/>
  <c r="AW36" i="24" s="1"/>
  <c r="N36" i="24"/>
  <c r="AV36" i="24" s="1"/>
  <c r="M36" i="24"/>
  <c r="AU36" i="24" s="1"/>
  <c r="J36" i="24"/>
  <c r="AR36" i="24" s="1"/>
  <c r="H36" i="24"/>
  <c r="AP36" i="24" s="1"/>
  <c r="D36" i="24"/>
  <c r="V35" i="24"/>
  <c r="BD35" i="24" s="1"/>
  <c r="U35" i="24"/>
  <c r="BC35" i="24" s="1"/>
  <c r="T35" i="24"/>
  <c r="BB35" i="24" s="1"/>
  <c r="S35" i="24"/>
  <c r="BA35" i="24" s="1"/>
  <c r="R35" i="24"/>
  <c r="AZ35" i="24" s="1"/>
  <c r="Q35" i="24"/>
  <c r="AY35" i="24" s="1"/>
  <c r="P35" i="24"/>
  <c r="AX35" i="24" s="1"/>
  <c r="O35" i="24"/>
  <c r="AW35" i="24" s="1"/>
  <c r="N35" i="24"/>
  <c r="AV35" i="24" s="1"/>
  <c r="M35" i="24"/>
  <c r="AU35" i="24" s="1"/>
  <c r="L35" i="24"/>
  <c r="AT35" i="24" s="1"/>
  <c r="K35" i="24"/>
  <c r="J35" i="24"/>
  <c r="AR35" i="24" s="1"/>
  <c r="I35" i="24"/>
  <c r="H35" i="24"/>
  <c r="AP35" i="24" s="1"/>
  <c r="G35" i="24"/>
  <c r="D35" i="24"/>
  <c r="V34" i="24"/>
  <c r="BD34" i="24" s="1"/>
  <c r="U34" i="24"/>
  <c r="BC34" i="24" s="1"/>
  <c r="T34" i="24"/>
  <c r="BB34" i="24" s="1"/>
  <c r="S34" i="24"/>
  <c r="BA34" i="24" s="1"/>
  <c r="R34" i="24"/>
  <c r="AZ34" i="24" s="1"/>
  <c r="Q34" i="24"/>
  <c r="AY34" i="24" s="1"/>
  <c r="P34" i="24"/>
  <c r="AX34" i="24" s="1"/>
  <c r="O34" i="24"/>
  <c r="AW34" i="24" s="1"/>
  <c r="N34" i="24"/>
  <c r="AV34" i="24" s="1"/>
  <c r="M34" i="24"/>
  <c r="AU34" i="24" s="1"/>
  <c r="K34" i="24"/>
  <c r="AS34" i="24" s="1"/>
  <c r="J34" i="24"/>
  <c r="AR34" i="24" s="1"/>
  <c r="I34" i="24"/>
  <c r="AQ34" i="24" s="1"/>
  <c r="D34" i="24"/>
  <c r="V33" i="24"/>
  <c r="BD33" i="24" s="1"/>
  <c r="U33" i="24"/>
  <c r="BC33" i="24" s="1"/>
  <c r="T33" i="24"/>
  <c r="BB33" i="24" s="1"/>
  <c r="S33" i="24"/>
  <c r="BA33" i="24" s="1"/>
  <c r="R33" i="24"/>
  <c r="AZ33" i="24" s="1"/>
  <c r="Q33" i="24"/>
  <c r="AY33" i="24" s="1"/>
  <c r="P33" i="24"/>
  <c r="AX33" i="24" s="1"/>
  <c r="O33" i="24"/>
  <c r="AW33" i="24" s="1"/>
  <c r="N33" i="24"/>
  <c r="AV33" i="24" s="1"/>
  <c r="M33" i="24"/>
  <c r="AU33" i="24" s="1"/>
  <c r="L33" i="24"/>
  <c r="AT33" i="24" s="1"/>
  <c r="K33" i="24"/>
  <c r="AS33" i="24" s="1"/>
  <c r="J33" i="24"/>
  <c r="AR33" i="24" s="1"/>
  <c r="I33" i="24"/>
  <c r="AQ33" i="24" s="1"/>
  <c r="H33" i="24"/>
  <c r="G33" i="24"/>
  <c r="D33" i="24"/>
  <c r="AT32" i="24"/>
  <c r="BE32" i="24"/>
  <c r="V32" i="24"/>
  <c r="BD32" i="24" s="1"/>
  <c r="U32" i="24"/>
  <c r="BC32" i="24" s="1"/>
  <c r="T32" i="24"/>
  <c r="BB32" i="24" s="1"/>
  <c r="S32" i="24"/>
  <c r="BA32" i="24" s="1"/>
  <c r="R32" i="24"/>
  <c r="AZ32" i="24" s="1"/>
  <c r="Q32" i="24"/>
  <c r="AY32" i="24" s="1"/>
  <c r="P32" i="24"/>
  <c r="AX32" i="24" s="1"/>
  <c r="O32" i="24"/>
  <c r="AW32" i="24" s="1"/>
  <c r="N32" i="24"/>
  <c r="AV32" i="24" s="1"/>
  <c r="M32" i="24"/>
  <c r="AU32" i="24" s="1"/>
  <c r="L32" i="24"/>
  <c r="K32" i="24"/>
  <c r="AS32" i="24" s="1"/>
  <c r="J32" i="24"/>
  <c r="AR32" i="24" s="1"/>
  <c r="I32" i="24"/>
  <c r="AQ32" i="24" s="1"/>
  <c r="H32" i="24"/>
  <c r="AP32" i="24" s="1"/>
  <c r="G32" i="24"/>
  <c r="AO32" i="24" s="1"/>
  <c r="V31" i="24"/>
  <c r="BD31" i="24" s="1"/>
  <c r="U31" i="24"/>
  <c r="BC31" i="24" s="1"/>
  <c r="T31" i="24"/>
  <c r="BB31" i="24" s="1"/>
  <c r="S31" i="24"/>
  <c r="BA31" i="24" s="1"/>
  <c r="R31" i="24"/>
  <c r="AZ31" i="24" s="1"/>
  <c r="Q31" i="24"/>
  <c r="AY31" i="24" s="1"/>
  <c r="P31" i="24"/>
  <c r="AX31" i="24" s="1"/>
  <c r="O31" i="24"/>
  <c r="AW31" i="24" s="1"/>
  <c r="N31" i="24"/>
  <c r="AV31" i="24" s="1"/>
  <c r="M31" i="24"/>
  <c r="AU31" i="24" s="1"/>
  <c r="L31" i="24"/>
  <c r="AT31" i="24" s="1"/>
  <c r="K31" i="24"/>
  <c r="AS31" i="24" s="1"/>
  <c r="J31" i="24"/>
  <c r="AR31" i="24" s="1"/>
  <c r="I31" i="24"/>
  <c r="AQ31" i="24" s="1"/>
  <c r="G31" i="24"/>
  <c r="D31" i="24"/>
  <c r="B31" i="24"/>
  <c r="B33" i="24" s="1"/>
  <c r="B34" i="24" s="1"/>
  <c r="B35" i="24" s="1"/>
  <c r="B36" i="24" s="1"/>
  <c r="B37" i="24" s="1"/>
  <c r="B39" i="24" s="1"/>
  <c r="B40" i="24" s="1"/>
  <c r="B41" i="24" s="1"/>
  <c r="V30" i="24"/>
  <c r="BD30" i="24" s="1"/>
  <c r="U30" i="24"/>
  <c r="BC30" i="24" s="1"/>
  <c r="T30" i="24"/>
  <c r="BB30" i="24" s="1"/>
  <c r="S30" i="24"/>
  <c r="BA30" i="24" s="1"/>
  <c r="R30" i="24"/>
  <c r="AZ30" i="24" s="1"/>
  <c r="Q30" i="24"/>
  <c r="AY30" i="24" s="1"/>
  <c r="P30" i="24"/>
  <c r="AX30" i="24" s="1"/>
  <c r="O30" i="24"/>
  <c r="AW30" i="24" s="1"/>
  <c r="N30" i="24"/>
  <c r="AV30" i="24" s="1"/>
  <c r="M30" i="24"/>
  <c r="AU30" i="24" s="1"/>
  <c r="L30" i="24"/>
  <c r="AT30" i="24" s="1"/>
  <c r="K30" i="24"/>
  <c r="AS30" i="24" s="1"/>
  <c r="J30" i="24"/>
  <c r="AR30" i="24" s="1"/>
  <c r="I30" i="24"/>
  <c r="AQ30" i="24" s="1"/>
  <c r="G30" i="24"/>
  <c r="D30" i="24"/>
  <c r="BE29" i="24"/>
  <c r="V29" i="24"/>
  <c r="BD29" i="24" s="1"/>
  <c r="U29" i="24"/>
  <c r="BC29" i="24" s="1"/>
  <c r="T29" i="24"/>
  <c r="BB29" i="24" s="1"/>
  <c r="S29" i="24"/>
  <c r="BA29" i="24" s="1"/>
  <c r="R29" i="24"/>
  <c r="AZ29" i="24" s="1"/>
  <c r="Q29" i="24"/>
  <c r="AY29" i="24" s="1"/>
  <c r="P29" i="24"/>
  <c r="AX29" i="24" s="1"/>
  <c r="O29" i="24"/>
  <c r="AW29" i="24" s="1"/>
  <c r="N29" i="24"/>
  <c r="AV29" i="24" s="1"/>
  <c r="M29" i="24"/>
  <c r="AU29" i="24" s="1"/>
  <c r="L29" i="24"/>
  <c r="AT29" i="24" s="1"/>
  <c r="K29" i="24"/>
  <c r="AS29" i="24" s="1"/>
  <c r="J29" i="24"/>
  <c r="AR29" i="24" s="1"/>
  <c r="I29" i="24"/>
  <c r="AQ29" i="24" s="1"/>
  <c r="H29" i="24"/>
  <c r="AP29" i="24" s="1"/>
  <c r="G29" i="24"/>
  <c r="AO29" i="24" s="1"/>
  <c r="AJ132" i="24"/>
  <c r="V28" i="24"/>
  <c r="BD28" i="24" s="1"/>
  <c r="U28" i="24"/>
  <c r="BC28" i="24" s="1"/>
  <c r="T28" i="24"/>
  <c r="BB28" i="24" s="1"/>
  <c r="S28" i="24"/>
  <c r="BA28" i="24" s="1"/>
  <c r="R28" i="24"/>
  <c r="AZ28" i="24" s="1"/>
  <c r="Q28" i="24"/>
  <c r="AY28" i="24" s="1"/>
  <c r="P28" i="24"/>
  <c r="AX28" i="24" s="1"/>
  <c r="O28" i="24"/>
  <c r="AW28" i="24" s="1"/>
  <c r="N28" i="24"/>
  <c r="AV28" i="24" s="1"/>
  <c r="M28" i="24"/>
  <c r="AU28" i="24" s="1"/>
  <c r="L28" i="24"/>
  <c r="AT28" i="24" s="1"/>
  <c r="K28" i="24"/>
  <c r="AS28" i="24" s="1"/>
  <c r="J28" i="24"/>
  <c r="AR28" i="24" s="1"/>
  <c r="I28" i="24"/>
  <c r="AQ28" i="24" s="1"/>
  <c r="H28" i="24"/>
  <c r="AP28" i="24" s="1"/>
  <c r="G28" i="24"/>
  <c r="AO28" i="24" s="1"/>
  <c r="BB27" i="24"/>
  <c r="AT27" i="24"/>
  <c r="BD27" i="24"/>
  <c r="BC27" i="24"/>
  <c r="BA27" i="24"/>
  <c r="AZ27" i="24"/>
  <c r="AY27" i="24"/>
  <c r="AX27" i="24"/>
  <c r="BC26" i="24"/>
  <c r="BL26" i="24" s="1"/>
  <c r="AU26" i="24"/>
  <c r="BD26" i="24"/>
  <c r="BB26" i="24"/>
  <c r="BA26" i="24"/>
  <c r="AZ26" i="24"/>
  <c r="AY26" i="24"/>
  <c r="AX26" i="24"/>
  <c r="AW26" i="24"/>
  <c r="AV26" i="24"/>
  <c r="AT26" i="24"/>
  <c r="V25" i="24"/>
  <c r="BD25" i="24" s="1"/>
  <c r="T25" i="24"/>
  <c r="BB25" i="24" s="1"/>
  <c r="S25" i="24"/>
  <c r="BA25" i="24" s="1"/>
  <c r="R25" i="24"/>
  <c r="AZ25" i="24" s="1"/>
  <c r="Q25" i="24"/>
  <c r="AY25" i="24" s="1"/>
  <c r="P25" i="24"/>
  <c r="AX25" i="24" s="1"/>
  <c r="L25" i="24"/>
  <c r="AT25" i="24" s="1"/>
  <c r="H25" i="24"/>
  <c r="AP25" i="24" s="1"/>
  <c r="B25" i="24"/>
  <c r="V24" i="24"/>
  <c r="BD24" i="24" s="1"/>
  <c r="U24" i="24"/>
  <c r="T24" i="24"/>
  <c r="BB24" i="24" s="1"/>
  <c r="S24" i="24"/>
  <c r="BA24" i="24" s="1"/>
  <c r="R24" i="24"/>
  <c r="AZ24" i="24" s="1"/>
  <c r="Q24" i="24"/>
  <c r="AY24" i="24" s="1"/>
  <c r="P24" i="24"/>
  <c r="AX24" i="24" s="1"/>
  <c r="O24" i="24"/>
  <c r="AW24" i="24" s="1"/>
  <c r="N24" i="24"/>
  <c r="AV24" i="24" s="1"/>
  <c r="M24" i="24"/>
  <c r="AU24" i="24" s="1"/>
  <c r="L24" i="24"/>
  <c r="AT24" i="24" s="1"/>
  <c r="K24" i="24"/>
  <c r="J24" i="24"/>
  <c r="I24" i="24"/>
  <c r="H24" i="24"/>
  <c r="AP24" i="24" s="1"/>
  <c r="G24" i="24"/>
  <c r="V23" i="24"/>
  <c r="BD23" i="24" s="1"/>
  <c r="U23" i="24"/>
  <c r="BC23" i="24" s="1"/>
  <c r="T23" i="24"/>
  <c r="BB23" i="24" s="1"/>
  <c r="S23" i="24"/>
  <c r="BA23" i="24" s="1"/>
  <c r="R23" i="24"/>
  <c r="AZ23" i="24" s="1"/>
  <c r="Q23" i="24"/>
  <c r="AY23" i="24" s="1"/>
  <c r="P23" i="24"/>
  <c r="AX23" i="24" s="1"/>
  <c r="O23" i="24"/>
  <c r="N23" i="24"/>
  <c r="M23" i="24"/>
  <c r="L23" i="24"/>
  <c r="AT23" i="24" s="1"/>
  <c r="H23" i="24"/>
  <c r="AP23" i="24" s="1"/>
  <c r="V22" i="24"/>
  <c r="BD22" i="24" s="1"/>
  <c r="U22" i="24"/>
  <c r="BC22" i="24" s="1"/>
  <c r="T22" i="24"/>
  <c r="BB22" i="24" s="1"/>
  <c r="S22" i="24"/>
  <c r="BA22" i="24" s="1"/>
  <c r="R22" i="24"/>
  <c r="AZ22" i="24" s="1"/>
  <c r="Q22" i="24"/>
  <c r="AY22" i="24" s="1"/>
  <c r="P22" i="24"/>
  <c r="AX22" i="24" s="1"/>
  <c r="O22" i="24"/>
  <c r="AW22" i="24" s="1"/>
  <c r="N22" i="24"/>
  <c r="AV22" i="24" s="1"/>
  <c r="M22" i="24"/>
  <c r="AU22" i="24" s="1"/>
  <c r="L22" i="24"/>
  <c r="AT22" i="24" s="1"/>
  <c r="K22" i="24"/>
  <c r="J22" i="24"/>
  <c r="I22" i="24"/>
  <c r="H22" i="24"/>
  <c r="AP22" i="24" s="1"/>
  <c r="G22" i="24"/>
  <c r="V21" i="24"/>
  <c r="BD21" i="24" s="1"/>
  <c r="U21" i="24"/>
  <c r="BC21" i="24" s="1"/>
  <c r="T21" i="24"/>
  <c r="BB21" i="24" s="1"/>
  <c r="S21" i="24"/>
  <c r="BA21" i="24" s="1"/>
  <c r="R21" i="24"/>
  <c r="AZ21" i="24" s="1"/>
  <c r="Q21" i="24"/>
  <c r="AY21" i="24" s="1"/>
  <c r="P21" i="24"/>
  <c r="AX21" i="24" s="1"/>
  <c r="L21" i="24"/>
  <c r="AT21" i="24" s="1"/>
  <c r="K21" i="24"/>
  <c r="AS21" i="24" s="1"/>
  <c r="J21" i="24"/>
  <c r="AR21" i="24" s="1"/>
  <c r="I21" i="24"/>
  <c r="AQ21" i="24" s="1"/>
  <c r="B21" i="24"/>
  <c r="B22" i="24" s="1"/>
  <c r="B23" i="24" s="1"/>
  <c r="B24" i="24" s="1"/>
  <c r="BF20" i="24"/>
  <c r="BO20" i="24" s="1"/>
  <c r="BE20" i="24"/>
  <c r="V20" i="24"/>
  <c r="BD20" i="24" s="1"/>
  <c r="U20" i="24"/>
  <c r="BC20" i="24" s="1"/>
  <c r="T20" i="24"/>
  <c r="BB20" i="24" s="1"/>
  <c r="S20" i="24"/>
  <c r="BA20" i="24" s="1"/>
  <c r="R20" i="24"/>
  <c r="AZ20" i="24" s="1"/>
  <c r="Q20" i="24"/>
  <c r="AY20" i="24" s="1"/>
  <c r="P20" i="24"/>
  <c r="AX20" i="24" s="1"/>
  <c r="O20" i="24"/>
  <c r="AW20" i="24" s="1"/>
  <c r="N20" i="24"/>
  <c r="AV20" i="24" s="1"/>
  <c r="M20" i="24"/>
  <c r="AU20" i="24" s="1"/>
  <c r="L20" i="24"/>
  <c r="AT20" i="24" s="1"/>
  <c r="K20" i="24"/>
  <c r="AS20" i="24" s="1"/>
  <c r="J20" i="24"/>
  <c r="AR20" i="24" s="1"/>
  <c r="I20" i="24"/>
  <c r="AQ20" i="24" s="1"/>
  <c r="H20" i="24"/>
  <c r="AP20" i="24" s="1"/>
  <c r="G20" i="24"/>
  <c r="AO20" i="24" s="1"/>
  <c r="V19" i="24"/>
  <c r="BD19" i="24" s="1"/>
  <c r="U19" i="24"/>
  <c r="BC19" i="24" s="1"/>
  <c r="T19" i="24"/>
  <c r="BB19" i="24" s="1"/>
  <c r="S19" i="24"/>
  <c r="BA19" i="24" s="1"/>
  <c r="R19" i="24"/>
  <c r="AZ19" i="24" s="1"/>
  <c r="Q19" i="24"/>
  <c r="AY19" i="24" s="1"/>
  <c r="P19" i="24"/>
  <c r="AX19" i="24" s="1"/>
  <c r="O19" i="24"/>
  <c r="AW19" i="24" s="1"/>
  <c r="N19" i="24"/>
  <c r="AV19" i="24" s="1"/>
  <c r="M19" i="24"/>
  <c r="AU19" i="24" s="1"/>
  <c r="K19" i="24"/>
  <c r="AS19" i="24" s="1"/>
  <c r="J19" i="24"/>
  <c r="AR19" i="24" s="1"/>
  <c r="I19" i="24"/>
  <c r="AQ19" i="24" s="1"/>
  <c r="B19" i="24"/>
  <c r="V18" i="24"/>
  <c r="BD18" i="24" s="1"/>
  <c r="U18" i="24"/>
  <c r="BC18" i="24" s="1"/>
  <c r="T18" i="24"/>
  <c r="BB18" i="24" s="1"/>
  <c r="S18" i="24"/>
  <c r="BA18" i="24" s="1"/>
  <c r="R18" i="24"/>
  <c r="AZ18" i="24" s="1"/>
  <c r="Q18" i="24"/>
  <c r="AY18" i="24" s="1"/>
  <c r="P18" i="24"/>
  <c r="AX18" i="24" s="1"/>
  <c r="O18" i="24"/>
  <c r="AW18" i="24" s="1"/>
  <c r="N18" i="24"/>
  <c r="AV18" i="24" s="1"/>
  <c r="M18" i="24"/>
  <c r="AU18" i="24" s="1"/>
  <c r="L18" i="24"/>
  <c r="AT18" i="24" s="1"/>
  <c r="K18" i="24"/>
  <c r="AS18" i="24" s="1"/>
  <c r="J18" i="24"/>
  <c r="AR18" i="24" s="1"/>
  <c r="I18" i="24"/>
  <c r="AQ18" i="24" s="1"/>
  <c r="H18" i="24"/>
  <c r="BE17" i="24"/>
  <c r="V17" i="24"/>
  <c r="BD17" i="24" s="1"/>
  <c r="U17" i="24"/>
  <c r="BC17" i="24" s="1"/>
  <c r="T17" i="24"/>
  <c r="BB17" i="24" s="1"/>
  <c r="S17" i="24"/>
  <c r="BA17" i="24" s="1"/>
  <c r="R17" i="24"/>
  <c r="AZ17" i="24" s="1"/>
  <c r="Q17" i="24"/>
  <c r="AY17" i="24" s="1"/>
  <c r="P17" i="24"/>
  <c r="AX17" i="24" s="1"/>
  <c r="O17" i="24"/>
  <c r="AW17" i="24" s="1"/>
  <c r="N17" i="24"/>
  <c r="AV17" i="24" s="1"/>
  <c r="M17" i="24"/>
  <c r="AU17" i="24" s="1"/>
  <c r="L17" i="24"/>
  <c r="AT17" i="24" s="1"/>
  <c r="K17" i="24"/>
  <c r="AS17" i="24" s="1"/>
  <c r="J17" i="24"/>
  <c r="AR17" i="24" s="1"/>
  <c r="I17" i="24"/>
  <c r="AQ17" i="24" s="1"/>
  <c r="H17" i="24"/>
  <c r="AP17" i="24" s="1"/>
  <c r="G17" i="24"/>
  <c r="AO17" i="24" s="1"/>
  <c r="V16" i="24"/>
  <c r="BD16" i="24" s="1"/>
  <c r="U16" i="24"/>
  <c r="BC16" i="24" s="1"/>
  <c r="T16" i="24"/>
  <c r="BB16" i="24" s="1"/>
  <c r="S16" i="24"/>
  <c r="BA16" i="24" s="1"/>
  <c r="R16" i="24"/>
  <c r="AZ16" i="24" s="1"/>
  <c r="Q16" i="24"/>
  <c r="AY16" i="24" s="1"/>
  <c r="P16" i="24"/>
  <c r="AX16" i="24" s="1"/>
  <c r="O16" i="24"/>
  <c r="AW16" i="24" s="1"/>
  <c r="N16" i="24"/>
  <c r="AV16" i="24" s="1"/>
  <c r="M16" i="24"/>
  <c r="AU16" i="24" s="1"/>
  <c r="L16" i="24"/>
  <c r="AT16" i="24" s="1"/>
  <c r="K16" i="24"/>
  <c r="AS16" i="24" s="1"/>
  <c r="J16" i="24"/>
  <c r="AR16" i="24" s="1"/>
  <c r="I16" i="24"/>
  <c r="AQ16" i="24" s="1"/>
  <c r="H16" i="24"/>
  <c r="AP16" i="24" s="1"/>
  <c r="G16" i="24"/>
  <c r="AO16" i="24" s="1"/>
  <c r="G11" i="24"/>
  <c r="BE7" i="24"/>
  <c r="BE71" i="24" s="1"/>
  <c r="B7" i="24"/>
  <c r="B1" i="24"/>
  <c r="BQ139" i="23"/>
  <c r="BQ138" i="23"/>
  <c r="BQ136" i="23"/>
  <c r="BQ135" i="23"/>
  <c r="BQ134" i="23"/>
  <c r="BQ133" i="23"/>
  <c r="BQ132" i="23"/>
  <c r="BQ131" i="23"/>
  <c r="AY129" i="23"/>
  <c r="AQ129" i="23"/>
  <c r="BD129" i="23"/>
  <c r="BC129" i="23"/>
  <c r="AZ129" i="23"/>
  <c r="AX129" i="23"/>
  <c r="AW129" i="23"/>
  <c r="AV129" i="23"/>
  <c r="AU129" i="23"/>
  <c r="AT129" i="23"/>
  <c r="AS129" i="23"/>
  <c r="AR129" i="23"/>
  <c r="AW128" i="23"/>
  <c r="AT128" i="23"/>
  <c r="BJ128" i="23" s="1"/>
  <c r="BD128" i="23"/>
  <c r="BC128" i="23"/>
  <c r="BL128" i="23" s="1"/>
  <c r="AZ128" i="23"/>
  <c r="AY128" i="23"/>
  <c r="AX128" i="23"/>
  <c r="AV128" i="23"/>
  <c r="AU128" i="23"/>
  <c r="AS128" i="23"/>
  <c r="AR128" i="23"/>
  <c r="AQ128" i="23"/>
  <c r="BC127" i="23"/>
  <c r="AU127" i="23"/>
  <c r="BD127" i="23"/>
  <c r="AZ127" i="23"/>
  <c r="AY127" i="23"/>
  <c r="AX127" i="23"/>
  <c r="AW127" i="23"/>
  <c r="AV127" i="23"/>
  <c r="AT127" i="23"/>
  <c r="AS127" i="23"/>
  <c r="AR127" i="23"/>
  <c r="AQ127" i="23"/>
  <c r="BF126" i="23"/>
  <c r="BC126" i="23"/>
  <c r="BL126" i="23" s="1"/>
  <c r="AS126" i="23"/>
  <c r="BD126" i="23"/>
  <c r="AZ126" i="23"/>
  <c r="AY126" i="23"/>
  <c r="AX126" i="23"/>
  <c r="AW126" i="23"/>
  <c r="AV126" i="23"/>
  <c r="AU126" i="23"/>
  <c r="AT126" i="23"/>
  <c r="AR126" i="23"/>
  <c r="AQ126" i="23"/>
  <c r="BD125" i="23"/>
  <c r="AY125" i="23"/>
  <c r="AV125" i="23"/>
  <c r="BC125" i="23"/>
  <c r="AZ125" i="23"/>
  <c r="AX125" i="23"/>
  <c r="AW125" i="23"/>
  <c r="AU125" i="23"/>
  <c r="AT125" i="23"/>
  <c r="AS125" i="23"/>
  <c r="AR125" i="23"/>
  <c r="AQ125" i="23"/>
  <c r="AY124" i="23"/>
  <c r="AQ124" i="23"/>
  <c r="BD124" i="23"/>
  <c r="BC124" i="23"/>
  <c r="BL124" i="23" s="1"/>
  <c r="AZ124" i="23"/>
  <c r="AX124" i="23"/>
  <c r="AW124" i="23"/>
  <c r="AV124" i="23"/>
  <c r="AU124" i="23"/>
  <c r="AT124" i="23"/>
  <c r="AS124" i="23"/>
  <c r="AR124" i="23"/>
  <c r="AW123" i="23"/>
  <c r="AR123" i="23"/>
  <c r="BD123" i="23"/>
  <c r="BC123" i="23"/>
  <c r="AZ123" i="23"/>
  <c r="AY123" i="23"/>
  <c r="AX123" i="23"/>
  <c r="AV123" i="23"/>
  <c r="AU123" i="23"/>
  <c r="AT123" i="23"/>
  <c r="AS123" i="23"/>
  <c r="AQ123" i="23"/>
  <c r="BC122" i="23"/>
  <c r="BD122" i="23"/>
  <c r="AZ122" i="23"/>
  <c r="AY122" i="23"/>
  <c r="AX122" i="23"/>
  <c r="AW122" i="23"/>
  <c r="AV122" i="23"/>
  <c r="AU122" i="23"/>
  <c r="AT122" i="23"/>
  <c r="AS122" i="23"/>
  <c r="AR122" i="23"/>
  <c r="AQ122" i="23"/>
  <c r="BD121" i="23"/>
  <c r="AV121" i="23"/>
  <c r="AS121" i="23"/>
  <c r="BC121" i="23"/>
  <c r="AZ121" i="23"/>
  <c r="AY121" i="23"/>
  <c r="AX121" i="23"/>
  <c r="AW121" i="23"/>
  <c r="AU121" i="23"/>
  <c r="AT121" i="23"/>
  <c r="AR121" i="23"/>
  <c r="AQ121" i="23"/>
  <c r="AT120" i="23"/>
  <c r="BD120" i="23"/>
  <c r="BC120" i="23"/>
  <c r="BB120" i="23"/>
  <c r="BA120" i="23"/>
  <c r="AZ120" i="23"/>
  <c r="AY120" i="23"/>
  <c r="AX120" i="23"/>
  <c r="AW120" i="23"/>
  <c r="AV120" i="23"/>
  <c r="AU120" i="23"/>
  <c r="AS120" i="23"/>
  <c r="AR120" i="23"/>
  <c r="AQ120" i="23"/>
  <c r="BC119" i="23"/>
  <c r="AU119" i="23"/>
  <c r="AR119" i="23"/>
  <c r="BD119" i="23"/>
  <c r="BL119" i="23" s="1"/>
  <c r="AZ119" i="23"/>
  <c r="AY119" i="23"/>
  <c r="AX119" i="23"/>
  <c r="AW119" i="23"/>
  <c r="AV119" i="23"/>
  <c r="AT119" i="23"/>
  <c r="AS119" i="23"/>
  <c r="AQ119" i="23"/>
  <c r="AS118" i="23"/>
  <c r="BD118" i="23"/>
  <c r="BC118" i="23"/>
  <c r="AZ118" i="23"/>
  <c r="AY118" i="23"/>
  <c r="AX118" i="23"/>
  <c r="AW118" i="23"/>
  <c r="AV118" i="23"/>
  <c r="AU118" i="23"/>
  <c r="AT118" i="23"/>
  <c r="AR118" i="23"/>
  <c r="AQ118" i="23"/>
  <c r="AY117" i="23"/>
  <c r="AQ117" i="23"/>
  <c r="BD117" i="23"/>
  <c r="BC117" i="23"/>
  <c r="AZ117" i="23"/>
  <c r="AX117" i="23"/>
  <c r="AW117" i="23"/>
  <c r="AV117" i="23"/>
  <c r="AU117" i="23"/>
  <c r="AT117" i="23"/>
  <c r="AS117" i="23"/>
  <c r="AR117" i="23"/>
  <c r="AZ116" i="23"/>
  <c r="AW116" i="23"/>
  <c r="AT116" i="23"/>
  <c r="AR116" i="23"/>
  <c r="BD116" i="23"/>
  <c r="BC116" i="23"/>
  <c r="BL116" i="23" s="1"/>
  <c r="BB116" i="23"/>
  <c r="BA116" i="23"/>
  <c r="AY116" i="23"/>
  <c r="AX116" i="23"/>
  <c r="AV116" i="23"/>
  <c r="AU116" i="23"/>
  <c r="AS116" i="23"/>
  <c r="AQ116" i="23"/>
  <c r="BF116" i="23"/>
  <c r="BO116" i="23" s="1"/>
  <c r="AO116" i="23"/>
  <c r="BD115" i="23"/>
  <c r="AY115" i="23"/>
  <c r="AV115" i="23"/>
  <c r="BC115" i="23"/>
  <c r="BB115" i="23"/>
  <c r="BA115" i="23"/>
  <c r="AZ115" i="23"/>
  <c r="AX115" i="23"/>
  <c r="AW115" i="23"/>
  <c r="AU115" i="23"/>
  <c r="AT115" i="23"/>
  <c r="AS115" i="23"/>
  <c r="AR115" i="23"/>
  <c r="AQ115" i="23"/>
  <c r="BC114" i="23"/>
  <c r="AZ114" i="23"/>
  <c r="AR114" i="23"/>
  <c r="BD114" i="23"/>
  <c r="AY114" i="23"/>
  <c r="AX114" i="23"/>
  <c r="AW114" i="23"/>
  <c r="AV114" i="23"/>
  <c r="AU114" i="23"/>
  <c r="AT114" i="23"/>
  <c r="AS114" i="23"/>
  <c r="AQ114" i="23"/>
  <c r="BC113" i="23"/>
  <c r="AX113" i="23"/>
  <c r="AU113" i="23"/>
  <c r="BD113" i="23"/>
  <c r="AZ113" i="23"/>
  <c r="AY113" i="23"/>
  <c r="AW113" i="23"/>
  <c r="AV113" i="23"/>
  <c r="BF113" i="23"/>
  <c r="AT113" i="23"/>
  <c r="AS113" i="23"/>
  <c r="AR113" i="23"/>
  <c r="AQ113" i="23"/>
  <c r="AQ112" i="23"/>
  <c r="BD112" i="23"/>
  <c r="BC112" i="23"/>
  <c r="AZ112" i="23"/>
  <c r="AY112" i="23"/>
  <c r="AX112" i="23"/>
  <c r="AW112" i="23"/>
  <c r="AV112" i="23"/>
  <c r="AU112" i="23"/>
  <c r="AT112" i="23"/>
  <c r="AS112" i="23"/>
  <c r="AR112" i="23"/>
  <c r="BD111" i="23"/>
  <c r="BC111" i="23"/>
  <c r="AZ111" i="23"/>
  <c r="AY111" i="23"/>
  <c r="AX111" i="23"/>
  <c r="AW111" i="23"/>
  <c r="AV111" i="23"/>
  <c r="AU111" i="23"/>
  <c r="AT111" i="23"/>
  <c r="AS111" i="23"/>
  <c r="AR111" i="23"/>
  <c r="AQ111" i="23"/>
  <c r="AW110" i="23"/>
  <c r="BD110" i="23"/>
  <c r="BC110" i="23"/>
  <c r="BL110" i="23" s="1"/>
  <c r="AZ110" i="23"/>
  <c r="AY110" i="23"/>
  <c r="AX110" i="23"/>
  <c r="AV110" i="23"/>
  <c r="AU110" i="23"/>
  <c r="AT110" i="23"/>
  <c r="AS110" i="23"/>
  <c r="AR110" i="23"/>
  <c r="AQ110" i="23"/>
  <c r="AU109" i="23"/>
  <c r="AS109" i="23"/>
  <c r="BD109" i="23"/>
  <c r="BC109" i="23"/>
  <c r="AZ109" i="23"/>
  <c r="AY109" i="23"/>
  <c r="AX109" i="23"/>
  <c r="AW109" i="23"/>
  <c r="AV109" i="23"/>
  <c r="AT109" i="23"/>
  <c r="AR109" i="23"/>
  <c r="AQ109" i="23"/>
  <c r="AY108" i="23"/>
  <c r="AS108" i="23"/>
  <c r="BD108" i="23"/>
  <c r="BC108" i="23"/>
  <c r="AZ108" i="23"/>
  <c r="AX108" i="23"/>
  <c r="AW108" i="23"/>
  <c r="AV108" i="23"/>
  <c r="AU108" i="23"/>
  <c r="AT108" i="23"/>
  <c r="AR108" i="23"/>
  <c r="AQ108" i="23"/>
  <c r="AY107" i="23"/>
  <c r="AQ107" i="23"/>
  <c r="BD107" i="23"/>
  <c r="BC107" i="23"/>
  <c r="AZ107" i="23"/>
  <c r="AX107" i="23"/>
  <c r="AW107" i="23"/>
  <c r="AV107" i="23"/>
  <c r="AU107" i="23"/>
  <c r="AT107" i="23"/>
  <c r="AS107" i="23"/>
  <c r="AR107" i="23"/>
  <c r="BC106" i="23"/>
  <c r="BL106" i="23" s="1"/>
  <c r="AW106" i="23"/>
  <c r="AU106" i="23"/>
  <c r="BD106" i="23"/>
  <c r="AZ106" i="23"/>
  <c r="AY106" i="23"/>
  <c r="AX106" i="23"/>
  <c r="AV106" i="23"/>
  <c r="AT106" i="23"/>
  <c r="AS106" i="23"/>
  <c r="AR106" i="23"/>
  <c r="AQ106" i="23"/>
  <c r="BC105" i="23"/>
  <c r="AS105" i="23"/>
  <c r="BD105" i="23"/>
  <c r="AZ105" i="23"/>
  <c r="AY105" i="23"/>
  <c r="AX105" i="23"/>
  <c r="AW105" i="23"/>
  <c r="AV105" i="23"/>
  <c r="AU105" i="23"/>
  <c r="AT105" i="23"/>
  <c r="AR105" i="23"/>
  <c r="AQ105" i="23"/>
  <c r="BD104" i="23"/>
  <c r="AV104" i="23"/>
  <c r="AS104" i="23"/>
  <c r="AQ104" i="23"/>
  <c r="BC104" i="23"/>
  <c r="BB104" i="23"/>
  <c r="BA104" i="23"/>
  <c r="AZ104" i="23"/>
  <c r="AY104" i="23"/>
  <c r="AX104" i="23"/>
  <c r="AW104" i="23"/>
  <c r="AU104" i="23"/>
  <c r="AT104" i="23"/>
  <c r="AR104" i="23"/>
  <c r="AT103" i="23"/>
  <c r="BD103" i="23"/>
  <c r="BC103" i="23"/>
  <c r="AZ103" i="23"/>
  <c r="AY103" i="23"/>
  <c r="AX103" i="23"/>
  <c r="AW103" i="23"/>
  <c r="AV103" i="23"/>
  <c r="AU103" i="23"/>
  <c r="AS103" i="23"/>
  <c r="AR103" i="23"/>
  <c r="AQ103" i="23"/>
  <c r="AR102" i="23"/>
  <c r="BD102" i="23"/>
  <c r="BC102" i="23"/>
  <c r="BL102" i="23" s="1"/>
  <c r="AZ102" i="23"/>
  <c r="AY102" i="23"/>
  <c r="AX102" i="23"/>
  <c r="AW102" i="23"/>
  <c r="AV102" i="23"/>
  <c r="AT102" i="23"/>
  <c r="AS102" i="23"/>
  <c r="AQ102" i="23"/>
  <c r="BA101" i="23"/>
  <c r="AX101" i="23"/>
  <c r="AP101" i="23"/>
  <c r="BD101" i="23"/>
  <c r="BC101" i="23"/>
  <c r="BB101" i="23"/>
  <c r="AZ101" i="23"/>
  <c r="AY101" i="23"/>
  <c r="AW101" i="23"/>
  <c r="AV101" i="23"/>
  <c r="AU101" i="23"/>
  <c r="AT101" i="23"/>
  <c r="AR101" i="23"/>
  <c r="AQ101" i="23"/>
  <c r="BC100" i="23"/>
  <c r="AR100" i="23"/>
  <c r="BD100" i="23"/>
  <c r="AZ100" i="23"/>
  <c r="AY100" i="23"/>
  <c r="AX100" i="23"/>
  <c r="AW100" i="23"/>
  <c r="AV100" i="23"/>
  <c r="AU100" i="23"/>
  <c r="AT100" i="23"/>
  <c r="AS100" i="23"/>
  <c r="AQ100" i="23"/>
  <c r="AX99" i="23"/>
  <c r="BD99" i="23"/>
  <c r="BC99" i="23"/>
  <c r="AZ99" i="23"/>
  <c r="AY99" i="23"/>
  <c r="AW99" i="23"/>
  <c r="AV99" i="23"/>
  <c r="AU99" i="23"/>
  <c r="AT99" i="23"/>
  <c r="AR99" i="23"/>
  <c r="AQ99" i="23"/>
  <c r="BD98" i="23"/>
  <c r="AY98" i="23"/>
  <c r="AV98" i="23"/>
  <c r="AT98" i="23"/>
  <c r="AQ98" i="23"/>
  <c r="BC98" i="23"/>
  <c r="AZ98" i="23"/>
  <c r="AX98" i="23"/>
  <c r="AW98" i="23"/>
  <c r="AU98" i="23"/>
  <c r="AS98" i="23"/>
  <c r="AR98" i="23"/>
  <c r="BF98" i="23"/>
  <c r="AW97" i="23"/>
  <c r="AT97" i="23"/>
  <c r="AR97" i="23"/>
  <c r="BD97" i="23"/>
  <c r="BC97" i="23"/>
  <c r="AZ97" i="23"/>
  <c r="AY97" i="23"/>
  <c r="AX97" i="23"/>
  <c r="AV97" i="23"/>
  <c r="AU97" i="23"/>
  <c r="AS97" i="23"/>
  <c r="AQ97" i="23"/>
  <c r="BF97" i="23"/>
  <c r="BE97" i="23"/>
  <c r="B97" i="23"/>
  <c r="B98" i="23" s="1"/>
  <c r="B99" i="23" s="1"/>
  <c r="B100" i="23" s="1"/>
  <c r="B101" i="23" s="1"/>
  <c r="B102" i="23" s="1"/>
  <c r="B103" i="23" s="1"/>
  <c r="B105" i="23" s="1"/>
  <c r="B106" i="23" s="1"/>
  <c r="B107" i="23" s="1"/>
  <c r="B108" i="23" s="1"/>
  <c r="B109" i="23" s="1"/>
  <c r="B110" i="23" s="1"/>
  <c r="B111" i="23" s="1"/>
  <c r="B112" i="23" s="1"/>
  <c r="B113" i="23" s="1"/>
  <c r="B114" i="23" s="1"/>
  <c r="B116" i="23" s="1"/>
  <c r="B117" i="23" s="1"/>
  <c r="B118" i="23" s="1"/>
  <c r="B119" i="23" s="1"/>
  <c r="B121" i="23" s="1"/>
  <c r="B122" i="23" s="1"/>
  <c r="B123" i="23" s="1"/>
  <c r="B124" i="23" s="1"/>
  <c r="B125" i="23" s="1"/>
  <c r="B126" i="23" s="1"/>
  <c r="B127" i="23" s="1"/>
  <c r="B128" i="23" s="1"/>
  <c r="B129" i="23" s="1"/>
  <c r="BC96" i="23"/>
  <c r="AZ96" i="23"/>
  <c r="AR96" i="23"/>
  <c r="BD96" i="23"/>
  <c r="BB96" i="23"/>
  <c r="BA96" i="23"/>
  <c r="AY96" i="23"/>
  <c r="AX96" i="23"/>
  <c r="AW96" i="23"/>
  <c r="AV96" i="23"/>
  <c r="AU96" i="23"/>
  <c r="AT96" i="23"/>
  <c r="AS96" i="23"/>
  <c r="AQ96" i="23"/>
  <c r="AP96" i="23"/>
  <c r="BD95" i="23"/>
  <c r="AV95" i="23"/>
  <c r="AS95" i="23"/>
  <c r="AQ95" i="23"/>
  <c r="BC95" i="23"/>
  <c r="BB95" i="23"/>
  <c r="BA95" i="23"/>
  <c r="AZ95" i="23"/>
  <c r="AY95" i="23"/>
  <c r="AX95" i="23"/>
  <c r="AW95" i="23"/>
  <c r="AU95" i="23"/>
  <c r="AT95" i="23"/>
  <c r="AR95" i="23"/>
  <c r="AZ94" i="23"/>
  <c r="AT94" i="23"/>
  <c r="AR94" i="23"/>
  <c r="BC93" i="23"/>
  <c r="AS93" i="23"/>
  <c r="BD93" i="23"/>
  <c r="BL93" i="23" s="1"/>
  <c r="BB93" i="23"/>
  <c r="BA93" i="23"/>
  <c r="AZ93" i="23"/>
  <c r="AY93" i="23"/>
  <c r="AX93" i="23"/>
  <c r="AW93" i="23"/>
  <c r="AV93" i="23"/>
  <c r="AU93" i="23"/>
  <c r="AT93" i="23"/>
  <c r="AR93" i="23"/>
  <c r="AQ93" i="23"/>
  <c r="BC92" i="23"/>
  <c r="AW92" i="23"/>
  <c r="AU92" i="23"/>
  <c r="BD92" i="23"/>
  <c r="BB92" i="23"/>
  <c r="BA92" i="23"/>
  <c r="AZ92" i="23"/>
  <c r="AY92" i="23"/>
  <c r="AX92" i="23"/>
  <c r="AV92" i="23"/>
  <c r="AT92" i="23"/>
  <c r="AS92" i="23"/>
  <c r="AR92" i="23"/>
  <c r="AQ92" i="23"/>
  <c r="AO92" i="23"/>
  <c r="BH92" i="23" s="1"/>
  <c r="AY91" i="23"/>
  <c r="AQ91" i="23"/>
  <c r="BD91" i="23"/>
  <c r="BC91" i="23"/>
  <c r="BB91" i="23"/>
  <c r="BA91" i="23"/>
  <c r="AZ91" i="23"/>
  <c r="AX91" i="23"/>
  <c r="AW91" i="23"/>
  <c r="AV91" i="23"/>
  <c r="AU91" i="23"/>
  <c r="AT91" i="23"/>
  <c r="AS91" i="23"/>
  <c r="AR91" i="23"/>
  <c r="AO91" i="23"/>
  <c r="BH91" i="23" s="1"/>
  <c r="BA90" i="23"/>
  <c r="AS90" i="23"/>
  <c r="BD90" i="23"/>
  <c r="BC90" i="23"/>
  <c r="BB90" i="23"/>
  <c r="AZ90" i="23"/>
  <c r="AY90" i="23"/>
  <c r="AX90" i="23"/>
  <c r="AW90" i="23"/>
  <c r="AV90" i="23"/>
  <c r="AU90" i="23"/>
  <c r="AT90" i="23"/>
  <c r="BJ90" i="23" s="1"/>
  <c r="AR90" i="23"/>
  <c r="AQ90" i="23"/>
  <c r="BD89" i="23"/>
  <c r="AU89" i="23"/>
  <c r="BC89" i="23"/>
  <c r="BB89" i="23"/>
  <c r="BA89" i="23"/>
  <c r="AZ89" i="23"/>
  <c r="AY89" i="23"/>
  <c r="AX89" i="23"/>
  <c r="AW89" i="23"/>
  <c r="AV89" i="23"/>
  <c r="AT89" i="23"/>
  <c r="AS89" i="23"/>
  <c r="AR89" i="23"/>
  <c r="AQ89" i="23"/>
  <c r="AX88" i="23"/>
  <c r="BD88" i="23"/>
  <c r="BC88" i="23"/>
  <c r="BB88" i="23"/>
  <c r="BA88" i="23"/>
  <c r="AZ88" i="23"/>
  <c r="AY88" i="23"/>
  <c r="AW88" i="23"/>
  <c r="AV88" i="23"/>
  <c r="AU88" i="23"/>
  <c r="AT88" i="23"/>
  <c r="AS88" i="23"/>
  <c r="AR88" i="23"/>
  <c r="AQ88" i="23"/>
  <c r="AP88" i="23"/>
  <c r="AO88" i="23"/>
  <c r="BH88" i="23" s="1"/>
  <c r="AR87" i="23"/>
  <c r="BD87" i="23"/>
  <c r="BC87" i="23"/>
  <c r="AZ87" i="23"/>
  <c r="AY87" i="23"/>
  <c r="AX87" i="23"/>
  <c r="AW87" i="23"/>
  <c r="AV87" i="23"/>
  <c r="AU87" i="23"/>
  <c r="AT87" i="23"/>
  <c r="BD86" i="23"/>
  <c r="BC86" i="23"/>
  <c r="AZ86" i="23"/>
  <c r="AY86" i="23"/>
  <c r="AX86" i="23"/>
  <c r="AW86" i="23"/>
  <c r="AV86" i="23"/>
  <c r="AU86" i="23"/>
  <c r="AT86" i="23"/>
  <c r="AR86" i="23"/>
  <c r="AX85" i="23"/>
  <c r="AW85" i="23"/>
  <c r="BD85" i="23"/>
  <c r="BC85" i="23"/>
  <c r="AZ85" i="23"/>
  <c r="AY85" i="23"/>
  <c r="AV85" i="23"/>
  <c r="AU85" i="23"/>
  <c r="AT85" i="23"/>
  <c r="AR85" i="23"/>
  <c r="AP85" i="23"/>
  <c r="AW84" i="23"/>
  <c r="BD84" i="23"/>
  <c r="BC84" i="23"/>
  <c r="AZ84" i="23"/>
  <c r="AY84" i="23"/>
  <c r="AX84" i="23"/>
  <c r="AV84" i="23"/>
  <c r="AU84" i="23"/>
  <c r="AT84" i="23"/>
  <c r="AR84" i="23"/>
  <c r="BD83" i="23"/>
  <c r="BC83" i="23"/>
  <c r="AV83" i="23"/>
  <c r="AZ83" i="23"/>
  <c r="AY83" i="23"/>
  <c r="AX83" i="23"/>
  <c r="AW83" i="23"/>
  <c r="AU83" i="23"/>
  <c r="AT83" i="23"/>
  <c r="AR83" i="23"/>
  <c r="BD82" i="23"/>
  <c r="BC82" i="23"/>
  <c r="AZ82" i="23"/>
  <c r="AY82" i="23"/>
  <c r="AX82" i="23"/>
  <c r="AW82" i="23"/>
  <c r="AV82" i="23"/>
  <c r="AU82" i="23"/>
  <c r="AT82" i="23"/>
  <c r="AR82" i="23"/>
  <c r="AT81" i="23"/>
  <c r="BD81" i="23"/>
  <c r="BC81" i="23"/>
  <c r="AZ81" i="23"/>
  <c r="AY81" i="23"/>
  <c r="AX81" i="23"/>
  <c r="AW81" i="23"/>
  <c r="AV81" i="23"/>
  <c r="AU81" i="23"/>
  <c r="AR81" i="23"/>
  <c r="AZ80" i="23"/>
  <c r="BD80" i="23"/>
  <c r="BC80" i="23"/>
  <c r="AY80" i="23"/>
  <c r="AX80" i="23"/>
  <c r="AW80" i="23"/>
  <c r="AV80" i="23"/>
  <c r="AU80" i="23"/>
  <c r="AT80" i="23"/>
  <c r="AR80" i="23"/>
  <c r="AR79" i="23"/>
  <c r="BD79" i="23"/>
  <c r="BC79" i="23"/>
  <c r="AZ79" i="23"/>
  <c r="AY79" i="23"/>
  <c r="AX79" i="23"/>
  <c r="AW79" i="23"/>
  <c r="AV79" i="23"/>
  <c r="AU79" i="23"/>
  <c r="AT79" i="23"/>
  <c r="BF79" i="23"/>
  <c r="AQ78" i="23"/>
  <c r="BD78" i="23"/>
  <c r="BC78" i="23"/>
  <c r="BB78" i="23"/>
  <c r="BA78" i="23"/>
  <c r="AZ78" i="23"/>
  <c r="AY78" i="23"/>
  <c r="AX78" i="23"/>
  <c r="AW78" i="23"/>
  <c r="AV78" i="23"/>
  <c r="AU78" i="23"/>
  <c r="AT78" i="23"/>
  <c r="AS78" i="23"/>
  <c r="AR78" i="23"/>
  <c r="BD77" i="23"/>
  <c r="BC77" i="23"/>
  <c r="BB77" i="23"/>
  <c r="AZ77" i="23"/>
  <c r="AY77" i="23"/>
  <c r="AX77" i="23"/>
  <c r="AW77" i="23"/>
  <c r="AV77" i="23"/>
  <c r="AU77" i="23"/>
  <c r="AT77" i="23"/>
  <c r="AS77" i="23"/>
  <c r="AR77" i="23"/>
  <c r="BD76" i="23"/>
  <c r="BC76" i="23"/>
  <c r="BB76" i="23"/>
  <c r="BA76" i="23"/>
  <c r="AZ76" i="23"/>
  <c r="AY76" i="23"/>
  <c r="AX76" i="23"/>
  <c r="AW76" i="23"/>
  <c r="AV76" i="23"/>
  <c r="AU76" i="23"/>
  <c r="AT76" i="23"/>
  <c r="AS76" i="23"/>
  <c r="AR76" i="23"/>
  <c r="AQ76" i="23"/>
  <c r="AW75" i="23"/>
  <c r="AV75" i="23"/>
  <c r="BD75" i="23"/>
  <c r="BC75" i="23"/>
  <c r="BB75" i="23"/>
  <c r="BA75" i="23"/>
  <c r="AZ75" i="23"/>
  <c r="AY75" i="23"/>
  <c r="AX75" i="23"/>
  <c r="AU75" i="23"/>
  <c r="AT75" i="23"/>
  <c r="AS75" i="23"/>
  <c r="AR75" i="23"/>
  <c r="AQ75" i="23"/>
  <c r="BF75" i="23"/>
  <c r="AP74" i="23"/>
  <c r="BD74" i="23"/>
  <c r="BC74" i="23"/>
  <c r="BL74" i="23" s="1"/>
  <c r="BB74" i="23"/>
  <c r="BA74" i="23"/>
  <c r="AZ74" i="23"/>
  <c r="AY74" i="23"/>
  <c r="AX74" i="23"/>
  <c r="AW74" i="23"/>
  <c r="AV74" i="23"/>
  <c r="AU74" i="23"/>
  <c r="AT74" i="23"/>
  <c r="AS74" i="23"/>
  <c r="AR74" i="23"/>
  <c r="AQ74" i="23"/>
  <c r="BA73" i="23"/>
  <c r="AZ73" i="23"/>
  <c r="BD73" i="23"/>
  <c r="BC73" i="23"/>
  <c r="BL73" i="23" s="1"/>
  <c r="BB73" i="23"/>
  <c r="AY73" i="23"/>
  <c r="AW73" i="23"/>
  <c r="AV73" i="23"/>
  <c r="AU73" i="23"/>
  <c r="AT73" i="23"/>
  <c r="AS73" i="23"/>
  <c r="AR73" i="23"/>
  <c r="B73" i="23"/>
  <c r="B74" i="23" s="1"/>
  <c r="B75" i="23" s="1"/>
  <c r="B76" i="23" s="1"/>
  <c r="B77" i="23" s="1"/>
  <c r="B79" i="23" s="1"/>
  <c r="B80" i="23" s="1"/>
  <c r="B81" i="23" s="1"/>
  <c r="B82" i="23" s="1"/>
  <c r="B83" i="23" s="1"/>
  <c r="B84" i="23" s="1"/>
  <c r="B85" i="23" s="1"/>
  <c r="B86" i="23" s="1"/>
  <c r="B87" i="23" s="1"/>
  <c r="B88" i="23" s="1"/>
  <c r="B89" i="23" s="1"/>
  <c r="B90" i="23" s="1"/>
  <c r="B91" i="23" s="1"/>
  <c r="B92" i="23" s="1"/>
  <c r="B93" i="23" s="1"/>
  <c r="BC72" i="23"/>
  <c r="AU72" i="23"/>
  <c r="BD72" i="23"/>
  <c r="BB72" i="23"/>
  <c r="BA72" i="23"/>
  <c r="AZ72" i="23"/>
  <c r="AY72" i="23"/>
  <c r="AX72" i="23"/>
  <c r="AW72" i="23"/>
  <c r="AV72" i="23"/>
  <c r="AT72" i="23"/>
  <c r="AR72" i="23"/>
  <c r="AQ72" i="23"/>
  <c r="BC71" i="23"/>
  <c r="AU71" i="23"/>
  <c r="BD71" i="23"/>
  <c r="BB71" i="23"/>
  <c r="BA71" i="23"/>
  <c r="AZ71" i="23"/>
  <c r="AY71" i="23"/>
  <c r="AX71" i="23"/>
  <c r="AW71" i="23"/>
  <c r="AV71" i="23"/>
  <c r="AT71" i="23"/>
  <c r="AS71" i="23"/>
  <c r="AR71" i="23"/>
  <c r="AQ71" i="23"/>
  <c r="AW70" i="23"/>
  <c r="AF134" i="23"/>
  <c r="AW69" i="23"/>
  <c r="BD69" i="23"/>
  <c r="BC69" i="23"/>
  <c r="BL69" i="23" s="1"/>
  <c r="BA69" i="23"/>
  <c r="AZ69" i="23"/>
  <c r="AY69" i="23"/>
  <c r="AV69" i="23"/>
  <c r="AU69" i="23"/>
  <c r="AT69" i="23"/>
  <c r="AR69" i="23"/>
  <c r="AP69" i="23"/>
  <c r="BD68" i="23"/>
  <c r="AY68" i="23"/>
  <c r="AV68" i="23"/>
  <c r="BC68" i="23"/>
  <c r="AZ68" i="23"/>
  <c r="AX68" i="23"/>
  <c r="AW68" i="23"/>
  <c r="AU68" i="23"/>
  <c r="AT68" i="23"/>
  <c r="AR68" i="23"/>
  <c r="AZ60" i="23"/>
  <c r="AV60" i="23"/>
  <c r="AR60" i="23"/>
  <c r="BD60" i="23"/>
  <c r="BC60" i="23"/>
  <c r="BL60" i="23" s="1"/>
  <c r="AY60" i="23"/>
  <c r="AX60" i="23"/>
  <c r="AW60" i="23"/>
  <c r="AU60" i="23"/>
  <c r="AT60" i="23"/>
  <c r="AZ59" i="23"/>
  <c r="AT59" i="23"/>
  <c r="AR59" i="23"/>
  <c r="BD59" i="23"/>
  <c r="BC59" i="23"/>
  <c r="AY59" i="23"/>
  <c r="AX59" i="23"/>
  <c r="AW59" i="23"/>
  <c r="AV59" i="23"/>
  <c r="AU59" i="23"/>
  <c r="AY58" i="23"/>
  <c r="AX58" i="23"/>
  <c r="AT58" i="23"/>
  <c r="AP58" i="23"/>
  <c r="BD58" i="23"/>
  <c r="BC58" i="23"/>
  <c r="AZ58" i="23"/>
  <c r="AW58" i="23"/>
  <c r="AV58" i="23"/>
  <c r="AU58" i="23"/>
  <c r="AR58" i="23"/>
  <c r="BD57" i="23"/>
  <c r="BC57" i="23"/>
  <c r="BL57" i="23" s="1"/>
  <c r="AZ57" i="23"/>
  <c r="AY57" i="23"/>
  <c r="AX57" i="23"/>
  <c r="AV57" i="23"/>
  <c r="AU57" i="23"/>
  <c r="AT57" i="23"/>
  <c r="AR57" i="23"/>
  <c r="AP57" i="23"/>
  <c r="AV56" i="23"/>
  <c r="BD56" i="23"/>
  <c r="BC56" i="23"/>
  <c r="AZ56" i="23"/>
  <c r="AY56" i="23"/>
  <c r="AX56" i="23"/>
  <c r="AW56" i="23"/>
  <c r="AU56" i="23"/>
  <c r="AT56" i="23"/>
  <c r="AR56" i="23"/>
  <c r="BD54" i="23"/>
  <c r="AV54" i="23"/>
  <c r="BC54" i="23"/>
  <c r="BB54" i="23"/>
  <c r="BA54" i="23"/>
  <c r="AZ54" i="23"/>
  <c r="AY54" i="23"/>
  <c r="AX54" i="23"/>
  <c r="AW54" i="23"/>
  <c r="AU54" i="23"/>
  <c r="AT54" i="23"/>
  <c r="AS54" i="23"/>
  <c r="AR54" i="23"/>
  <c r="AQ54" i="23"/>
  <c r="BF54" i="23"/>
  <c r="BO54" i="23" s="1"/>
  <c r="AW53" i="23"/>
  <c r="BD53" i="23"/>
  <c r="BC53" i="23"/>
  <c r="BL53" i="23" s="1"/>
  <c r="AZ53" i="23"/>
  <c r="AY53" i="23"/>
  <c r="AX53" i="23"/>
  <c r="AV53" i="23"/>
  <c r="AU53" i="23"/>
  <c r="AT53" i="23"/>
  <c r="AR53" i="23"/>
  <c r="BD52" i="23"/>
  <c r="BC52" i="23"/>
  <c r="BB52" i="23"/>
  <c r="BA52" i="23"/>
  <c r="AX52" i="23"/>
  <c r="AW52" i="23"/>
  <c r="AV52" i="23"/>
  <c r="AU52" i="23"/>
  <c r="AT52" i="23"/>
  <c r="AS52" i="23"/>
  <c r="AR52" i="23"/>
  <c r="BD51" i="23"/>
  <c r="BC51" i="23"/>
  <c r="BB51" i="23"/>
  <c r="BA51" i="23"/>
  <c r="AZ51" i="23"/>
  <c r="AY51" i="23"/>
  <c r="AX51" i="23"/>
  <c r="AW51" i="23"/>
  <c r="AV51" i="23"/>
  <c r="AU51" i="23"/>
  <c r="AT51" i="23"/>
  <c r="AS51" i="23"/>
  <c r="AR51" i="23"/>
  <c r="AQ51" i="23"/>
  <c r="BD50" i="23"/>
  <c r="BC50" i="23"/>
  <c r="BA50" i="23"/>
  <c r="AZ50" i="23"/>
  <c r="AY50" i="23"/>
  <c r="AW50" i="23"/>
  <c r="AV50" i="23"/>
  <c r="AU50" i="23"/>
  <c r="AT50" i="23"/>
  <c r="AR50" i="23"/>
  <c r="AW49" i="23"/>
  <c r="BD49" i="23"/>
  <c r="BC49" i="23"/>
  <c r="AZ49" i="23"/>
  <c r="AY49" i="23"/>
  <c r="AX49" i="23"/>
  <c r="AV49" i="23"/>
  <c r="AU49" i="23"/>
  <c r="AT49" i="23"/>
  <c r="AR49" i="23"/>
  <c r="AY48" i="23"/>
  <c r="BD48" i="23"/>
  <c r="BC48" i="23"/>
  <c r="BB48" i="23"/>
  <c r="BA48" i="23"/>
  <c r="AZ48" i="23"/>
  <c r="AX48" i="23"/>
  <c r="AW48" i="23"/>
  <c r="AV48" i="23"/>
  <c r="AU48" i="23"/>
  <c r="AT48" i="23"/>
  <c r="AS48" i="23"/>
  <c r="AR48" i="23"/>
  <c r="AQ48" i="23"/>
  <c r="BF48" i="23"/>
  <c r="BO48" i="23" s="1"/>
  <c r="AZ47" i="23"/>
  <c r="AR47" i="23"/>
  <c r="BD47" i="23"/>
  <c r="BC47" i="23"/>
  <c r="BB47" i="23"/>
  <c r="BA47" i="23"/>
  <c r="AY47" i="23"/>
  <c r="AX47" i="23"/>
  <c r="AW47" i="23"/>
  <c r="AV47" i="23"/>
  <c r="AU47" i="23"/>
  <c r="D47" i="23"/>
  <c r="AY46" i="23"/>
  <c r="BD46" i="23"/>
  <c r="BC46" i="23"/>
  <c r="BB46" i="23"/>
  <c r="BA46" i="23"/>
  <c r="AZ46" i="23"/>
  <c r="AX46" i="23"/>
  <c r="AW46" i="23"/>
  <c r="AV46" i="23"/>
  <c r="AU46" i="23"/>
  <c r="AT46" i="23"/>
  <c r="AR46" i="23"/>
  <c r="D46" i="23"/>
  <c r="B46" i="23"/>
  <c r="B47" i="23" s="1"/>
  <c r="B49" i="23" s="1"/>
  <c r="B50" i="23" s="1"/>
  <c r="B51" i="23" s="1"/>
  <c r="B52" i="23" s="1"/>
  <c r="B53" i="23" s="1"/>
  <c r="B55" i="23" s="1"/>
  <c r="B56" i="23" s="1"/>
  <c r="B57" i="23" s="1"/>
  <c r="B58" i="23" s="1"/>
  <c r="B59" i="23" s="1"/>
  <c r="B60" i="23" s="1"/>
  <c r="B61" i="23" s="1"/>
  <c r="B62" i="23" s="1"/>
  <c r="B63" i="23" s="1"/>
  <c r="B64" i="23" s="1"/>
  <c r="B65" i="23" s="1"/>
  <c r="B66" i="23" s="1"/>
  <c r="B67" i="23" s="1"/>
  <c r="B68" i="23" s="1"/>
  <c r="B69" i="23" s="1"/>
  <c r="BD45" i="23"/>
  <c r="BC45" i="23"/>
  <c r="BB45" i="23"/>
  <c r="BA45" i="23"/>
  <c r="AZ45" i="23"/>
  <c r="AY45" i="23"/>
  <c r="AX45" i="23"/>
  <c r="AW45" i="23"/>
  <c r="AV45" i="23"/>
  <c r="AU45" i="23"/>
  <c r="AS45" i="23"/>
  <c r="AR45" i="23"/>
  <c r="AQ45" i="23"/>
  <c r="D45" i="23"/>
  <c r="B45" i="23"/>
  <c r="BD44" i="23"/>
  <c r="BC44" i="23"/>
  <c r="BB44" i="23"/>
  <c r="BA44" i="23"/>
  <c r="AZ44" i="23"/>
  <c r="AY44" i="23"/>
  <c r="AX44" i="23"/>
  <c r="AW44" i="23"/>
  <c r="AV44" i="23"/>
  <c r="AU44" i="23"/>
  <c r="AT44" i="23"/>
  <c r="AS44" i="23"/>
  <c r="AR44" i="23"/>
  <c r="AQ44" i="23"/>
  <c r="D44" i="23"/>
  <c r="B44" i="23"/>
  <c r="BC43" i="23"/>
  <c r="AU43" i="23"/>
  <c r="BD43" i="23"/>
  <c r="BB43" i="23"/>
  <c r="BA43" i="23"/>
  <c r="AZ43" i="23"/>
  <c r="AY43" i="23"/>
  <c r="AX43" i="23"/>
  <c r="AW43" i="23"/>
  <c r="AV43" i="23"/>
  <c r="AT43" i="23"/>
  <c r="AS43" i="23"/>
  <c r="AR43" i="23"/>
  <c r="AQ43" i="23"/>
  <c r="BF43" i="23"/>
  <c r="BO43" i="23" s="1"/>
  <c r="BD41" i="23"/>
  <c r="BC41" i="23"/>
  <c r="BB41" i="23"/>
  <c r="BA41" i="23"/>
  <c r="AX41" i="23"/>
  <c r="AW41" i="23"/>
  <c r="AV41" i="23"/>
  <c r="AU41" i="23"/>
  <c r="AT41" i="23"/>
  <c r="AS41" i="23"/>
  <c r="AR41" i="23"/>
  <c r="AQ41" i="23"/>
  <c r="D41" i="23"/>
  <c r="BA40" i="23"/>
  <c r="AZ40" i="23"/>
  <c r="BD40" i="23"/>
  <c r="BC40" i="23"/>
  <c r="AY40" i="23"/>
  <c r="AX40" i="23"/>
  <c r="AW40" i="23"/>
  <c r="AV40" i="23"/>
  <c r="AU40" i="23"/>
  <c r="AT40" i="23"/>
  <c r="BJ40" i="23" s="1"/>
  <c r="D40" i="23"/>
  <c r="AV39" i="23"/>
  <c r="BD39" i="23"/>
  <c r="BC39" i="23"/>
  <c r="BL39" i="23" s="1"/>
  <c r="BB39" i="23"/>
  <c r="BA39" i="23"/>
  <c r="AZ39" i="23"/>
  <c r="AY39" i="23"/>
  <c r="AX39" i="23"/>
  <c r="AW39" i="23"/>
  <c r="AU39" i="23"/>
  <c r="AT39" i="23"/>
  <c r="D39" i="23"/>
  <c r="AQ38" i="23"/>
  <c r="BD38" i="23"/>
  <c r="BC38" i="23"/>
  <c r="BB38" i="23"/>
  <c r="BA38" i="23"/>
  <c r="AZ38" i="23"/>
  <c r="AY38" i="23"/>
  <c r="AX38" i="23"/>
  <c r="AW38" i="23"/>
  <c r="AV38" i="23"/>
  <c r="AU38" i="23"/>
  <c r="AT38" i="23"/>
  <c r="AS38" i="23"/>
  <c r="AR38" i="23"/>
  <c r="BD37" i="23"/>
  <c r="BC37" i="23"/>
  <c r="BB37" i="23"/>
  <c r="BA37" i="23"/>
  <c r="AZ37" i="23"/>
  <c r="AY37" i="23"/>
  <c r="AX37" i="23"/>
  <c r="AW37" i="23"/>
  <c r="AV37" i="23"/>
  <c r="AU37" i="23"/>
  <c r="AS37" i="23"/>
  <c r="AR37" i="23"/>
  <c r="AQ37" i="23"/>
  <c r="D37" i="23"/>
  <c r="BC36" i="23"/>
  <c r="AU36" i="23"/>
  <c r="BD36" i="23"/>
  <c r="BB36" i="23"/>
  <c r="BA36" i="23"/>
  <c r="AZ36" i="23"/>
  <c r="AY36" i="23"/>
  <c r="AX36" i="23"/>
  <c r="AW36" i="23"/>
  <c r="AV36" i="23"/>
  <c r="AR36" i="23"/>
  <c r="D36" i="23"/>
  <c r="BB35" i="23"/>
  <c r="BD35" i="23"/>
  <c r="BC35" i="23"/>
  <c r="BA35" i="23"/>
  <c r="AZ35" i="23"/>
  <c r="AY35" i="23"/>
  <c r="AX35" i="23"/>
  <c r="AW35" i="23"/>
  <c r="AV35" i="23"/>
  <c r="AU35" i="23"/>
  <c r="AT35" i="23"/>
  <c r="AR35" i="23"/>
  <c r="D35" i="23"/>
  <c r="AX34" i="23"/>
  <c r="BD34" i="23"/>
  <c r="BC34" i="23"/>
  <c r="BB34" i="23"/>
  <c r="BA34" i="23"/>
  <c r="AZ34" i="23"/>
  <c r="AY34" i="23"/>
  <c r="AW34" i="23"/>
  <c r="AV34" i="23"/>
  <c r="AU34" i="23"/>
  <c r="AS34" i="23"/>
  <c r="AR34" i="23"/>
  <c r="AQ34" i="23"/>
  <c r="L34" i="24"/>
  <c r="D34" i="23"/>
  <c r="BC33" i="23"/>
  <c r="AV33" i="23"/>
  <c r="AU33" i="23"/>
  <c r="BD33" i="23"/>
  <c r="BB33" i="23"/>
  <c r="BA33" i="23"/>
  <c r="AZ33" i="23"/>
  <c r="AY33" i="23"/>
  <c r="AX33" i="23"/>
  <c r="AW33" i="23"/>
  <c r="AT33" i="23"/>
  <c r="AS33" i="23"/>
  <c r="AR33" i="23"/>
  <c r="AQ33" i="23"/>
  <c r="D33" i="23"/>
  <c r="B33" i="23"/>
  <c r="B34" i="23" s="1"/>
  <c r="B35" i="23" s="1"/>
  <c r="B36" i="23" s="1"/>
  <c r="B37" i="23" s="1"/>
  <c r="B39" i="23" s="1"/>
  <c r="B40" i="23" s="1"/>
  <c r="B41" i="23" s="1"/>
  <c r="AX32" i="23"/>
  <c r="AP32" i="23"/>
  <c r="BD32" i="23"/>
  <c r="BC32" i="23"/>
  <c r="BB32" i="23"/>
  <c r="BA32" i="23"/>
  <c r="AZ32" i="23"/>
  <c r="AY32" i="23"/>
  <c r="AW32" i="23"/>
  <c r="AV32" i="23"/>
  <c r="AU32" i="23"/>
  <c r="AT32" i="23"/>
  <c r="AS32" i="23"/>
  <c r="AR32" i="23"/>
  <c r="AQ32" i="23"/>
  <c r="BF32" i="23"/>
  <c r="BO32" i="23" s="1"/>
  <c r="AZ31" i="23"/>
  <c r="AQ31" i="23"/>
  <c r="BD31" i="23"/>
  <c r="BC31" i="23"/>
  <c r="BL31" i="23" s="1"/>
  <c r="BB31" i="23"/>
  <c r="BA31" i="23"/>
  <c r="AY31" i="23"/>
  <c r="AX31" i="23"/>
  <c r="AW31" i="23"/>
  <c r="AV31" i="23"/>
  <c r="AU31" i="23"/>
  <c r="AT31" i="23"/>
  <c r="AS31" i="23"/>
  <c r="AR31" i="23"/>
  <c r="D31" i="23"/>
  <c r="B31" i="23"/>
  <c r="AV30" i="23"/>
  <c r="AU30" i="23"/>
  <c r="BD30" i="23"/>
  <c r="BC30" i="23"/>
  <c r="BB30" i="23"/>
  <c r="BA30" i="23"/>
  <c r="AZ30" i="23"/>
  <c r="AY30" i="23"/>
  <c r="AX30" i="23"/>
  <c r="AW30" i="23"/>
  <c r="AT30" i="23"/>
  <c r="AS30" i="23"/>
  <c r="AR30" i="23"/>
  <c r="AQ30" i="23"/>
  <c r="D30" i="23"/>
  <c r="AW29" i="23"/>
  <c r="AS29" i="23"/>
  <c r="BD29" i="23"/>
  <c r="BC29" i="23"/>
  <c r="BB29" i="23"/>
  <c r="BA29" i="23"/>
  <c r="AZ29" i="23"/>
  <c r="AY29" i="23"/>
  <c r="AX29" i="23"/>
  <c r="AV29" i="23"/>
  <c r="AU29" i="23"/>
  <c r="AT29" i="23"/>
  <c r="AR29" i="23"/>
  <c r="AQ29" i="23"/>
  <c r="AP29" i="23"/>
  <c r="AO29" i="23"/>
  <c r="AY28" i="23"/>
  <c r="AX28" i="23"/>
  <c r="AT28" i="23"/>
  <c r="AP28" i="23"/>
  <c r="AQ28" i="23"/>
  <c r="BC27" i="23"/>
  <c r="BL27" i="23" s="1"/>
  <c r="AY27" i="23"/>
  <c r="BD27" i="23"/>
  <c r="BB27" i="23"/>
  <c r="BA27" i="23"/>
  <c r="AZ27" i="23"/>
  <c r="AX27" i="23"/>
  <c r="AT27" i="23"/>
  <c r="D27" i="23"/>
  <c r="AT26" i="23"/>
  <c r="AP26" i="23"/>
  <c r="BD26" i="23"/>
  <c r="BC26" i="23"/>
  <c r="BB26" i="23"/>
  <c r="BA26" i="23"/>
  <c r="AZ26" i="23"/>
  <c r="AY26" i="23"/>
  <c r="AX26" i="23"/>
  <c r="AW26" i="23"/>
  <c r="AV26" i="23"/>
  <c r="AU26" i="23"/>
  <c r="D26" i="23"/>
  <c r="AT25" i="23"/>
  <c r="BD25" i="23"/>
  <c r="BB25" i="23"/>
  <c r="BA25" i="23"/>
  <c r="AZ25" i="23"/>
  <c r="AY25" i="23"/>
  <c r="AX25" i="23"/>
  <c r="AP25" i="23"/>
  <c r="AZ24" i="23"/>
  <c r="AU24" i="23"/>
  <c r="BD24" i="23"/>
  <c r="BB24" i="23"/>
  <c r="BA24" i="23"/>
  <c r="AY24" i="23"/>
  <c r="AX24" i="23"/>
  <c r="AW24" i="23"/>
  <c r="AV24" i="23"/>
  <c r="AT24" i="23"/>
  <c r="B24" i="23"/>
  <c r="B25" i="23" s="1"/>
  <c r="B26" i="23" s="1"/>
  <c r="B27" i="23" s="1"/>
  <c r="BA23" i="23"/>
  <c r="BD23" i="23"/>
  <c r="BC23" i="23"/>
  <c r="BB23" i="23"/>
  <c r="AZ23" i="23"/>
  <c r="AY23" i="23"/>
  <c r="AX23" i="23"/>
  <c r="AP23" i="23"/>
  <c r="BD22" i="23"/>
  <c r="BC22" i="23"/>
  <c r="BL22" i="23" s="1"/>
  <c r="AZ22" i="23"/>
  <c r="AV22" i="23"/>
  <c r="BB22" i="23"/>
  <c r="BA22" i="23"/>
  <c r="AY22" i="23"/>
  <c r="AX22" i="23"/>
  <c r="AW22" i="23"/>
  <c r="AU22" i="23"/>
  <c r="AT22" i="23"/>
  <c r="BB21" i="23"/>
  <c r="AX21" i="23"/>
  <c r="AT21" i="23"/>
  <c r="BD21" i="23"/>
  <c r="BC21" i="23"/>
  <c r="BA21" i="23"/>
  <c r="AZ21" i="23"/>
  <c r="AY21" i="23"/>
  <c r="AS21" i="23"/>
  <c r="AR21" i="23"/>
  <c r="AQ21" i="23"/>
  <c r="B21" i="23"/>
  <c r="B22" i="23" s="1"/>
  <c r="B23" i="23" s="1"/>
  <c r="AU20" i="23"/>
  <c r="BD20" i="23"/>
  <c r="BC20" i="23"/>
  <c r="BB20" i="23"/>
  <c r="BA20" i="23"/>
  <c r="AZ20" i="23"/>
  <c r="AY20" i="23"/>
  <c r="AX20" i="23"/>
  <c r="AW20" i="23"/>
  <c r="AV20" i="23"/>
  <c r="AT20" i="23"/>
  <c r="AS20" i="23"/>
  <c r="AR20" i="23"/>
  <c r="AQ20" i="23"/>
  <c r="BF20" i="23"/>
  <c r="BO20" i="23" s="1"/>
  <c r="BD19" i="23"/>
  <c r="BC19" i="23"/>
  <c r="BB19" i="23"/>
  <c r="BA19" i="23"/>
  <c r="AZ19" i="23"/>
  <c r="AY19" i="23"/>
  <c r="AX19" i="23"/>
  <c r="AW19" i="23"/>
  <c r="AV19" i="23"/>
  <c r="AU19" i="23"/>
  <c r="AS19" i="23"/>
  <c r="AR19" i="23"/>
  <c r="AQ19" i="23"/>
  <c r="B19" i="23"/>
  <c r="AW18" i="23"/>
  <c r="AR18" i="23"/>
  <c r="BD18" i="23"/>
  <c r="BC18" i="23"/>
  <c r="BB18" i="23"/>
  <c r="BA18" i="23"/>
  <c r="AZ18" i="23"/>
  <c r="AY18" i="23"/>
  <c r="AX18" i="23"/>
  <c r="AV18" i="23"/>
  <c r="AU18" i="23"/>
  <c r="AT18" i="23"/>
  <c r="AS18" i="23"/>
  <c r="AQ18" i="23"/>
  <c r="BA17" i="23"/>
  <c r="AS17" i="23"/>
  <c r="BD17" i="23"/>
  <c r="BC17" i="23"/>
  <c r="BB17" i="23"/>
  <c r="AZ17" i="23"/>
  <c r="AY17" i="23"/>
  <c r="AX17" i="23"/>
  <c r="AW17" i="23"/>
  <c r="AV17" i="23"/>
  <c r="AU17" i="23"/>
  <c r="AT17" i="23"/>
  <c r="AR17" i="23"/>
  <c r="AQ17" i="23"/>
  <c r="BF17" i="23"/>
  <c r="BB16" i="23"/>
  <c r="AK131" i="23"/>
  <c r="AH131" i="23"/>
  <c r="AX11" i="23"/>
  <c r="AP11" i="23"/>
  <c r="AO11" i="23"/>
  <c r="AL11" i="23"/>
  <c r="AJ11" i="23"/>
  <c r="Y11" i="23"/>
  <c r="AT11" i="23"/>
  <c r="BE7" i="23"/>
  <c r="B7" i="23"/>
  <c r="B1" i="23"/>
  <c r="BQ139" i="22"/>
  <c r="BQ138" i="22"/>
  <c r="BQ136" i="22"/>
  <c r="BQ135" i="22"/>
  <c r="BQ134" i="22"/>
  <c r="BQ133" i="22"/>
  <c r="BQ132" i="22"/>
  <c r="BQ131" i="22"/>
  <c r="AZ129" i="22"/>
  <c r="AT129" i="22"/>
  <c r="BD129" i="22"/>
  <c r="BC129" i="22"/>
  <c r="BL129" i="22" s="1"/>
  <c r="AY129" i="22"/>
  <c r="AX129" i="22"/>
  <c r="AW129" i="22"/>
  <c r="AV129" i="22"/>
  <c r="AU129" i="22"/>
  <c r="AS129" i="22"/>
  <c r="AR129" i="22"/>
  <c r="AQ129" i="22"/>
  <c r="AZ128" i="22"/>
  <c r="AU128" i="22"/>
  <c r="AR128" i="22"/>
  <c r="BD128" i="22"/>
  <c r="BC128" i="22"/>
  <c r="BL128" i="22" s="1"/>
  <c r="AY128" i="22"/>
  <c r="AX128" i="22"/>
  <c r="AW128" i="22"/>
  <c r="AV128" i="22"/>
  <c r="AT128" i="22"/>
  <c r="AS128" i="22"/>
  <c r="AQ128" i="22"/>
  <c r="AV127" i="22"/>
  <c r="BD127" i="22"/>
  <c r="BC127" i="22"/>
  <c r="AZ127" i="22"/>
  <c r="AY127" i="22"/>
  <c r="AX127" i="22"/>
  <c r="AW127" i="22"/>
  <c r="AU127" i="22"/>
  <c r="AT127" i="22"/>
  <c r="AS127" i="22"/>
  <c r="AR127" i="22"/>
  <c r="AQ127" i="22"/>
  <c r="BD126" i="22"/>
  <c r="AY126" i="22"/>
  <c r="BC126" i="22"/>
  <c r="AZ126" i="22"/>
  <c r="AX126" i="22"/>
  <c r="AW126" i="22"/>
  <c r="AV126" i="22"/>
  <c r="AU126" i="22"/>
  <c r="AT126" i="22"/>
  <c r="AS126" i="22"/>
  <c r="AR126" i="22"/>
  <c r="AQ126" i="22"/>
  <c r="AW125" i="22"/>
  <c r="AR125" i="22"/>
  <c r="BD125" i="22"/>
  <c r="BC125" i="22"/>
  <c r="AZ125" i="22"/>
  <c r="AY125" i="22"/>
  <c r="AX125" i="22"/>
  <c r="AV125" i="22"/>
  <c r="AU125" i="22"/>
  <c r="AT125" i="22"/>
  <c r="AS125" i="22"/>
  <c r="AQ125" i="22"/>
  <c r="BF125" i="22"/>
  <c r="BC124" i="22"/>
  <c r="AR124" i="22"/>
  <c r="BD124" i="22"/>
  <c r="AZ124" i="22"/>
  <c r="AY124" i="22"/>
  <c r="AX124" i="22"/>
  <c r="AW124" i="22"/>
  <c r="AV124" i="22"/>
  <c r="AU124" i="22"/>
  <c r="AT124" i="22"/>
  <c r="AS124" i="22"/>
  <c r="AQ124" i="22"/>
  <c r="BF124" i="22"/>
  <c r="BD123" i="22"/>
  <c r="AX123" i="22"/>
  <c r="AS123" i="22"/>
  <c r="BC123" i="22"/>
  <c r="AZ123" i="22"/>
  <c r="AY123" i="22"/>
  <c r="AW123" i="22"/>
  <c r="AV123" i="22"/>
  <c r="AU123" i="22"/>
  <c r="AT123" i="22"/>
  <c r="AR123" i="22"/>
  <c r="AQ123" i="22"/>
  <c r="AV122" i="22"/>
  <c r="AT122" i="22"/>
  <c r="BD122" i="22"/>
  <c r="BC122" i="22"/>
  <c r="AZ122" i="22"/>
  <c r="AY122" i="22"/>
  <c r="AX122" i="22"/>
  <c r="AW122" i="22"/>
  <c r="AU122" i="22"/>
  <c r="AS122" i="22"/>
  <c r="AR122" i="22"/>
  <c r="AQ122" i="22"/>
  <c r="AZ121" i="22"/>
  <c r="AT121" i="22"/>
  <c r="BD121" i="22"/>
  <c r="BC121" i="22"/>
  <c r="AY121" i="22"/>
  <c r="AX121" i="22"/>
  <c r="AW121" i="22"/>
  <c r="AV121" i="22"/>
  <c r="AU121" i="22"/>
  <c r="AS121" i="22"/>
  <c r="AR121" i="22"/>
  <c r="AQ121" i="22"/>
  <c r="BF120" i="22"/>
  <c r="BO120" i="22" s="1"/>
  <c r="AZ120" i="22"/>
  <c r="AP120" i="22"/>
  <c r="BD120" i="22"/>
  <c r="BC120" i="22"/>
  <c r="BB120" i="22"/>
  <c r="BA120" i="22"/>
  <c r="AY120" i="22"/>
  <c r="AX120" i="22"/>
  <c r="AW120" i="22"/>
  <c r="AV120" i="22"/>
  <c r="AU120" i="22"/>
  <c r="AT120" i="22"/>
  <c r="AS120" i="22"/>
  <c r="AR120" i="22"/>
  <c r="AQ120" i="22"/>
  <c r="AY119" i="22"/>
  <c r="AS119" i="22"/>
  <c r="AQ119" i="22"/>
  <c r="BD119" i="22"/>
  <c r="BC119" i="22"/>
  <c r="AZ119" i="22"/>
  <c r="AX119" i="22"/>
  <c r="AW119" i="22"/>
  <c r="AV119" i="22"/>
  <c r="AU119" i="22"/>
  <c r="AT119" i="22"/>
  <c r="AR119" i="22"/>
  <c r="AW118" i="22"/>
  <c r="BD118" i="22"/>
  <c r="BC118" i="22"/>
  <c r="AZ118" i="22"/>
  <c r="AY118" i="22"/>
  <c r="AX118" i="22"/>
  <c r="AV118" i="22"/>
  <c r="AU118" i="22"/>
  <c r="AT118" i="22"/>
  <c r="AS118" i="22"/>
  <c r="AR118" i="22"/>
  <c r="AQ118" i="22"/>
  <c r="BC117" i="22"/>
  <c r="AW117" i="22"/>
  <c r="BD117" i="22"/>
  <c r="AZ117" i="22"/>
  <c r="AY117" i="22"/>
  <c r="AX117" i="22"/>
  <c r="AV117" i="22"/>
  <c r="AU117" i="22"/>
  <c r="AT117" i="22"/>
  <c r="AS117" i="22"/>
  <c r="AR117" i="22"/>
  <c r="AQ117" i="22"/>
  <c r="AS116" i="22"/>
  <c r="BD116" i="22"/>
  <c r="BC116" i="22"/>
  <c r="BB116" i="22"/>
  <c r="BA116" i="22"/>
  <c r="AZ116" i="22"/>
  <c r="AY116" i="22"/>
  <c r="AX116" i="22"/>
  <c r="AW116" i="22"/>
  <c r="AV116" i="22"/>
  <c r="AU116" i="22"/>
  <c r="AT116" i="22"/>
  <c r="AR116" i="22"/>
  <c r="AQ116" i="22"/>
  <c r="BC115" i="22"/>
  <c r="AW115" i="22"/>
  <c r="BD115" i="22"/>
  <c r="BB115" i="22"/>
  <c r="BA115" i="22"/>
  <c r="AZ115" i="22"/>
  <c r="AY115" i="22"/>
  <c r="AX115" i="22"/>
  <c r="AV115" i="22"/>
  <c r="AU115" i="22"/>
  <c r="AT115" i="22"/>
  <c r="AS115" i="22"/>
  <c r="AR115" i="22"/>
  <c r="AQ115" i="22"/>
  <c r="AO115" i="22"/>
  <c r="AV114" i="22"/>
  <c r="BD114" i="22"/>
  <c r="BC114" i="22"/>
  <c r="AZ114" i="22"/>
  <c r="AY114" i="22"/>
  <c r="AX114" i="22"/>
  <c r="AW114" i="22"/>
  <c r="AU114" i="22"/>
  <c r="AT114" i="22"/>
  <c r="AR114" i="22"/>
  <c r="AQ114" i="22"/>
  <c r="AY113" i="22"/>
  <c r="AT113" i="22"/>
  <c r="BD113" i="22"/>
  <c r="BC113" i="22"/>
  <c r="AZ113" i="22"/>
  <c r="AX113" i="22"/>
  <c r="AW113" i="22"/>
  <c r="AV113" i="22"/>
  <c r="AU113" i="22"/>
  <c r="AS113" i="22"/>
  <c r="AR113" i="22"/>
  <c r="AQ113" i="22"/>
  <c r="BF113" i="22"/>
  <c r="AW112" i="22"/>
  <c r="AR112" i="22"/>
  <c r="BD112" i="22"/>
  <c r="BC112" i="22"/>
  <c r="AZ112" i="22"/>
  <c r="AY112" i="22"/>
  <c r="AX112" i="22"/>
  <c r="AV112" i="22"/>
  <c r="AU112" i="22"/>
  <c r="AT112" i="22"/>
  <c r="AS112" i="22"/>
  <c r="AQ112" i="22"/>
  <c r="BF112" i="22"/>
  <c r="BC111" i="22"/>
  <c r="AY111" i="22"/>
  <c r="AW111" i="22"/>
  <c r="AU111" i="22"/>
  <c r="BD111" i="22"/>
  <c r="AZ111" i="22"/>
  <c r="AX111" i="22"/>
  <c r="AV111" i="22"/>
  <c r="AT111" i="22"/>
  <c r="AS111" i="22"/>
  <c r="AR111" i="22"/>
  <c r="AQ111" i="22"/>
  <c r="BD110" i="22"/>
  <c r="BC110" i="22"/>
  <c r="AZ110" i="22"/>
  <c r="AY110" i="22"/>
  <c r="AX110" i="22"/>
  <c r="AW110" i="22"/>
  <c r="AV110" i="22"/>
  <c r="AU110" i="22"/>
  <c r="AT110" i="22"/>
  <c r="AS110" i="22"/>
  <c r="AR110" i="22"/>
  <c r="AQ110" i="22"/>
  <c r="BF110" i="22"/>
  <c r="AZ109" i="22"/>
  <c r="AR109" i="22"/>
  <c r="BD109" i="22"/>
  <c r="BC109" i="22"/>
  <c r="AY109" i="22"/>
  <c r="AX109" i="22"/>
  <c r="AW109" i="22"/>
  <c r="AV109" i="22"/>
  <c r="AU109" i="22"/>
  <c r="AT109" i="22"/>
  <c r="AS109" i="22"/>
  <c r="AQ109" i="22"/>
  <c r="BF109" i="22"/>
  <c r="BE109" i="22"/>
  <c r="BD108" i="22"/>
  <c r="BC108" i="22"/>
  <c r="AZ108" i="22"/>
  <c r="AY108" i="22"/>
  <c r="AX108" i="22"/>
  <c r="AW108" i="22"/>
  <c r="AV108" i="22"/>
  <c r="AU108" i="22"/>
  <c r="AT108" i="22"/>
  <c r="AS108" i="22"/>
  <c r="AR108" i="22"/>
  <c r="AQ108" i="22"/>
  <c r="BF108" i="22"/>
  <c r="BD107" i="22"/>
  <c r="BC107" i="22"/>
  <c r="AZ107" i="22"/>
  <c r="AY107" i="22"/>
  <c r="AX107" i="22"/>
  <c r="AW107" i="22"/>
  <c r="AV107" i="22"/>
  <c r="AU107" i="22"/>
  <c r="AT107" i="22"/>
  <c r="AS107" i="22"/>
  <c r="AR107" i="22"/>
  <c r="AQ107" i="22"/>
  <c r="BD106" i="22"/>
  <c r="BC106" i="22"/>
  <c r="AZ106" i="22"/>
  <c r="AY106" i="22"/>
  <c r="AX106" i="22"/>
  <c r="AW106" i="22"/>
  <c r="AV106" i="22"/>
  <c r="AU106" i="22"/>
  <c r="AT106" i="22"/>
  <c r="AS106" i="22"/>
  <c r="AR106" i="22"/>
  <c r="AQ106" i="22"/>
  <c r="BD105" i="22"/>
  <c r="BC105" i="22"/>
  <c r="AZ105" i="22"/>
  <c r="AY105" i="22"/>
  <c r="AX105" i="22"/>
  <c r="AW105" i="22"/>
  <c r="AV105" i="22"/>
  <c r="AU105" i="22"/>
  <c r="AT105" i="22"/>
  <c r="AS105" i="22"/>
  <c r="AR105" i="22"/>
  <c r="AQ105" i="22"/>
  <c r="B105" i="22"/>
  <c r="B106" i="22" s="1"/>
  <c r="B107" i="22" s="1"/>
  <c r="B108" i="22" s="1"/>
  <c r="B109" i="22" s="1"/>
  <c r="B110" i="22" s="1"/>
  <c r="B111" i="22" s="1"/>
  <c r="B112" i="22" s="1"/>
  <c r="B113" i="22" s="1"/>
  <c r="B114" i="22" s="1"/>
  <c r="B116" i="22" s="1"/>
  <c r="B117" i="22" s="1"/>
  <c r="B118" i="22" s="1"/>
  <c r="B119" i="22" s="1"/>
  <c r="B121" i="22" s="1"/>
  <c r="B122" i="22" s="1"/>
  <c r="B123" i="22" s="1"/>
  <c r="B124" i="22" s="1"/>
  <c r="B125" i="22" s="1"/>
  <c r="B126" i="22" s="1"/>
  <c r="B127" i="22" s="1"/>
  <c r="B128" i="22" s="1"/>
  <c r="B129" i="22" s="1"/>
  <c r="BD104" i="22"/>
  <c r="BC104" i="22"/>
  <c r="BB104" i="22"/>
  <c r="BA104" i="22"/>
  <c r="AZ104" i="22"/>
  <c r="AY104" i="22"/>
  <c r="AX104" i="22"/>
  <c r="AW104" i="22"/>
  <c r="AV104" i="22"/>
  <c r="AU104" i="22"/>
  <c r="AT104" i="22"/>
  <c r="AS104" i="22"/>
  <c r="AR104" i="22"/>
  <c r="AQ104" i="22"/>
  <c r="BF104" i="22"/>
  <c r="BO104" i="22" s="1"/>
  <c r="AY103" i="22"/>
  <c r="AQ103" i="22"/>
  <c r="BD103" i="22"/>
  <c r="BC103" i="22"/>
  <c r="BL103" i="22" s="1"/>
  <c r="AZ103" i="22"/>
  <c r="AX103" i="22"/>
  <c r="AW103" i="22"/>
  <c r="AV103" i="22"/>
  <c r="AU103" i="22"/>
  <c r="AT103" i="22"/>
  <c r="AS103" i="22"/>
  <c r="AR103" i="22"/>
  <c r="BF103" i="22"/>
  <c r="AY102" i="22"/>
  <c r="AQ102" i="22"/>
  <c r="BD102" i="22"/>
  <c r="BC102" i="22"/>
  <c r="AZ102" i="22"/>
  <c r="AX102" i="22"/>
  <c r="AW102" i="22"/>
  <c r="AV102" i="22"/>
  <c r="AU102" i="22"/>
  <c r="AT102" i="22"/>
  <c r="AS102" i="22"/>
  <c r="AR102" i="22"/>
  <c r="BF102" i="22"/>
  <c r="AW101" i="22"/>
  <c r="BD101" i="22"/>
  <c r="BC101" i="22"/>
  <c r="BB101" i="22"/>
  <c r="BA101" i="22"/>
  <c r="AZ101" i="22"/>
  <c r="AY101" i="22"/>
  <c r="AX101" i="22"/>
  <c r="AV101" i="22"/>
  <c r="AU101" i="22"/>
  <c r="AT101" i="22"/>
  <c r="AS101" i="22"/>
  <c r="AR101" i="22"/>
  <c r="AQ101" i="22"/>
  <c r="AO101" i="22"/>
  <c r="BH101" i="22" s="1"/>
  <c r="AY100" i="22"/>
  <c r="AW100" i="22"/>
  <c r="AQ100" i="22"/>
  <c r="BD100" i="22"/>
  <c r="BC100" i="22"/>
  <c r="BL100" i="22" s="1"/>
  <c r="AZ100" i="22"/>
  <c r="AX100" i="22"/>
  <c r="AV100" i="22"/>
  <c r="AU100" i="22"/>
  <c r="AT100" i="22"/>
  <c r="AS100" i="22"/>
  <c r="AR100" i="22"/>
  <c r="BF100" i="22"/>
  <c r="BD99" i="22"/>
  <c r="BC99" i="22"/>
  <c r="BL99" i="22" s="1"/>
  <c r="AZ99" i="22"/>
  <c r="AY99" i="22"/>
  <c r="AX99" i="22"/>
  <c r="AW99" i="22"/>
  <c r="AV99" i="22"/>
  <c r="AU99" i="22"/>
  <c r="AT99" i="22"/>
  <c r="AS99" i="22"/>
  <c r="AR99" i="22"/>
  <c r="AQ99" i="22"/>
  <c r="AS98" i="22"/>
  <c r="BD98" i="22"/>
  <c r="BC98" i="22"/>
  <c r="AZ98" i="22"/>
  <c r="AY98" i="22"/>
  <c r="AX98" i="22"/>
  <c r="AW98" i="22"/>
  <c r="AV98" i="22"/>
  <c r="AU98" i="22"/>
  <c r="AT98" i="22"/>
  <c r="AR98" i="22"/>
  <c r="AQ98" i="22"/>
  <c r="BD97" i="22"/>
  <c r="BC97" i="22"/>
  <c r="BL97" i="22" s="1"/>
  <c r="AZ97" i="22"/>
  <c r="AY97" i="22"/>
  <c r="AX97" i="22"/>
  <c r="AW97" i="22"/>
  <c r="AV97" i="22"/>
  <c r="AU97" i="22"/>
  <c r="AT97" i="22"/>
  <c r="AS97" i="22"/>
  <c r="AR97" i="22"/>
  <c r="AQ97" i="22"/>
  <c r="B97" i="22"/>
  <c r="B98" i="22" s="1"/>
  <c r="B99" i="22" s="1"/>
  <c r="B100" i="22" s="1"/>
  <c r="B101" i="22" s="1"/>
  <c r="B102" i="22" s="1"/>
  <c r="B103" i="22" s="1"/>
  <c r="AQ96" i="22"/>
  <c r="BD96" i="22"/>
  <c r="BC96" i="22"/>
  <c r="BL96" i="22" s="1"/>
  <c r="BB96" i="22"/>
  <c r="BA96" i="22"/>
  <c r="AZ96" i="22"/>
  <c r="AY96" i="22"/>
  <c r="AX96" i="22"/>
  <c r="AW96" i="22"/>
  <c r="AV96" i="22"/>
  <c r="AU96" i="22"/>
  <c r="AT96" i="22"/>
  <c r="AS96" i="22"/>
  <c r="AR96" i="22"/>
  <c r="BF95" i="22"/>
  <c r="BO95" i="22" s="1"/>
  <c r="AZ95" i="22"/>
  <c r="AR95" i="22"/>
  <c r="AP95" i="22"/>
  <c r="BD95" i="22"/>
  <c r="BC95" i="22"/>
  <c r="BB95" i="22"/>
  <c r="BA95" i="22"/>
  <c r="AY95" i="22"/>
  <c r="AX95" i="22"/>
  <c r="AW95" i="22"/>
  <c r="AV95" i="22"/>
  <c r="AU95" i="22"/>
  <c r="AT95" i="22"/>
  <c r="AS95" i="22"/>
  <c r="AQ95" i="22"/>
  <c r="AS94" i="22"/>
  <c r="BD94" i="22"/>
  <c r="AT93" i="22"/>
  <c r="BD93" i="22"/>
  <c r="BC93" i="22"/>
  <c r="BB93" i="22"/>
  <c r="BA93" i="22"/>
  <c r="AZ93" i="22"/>
  <c r="AY93" i="22"/>
  <c r="AX93" i="22"/>
  <c r="AW93" i="22"/>
  <c r="AV93" i="22"/>
  <c r="AU93" i="22"/>
  <c r="AS93" i="22"/>
  <c r="AR93" i="22"/>
  <c r="AQ93" i="22"/>
  <c r="BD92" i="22"/>
  <c r="BB92" i="22"/>
  <c r="AV92" i="22"/>
  <c r="AR92" i="22"/>
  <c r="BC92" i="22"/>
  <c r="BA92" i="22"/>
  <c r="AZ92" i="22"/>
  <c r="AY92" i="22"/>
  <c r="AX92" i="22"/>
  <c r="AW92" i="22"/>
  <c r="AU92" i="22"/>
  <c r="AT92" i="22"/>
  <c r="AS92" i="22"/>
  <c r="AQ92" i="22"/>
  <c r="BF91" i="22"/>
  <c r="BO91" i="22" s="1"/>
  <c r="BB91" i="22"/>
  <c r="AX91" i="22"/>
  <c r="AV91" i="22"/>
  <c r="AP91" i="22"/>
  <c r="BD91" i="22"/>
  <c r="BC91" i="22"/>
  <c r="BL91" i="22" s="1"/>
  <c r="BA91" i="22"/>
  <c r="AZ91" i="22"/>
  <c r="AY91" i="22"/>
  <c r="AW91" i="22"/>
  <c r="AU91" i="22"/>
  <c r="AT91" i="22"/>
  <c r="AS91" i="22"/>
  <c r="AR91" i="22"/>
  <c r="AQ91" i="22"/>
  <c r="BF90" i="22"/>
  <c r="BO90" i="22" s="1"/>
  <c r="BD90" i="22"/>
  <c r="AZ90" i="22"/>
  <c r="AR90" i="22"/>
  <c r="AP90" i="22"/>
  <c r="BC90" i="22"/>
  <c r="BB90" i="22"/>
  <c r="BA90" i="22"/>
  <c r="AY90" i="22"/>
  <c r="AX90" i="22"/>
  <c r="AW90" i="22"/>
  <c r="AV90" i="22"/>
  <c r="AU90" i="22"/>
  <c r="AT90" i="22"/>
  <c r="AS90" i="22"/>
  <c r="AQ90" i="22"/>
  <c r="BE90" i="22"/>
  <c r="BF89" i="22"/>
  <c r="BO89" i="22" s="1"/>
  <c r="AX89" i="22"/>
  <c r="AT89" i="22"/>
  <c r="AP89" i="22"/>
  <c r="BD89" i="22"/>
  <c r="BC89" i="22"/>
  <c r="BL89" i="22" s="1"/>
  <c r="BB89" i="22"/>
  <c r="BA89" i="22"/>
  <c r="AZ89" i="22"/>
  <c r="AY89" i="22"/>
  <c r="AW89" i="22"/>
  <c r="AV89" i="22"/>
  <c r="AU89" i="22"/>
  <c r="AS89" i="22"/>
  <c r="AR89" i="22"/>
  <c r="AQ89" i="22"/>
  <c r="BB88" i="22"/>
  <c r="AT88" i="22"/>
  <c r="BD88" i="22"/>
  <c r="BC88" i="22"/>
  <c r="BA88" i="22"/>
  <c r="AZ88" i="22"/>
  <c r="AY88" i="22"/>
  <c r="AX88" i="22"/>
  <c r="AW88" i="22"/>
  <c r="AV88" i="22"/>
  <c r="AU88" i="22"/>
  <c r="AS88" i="22"/>
  <c r="AR88" i="22"/>
  <c r="AQ88" i="22"/>
  <c r="BD87" i="22"/>
  <c r="AX87" i="22"/>
  <c r="AV87" i="22"/>
  <c r="BC87" i="22"/>
  <c r="AZ87" i="22"/>
  <c r="AY87" i="22"/>
  <c r="AW87" i="22"/>
  <c r="AU87" i="22"/>
  <c r="AT87" i="22"/>
  <c r="AR87" i="22"/>
  <c r="AP87" i="22"/>
  <c r="BC86" i="22"/>
  <c r="AU86" i="22"/>
  <c r="BD86" i="22"/>
  <c r="AZ86" i="22"/>
  <c r="AY86" i="22"/>
  <c r="AX86" i="22"/>
  <c r="AW86" i="22"/>
  <c r="AV86" i="22"/>
  <c r="AT86" i="22"/>
  <c r="AR86" i="22"/>
  <c r="AV85" i="22"/>
  <c r="AT85" i="22"/>
  <c r="AR85" i="22"/>
  <c r="BD85" i="22"/>
  <c r="BC85" i="22"/>
  <c r="AZ85" i="22"/>
  <c r="AY85" i="22"/>
  <c r="AX85" i="22"/>
  <c r="AW85" i="22"/>
  <c r="AU85" i="22"/>
  <c r="AY84" i="22"/>
  <c r="BD84" i="22"/>
  <c r="BC84" i="22"/>
  <c r="AZ84" i="22"/>
  <c r="AX84" i="22"/>
  <c r="AW84" i="22"/>
  <c r="AV84" i="22"/>
  <c r="AU84" i="22"/>
  <c r="AT84" i="22"/>
  <c r="AR84" i="22"/>
  <c r="AX83" i="22"/>
  <c r="AP83" i="22"/>
  <c r="BD83" i="22"/>
  <c r="BC83" i="22"/>
  <c r="AZ83" i="22"/>
  <c r="AY83" i="22"/>
  <c r="AW83" i="22"/>
  <c r="AV83" i="22"/>
  <c r="AU83" i="22"/>
  <c r="AT83" i="22"/>
  <c r="AW82" i="22"/>
  <c r="BD82" i="22"/>
  <c r="BC82" i="22"/>
  <c r="BL82" i="22" s="1"/>
  <c r="AZ82" i="22"/>
  <c r="AY82" i="22"/>
  <c r="AX82" i="22"/>
  <c r="AV82" i="22"/>
  <c r="AU82" i="22"/>
  <c r="AT82" i="22"/>
  <c r="AR82" i="22"/>
  <c r="BD81" i="22"/>
  <c r="AX81" i="22"/>
  <c r="AV81" i="22"/>
  <c r="AR81" i="22"/>
  <c r="BC81" i="22"/>
  <c r="AZ81" i="22"/>
  <c r="AY81" i="22"/>
  <c r="AW81" i="22"/>
  <c r="AU81" i="22"/>
  <c r="AT81" i="22"/>
  <c r="BC80" i="22"/>
  <c r="AU80" i="22"/>
  <c r="BD80" i="22"/>
  <c r="AZ80" i="22"/>
  <c r="AY80" i="22"/>
  <c r="AX80" i="22"/>
  <c r="AW80" i="22"/>
  <c r="AV80" i="22"/>
  <c r="AT80" i="22"/>
  <c r="AR80" i="22"/>
  <c r="AT79" i="22"/>
  <c r="BD79" i="22"/>
  <c r="BC79" i="22"/>
  <c r="AZ79" i="22"/>
  <c r="AY79" i="22"/>
  <c r="AX79" i="22"/>
  <c r="AW79" i="22"/>
  <c r="AV79" i="22"/>
  <c r="AU79" i="22"/>
  <c r="AR79" i="22"/>
  <c r="AU78" i="22"/>
  <c r="AS78" i="22"/>
  <c r="BD78" i="22"/>
  <c r="BC78" i="22"/>
  <c r="BL78" i="22" s="1"/>
  <c r="BB78" i="22"/>
  <c r="BA78" i="22"/>
  <c r="AZ78" i="22"/>
  <c r="AY78" i="22"/>
  <c r="AX78" i="22"/>
  <c r="AW78" i="22"/>
  <c r="AV78" i="22"/>
  <c r="AT78" i="22"/>
  <c r="AR78" i="22"/>
  <c r="AQ78" i="22"/>
  <c r="AO78" i="22"/>
  <c r="BH78" i="22" s="1"/>
  <c r="AY77" i="22"/>
  <c r="AX77" i="22"/>
  <c r="AV77" i="22"/>
  <c r="AT77" i="22"/>
  <c r="BD77" i="22"/>
  <c r="BC77" i="22"/>
  <c r="BB77" i="22"/>
  <c r="BA77" i="22"/>
  <c r="AZ77" i="22"/>
  <c r="AW77" i="22"/>
  <c r="AU77" i="22"/>
  <c r="AS77" i="22"/>
  <c r="AR77" i="22"/>
  <c r="BD76" i="22"/>
  <c r="BC76" i="22"/>
  <c r="AY76" i="22"/>
  <c r="AU76" i="22"/>
  <c r="AQ76" i="22"/>
  <c r="BB76" i="22"/>
  <c r="BA76" i="22"/>
  <c r="AZ76" i="22"/>
  <c r="AX76" i="22"/>
  <c r="AW76" i="22"/>
  <c r="AV76" i="22"/>
  <c r="AT76" i="22"/>
  <c r="AS76" i="22"/>
  <c r="AR76" i="22"/>
  <c r="BD75" i="22"/>
  <c r="BA75" i="22"/>
  <c r="AY75" i="22"/>
  <c r="AX75" i="22"/>
  <c r="AV75" i="22"/>
  <c r="AU75" i="22"/>
  <c r="BC75" i="22"/>
  <c r="BB75" i="22"/>
  <c r="AZ75" i="22"/>
  <c r="AW75" i="22"/>
  <c r="AT75" i="22"/>
  <c r="AR75" i="22"/>
  <c r="AQ75" i="22"/>
  <c r="AP75" i="22"/>
  <c r="B75" i="22"/>
  <c r="B76" i="22" s="1"/>
  <c r="B77" i="22" s="1"/>
  <c r="B79" i="22" s="1"/>
  <c r="B80" i="22" s="1"/>
  <c r="B81" i="22" s="1"/>
  <c r="B82" i="22" s="1"/>
  <c r="B83" i="22" s="1"/>
  <c r="B84" i="22" s="1"/>
  <c r="B85" i="22" s="1"/>
  <c r="B86" i="22" s="1"/>
  <c r="B87" i="22" s="1"/>
  <c r="B88" i="22" s="1"/>
  <c r="B89" i="22" s="1"/>
  <c r="B90" i="22" s="1"/>
  <c r="B91" i="22" s="1"/>
  <c r="B92" i="22" s="1"/>
  <c r="B93" i="22" s="1"/>
  <c r="BB74" i="22"/>
  <c r="AR74" i="22"/>
  <c r="BD74" i="22"/>
  <c r="BC74" i="22"/>
  <c r="BA74" i="22"/>
  <c r="AZ74" i="22"/>
  <c r="AY74" i="22"/>
  <c r="AX74" i="22"/>
  <c r="AW74" i="22"/>
  <c r="AV74" i="22"/>
  <c r="AU74" i="22"/>
  <c r="AT74" i="22"/>
  <c r="AS74" i="22"/>
  <c r="AQ74" i="22"/>
  <c r="B74" i="22"/>
  <c r="AV73" i="22"/>
  <c r="AT73" i="22"/>
  <c r="BD73" i="22"/>
  <c r="BC73" i="22"/>
  <c r="BL73" i="22" s="1"/>
  <c r="BB73" i="22"/>
  <c r="BA73" i="22"/>
  <c r="AZ73" i="22"/>
  <c r="AY73" i="22"/>
  <c r="AW73" i="22"/>
  <c r="AU73" i="22"/>
  <c r="AS73" i="22"/>
  <c r="AR73" i="22"/>
  <c r="AQ73" i="22"/>
  <c r="AP73" i="22"/>
  <c r="B73" i="22"/>
  <c r="BD72" i="22"/>
  <c r="AZ72" i="22"/>
  <c r="AX72" i="22"/>
  <c r="AV72" i="22"/>
  <c r="AP72" i="22"/>
  <c r="BC72" i="22"/>
  <c r="BB72" i="22"/>
  <c r="BA72" i="22"/>
  <c r="AY72" i="22"/>
  <c r="AW72" i="22"/>
  <c r="AU72" i="22"/>
  <c r="AT72" i="22"/>
  <c r="AS72" i="22"/>
  <c r="AR72" i="22"/>
  <c r="AQ72" i="22"/>
  <c r="BE72" i="22"/>
  <c r="BA71" i="22"/>
  <c r="AS71" i="22"/>
  <c r="BD71" i="22"/>
  <c r="BC71" i="22"/>
  <c r="BB71" i="22"/>
  <c r="AZ71" i="22"/>
  <c r="AY71" i="22"/>
  <c r="AX71" i="22"/>
  <c r="AW71" i="22"/>
  <c r="AV71" i="22"/>
  <c r="AU71" i="22"/>
  <c r="AT71" i="22"/>
  <c r="AR71" i="22"/>
  <c r="AQ71" i="22"/>
  <c r="AO71" i="22"/>
  <c r="AX70" i="22"/>
  <c r="AC134" i="22"/>
  <c r="AP70" i="22"/>
  <c r="BD69" i="22"/>
  <c r="BC69" i="22"/>
  <c r="BA69" i="22"/>
  <c r="AZ69" i="22"/>
  <c r="AY69" i="22"/>
  <c r="AW69" i="22"/>
  <c r="AV69" i="22"/>
  <c r="AU69" i="22"/>
  <c r="AT69" i="22"/>
  <c r="AR69" i="22"/>
  <c r="AX68" i="22"/>
  <c r="BD68" i="22"/>
  <c r="BC68" i="22"/>
  <c r="AZ68" i="22"/>
  <c r="AY68" i="22"/>
  <c r="AW68" i="22"/>
  <c r="AV68" i="22"/>
  <c r="AU68" i="22"/>
  <c r="AT68" i="22"/>
  <c r="AP68" i="22"/>
  <c r="AZ54" i="22"/>
  <c r="AX54" i="22"/>
  <c r="AT54" i="22"/>
  <c r="AP54" i="22"/>
  <c r="BD54" i="22"/>
  <c r="BC54" i="22"/>
  <c r="BL54" i="22" s="1"/>
  <c r="BB54" i="22"/>
  <c r="BA54" i="22"/>
  <c r="AY54" i="22"/>
  <c r="AW54" i="22"/>
  <c r="AV54" i="22"/>
  <c r="AU54" i="22"/>
  <c r="AS54" i="22"/>
  <c r="AR54" i="22"/>
  <c r="AQ54" i="22"/>
  <c r="BC53" i="22"/>
  <c r="AY53" i="22"/>
  <c r="BD53" i="22"/>
  <c r="AZ53" i="22"/>
  <c r="AX53" i="22"/>
  <c r="AW53" i="22"/>
  <c r="AV53" i="22"/>
  <c r="AU53" i="22"/>
  <c r="AT53" i="22"/>
  <c r="AR53" i="22"/>
  <c r="AW52" i="22"/>
  <c r="AS52" i="22"/>
  <c r="BD52" i="22"/>
  <c r="BC52" i="22"/>
  <c r="BL52" i="22" s="1"/>
  <c r="BB52" i="22"/>
  <c r="BA52" i="22"/>
  <c r="AX52" i="22"/>
  <c r="AV52" i="22"/>
  <c r="AU52" i="22"/>
  <c r="AT52" i="22"/>
  <c r="BJ52" i="22" s="1"/>
  <c r="AR52" i="22"/>
  <c r="BC51" i="22"/>
  <c r="BL51" i="22" s="1"/>
  <c r="AU51" i="22"/>
  <c r="BD51" i="22"/>
  <c r="BB51" i="22"/>
  <c r="BA51" i="22"/>
  <c r="AZ51" i="22"/>
  <c r="AY51" i="22"/>
  <c r="AX51" i="22"/>
  <c r="AW51" i="22"/>
  <c r="AV51" i="22"/>
  <c r="AT51" i="22"/>
  <c r="AS51" i="22"/>
  <c r="AR51" i="22"/>
  <c r="AQ51" i="22"/>
  <c r="AO51" i="22"/>
  <c r="BH51" i="22" s="1"/>
  <c r="BA50" i="22"/>
  <c r="AW50" i="22"/>
  <c r="BD50" i="22"/>
  <c r="BC50" i="22"/>
  <c r="AZ50" i="22"/>
  <c r="AY50" i="22"/>
  <c r="AV50" i="22"/>
  <c r="AU50" i="22"/>
  <c r="AT50" i="22"/>
  <c r="AR50" i="22"/>
  <c r="AY49" i="22"/>
  <c r="AU49" i="22"/>
  <c r="BD49" i="22"/>
  <c r="BC49" i="22"/>
  <c r="BL49" i="22" s="1"/>
  <c r="AZ49" i="22"/>
  <c r="AX49" i="22"/>
  <c r="AW49" i="22"/>
  <c r="AV49" i="22"/>
  <c r="AT49" i="22"/>
  <c r="AR49" i="22"/>
  <c r="BE48" i="22"/>
  <c r="AU48" i="22"/>
  <c r="BD48" i="22"/>
  <c r="BC48" i="22"/>
  <c r="BB48" i="22"/>
  <c r="BA48" i="22"/>
  <c r="AZ48" i="22"/>
  <c r="AY48" i="22"/>
  <c r="AX48" i="22"/>
  <c r="AW48" i="22"/>
  <c r="AV48" i="22"/>
  <c r="AT48" i="22"/>
  <c r="AS48" i="22"/>
  <c r="AR48" i="22"/>
  <c r="AQ48" i="22"/>
  <c r="AO48" i="22"/>
  <c r="AX47" i="22"/>
  <c r="BD47" i="22"/>
  <c r="BC47" i="22"/>
  <c r="BB47" i="22"/>
  <c r="BA47" i="22"/>
  <c r="AZ47" i="22"/>
  <c r="AY47" i="22"/>
  <c r="AW47" i="22"/>
  <c r="AU47" i="22"/>
  <c r="AR47" i="22"/>
  <c r="AP47" i="22"/>
  <c r="D47" i="22"/>
  <c r="AU46" i="22"/>
  <c r="BD46" i="22"/>
  <c r="BC46" i="22"/>
  <c r="BL46" i="22" s="1"/>
  <c r="BB46" i="22"/>
  <c r="BA46" i="22"/>
  <c r="AZ46" i="22"/>
  <c r="AY46" i="22"/>
  <c r="AX46" i="22"/>
  <c r="AW46" i="22"/>
  <c r="AV46" i="22"/>
  <c r="AT46" i="22"/>
  <c r="BJ46" i="22" s="1"/>
  <c r="AR46" i="22"/>
  <c r="D46" i="22"/>
  <c r="B46" i="22"/>
  <c r="B47" i="22" s="1"/>
  <c r="B49" i="22" s="1"/>
  <c r="B50" i="22" s="1"/>
  <c r="B51" i="22" s="1"/>
  <c r="B52" i="22" s="1"/>
  <c r="B53" i="22" s="1"/>
  <c r="B55" i="22" s="1"/>
  <c r="B56" i="22" s="1"/>
  <c r="B57" i="22" s="1"/>
  <c r="B58" i="22" s="1"/>
  <c r="B59" i="22" s="1"/>
  <c r="B60" i="22" s="1"/>
  <c r="B61" i="22" s="1"/>
  <c r="B62" i="22" s="1"/>
  <c r="B63" i="22" s="1"/>
  <c r="B64" i="22" s="1"/>
  <c r="B65" i="22" s="1"/>
  <c r="B66" i="22" s="1"/>
  <c r="B67" i="22" s="1"/>
  <c r="B68" i="22" s="1"/>
  <c r="B69" i="22" s="1"/>
  <c r="BD45" i="22"/>
  <c r="AV45" i="22"/>
  <c r="AS45" i="22"/>
  <c r="AR45" i="22"/>
  <c r="BC45" i="22"/>
  <c r="BB45" i="22"/>
  <c r="BA45" i="22"/>
  <c r="AZ45" i="22"/>
  <c r="AY45" i="22"/>
  <c r="AX45" i="22"/>
  <c r="AW45" i="22"/>
  <c r="AU45" i="22"/>
  <c r="AQ45" i="22"/>
  <c r="D45" i="22"/>
  <c r="B45" i="22"/>
  <c r="AV44" i="22"/>
  <c r="AT44" i="22"/>
  <c r="BD44" i="22"/>
  <c r="BC44" i="22"/>
  <c r="BB44" i="22"/>
  <c r="BA44" i="22"/>
  <c r="AZ44" i="22"/>
  <c r="AY44" i="22"/>
  <c r="AX44" i="22"/>
  <c r="AW44" i="22"/>
  <c r="AU44" i="22"/>
  <c r="AS44" i="22"/>
  <c r="AR44" i="22"/>
  <c r="AQ44" i="22"/>
  <c r="D44" i="22"/>
  <c r="B44" i="22"/>
  <c r="BB43" i="22"/>
  <c r="BA43" i="22"/>
  <c r="AT43" i="22"/>
  <c r="AS43" i="22"/>
  <c r="BD43" i="22"/>
  <c r="BC43" i="22"/>
  <c r="AZ43" i="22"/>
  <c r="AY43" i="22"/>
  <c r="AX43" i="22"/>
  <c r="AW43" i="22"/>
  <c r="AV43" i="22"/>
  <c r="AU43" i="22"/>
  <c r="AR43" i="22"/>
  <c r="AQ43" i="22"/>
  <c r="BE43" i="22"/>
  <c r="BB42" i="22"/>
  <c r="AZ42" i="22"/>
  <c r="AX42" i="22"/>
  <c r="AT42" i="22"/>
  <c r="AP42" i="22"/>
  <c r="AR42" i="22"/>
  <c r="BC41" i="22"/>
  <c r="BL41" i="22" s="1"/>
  <c r="AU41" i="22"/>
  <c r="AS41" i="22"/>
  <c r="BD41" i="22"/>
  <c r="BB41" i="22"/>
  <c r="BA41" i="22"/>
  <c r="AX41" i="22"/>
  <c r="AW41" i="22"/>
  <c r="AV41" i="22"/>
  <c r="AT41" i="22"/>
  <c r="AR41" i="22"/>
  <c r="AQ41" i="22"/>
  <c r="D41" i="22"/>
  <c r="BD40" i="22"/>
  <c r="AX40" i="22"/>
  <c r="AW40" i="22"/>
  <c r="AV40" i="22"/>
  <c r="BC40" i="22"/>
  <c r="BL40" i="22" s="1"/>
  <c r="BA40" i="22"/>
  <c r="AZ40" i="22"/>
  <c r="AY40" i="22"/>
  <c r="AU40" i="22"/>
  <c r="AT40" i="22"/>
  <c r="AP40" i="22"/>
  <c r="D40" i="22"/>
  <c r="B40" i="22"/>
  <c r="B41" i="22" s="1"/>
  <c r="BB39" i="22"/>
  <c r="BA39" i="22"/>
  <c r="AX39" i="22"/>
  <c r="BD39" i="22"/>
  <c r="BC39" i="22"/>
  <c r="AZ39" i="22"/>
  <c r="AY39" i="22"/>
  <c r="AW39" i="22"/>
  <c r="AV39" i="22"/>
  <c r="AU39" i="22"/>
  <c r="AT39" i="22"/>
  <c r="AP39" i="22"/>
  <c r="D39" i="22"/>
  <c r="BE38" i="22"/>
  <c r="BB38" i="22"/>
  <c r="BA38" i="22"/>
  <c r="AZ38" i="22"/>
  <c r="AV38" i="22"/>
  <c r="AT38" i="22"/>
  <c r="AR38" i="22"/>
  <c r="BD38" i="22"/>
  <c r="BC38" i="22"/>
  <c r="AY38" i="22"/>
  <c r="AX38" i="22"/>
  <c r="AW38" i="22"/>
  <c r="AU38" i="22"/>
  <c r="AS38" i="22"/>
  <c r="AQ38" i="22"/>
  <c r="AO38" i="22"/>
  <c r="AV37" i="22"/>
  <c r="AR37" i="22"/>
  <c r="BD37" i="22"/>
  <c r="BC37" i="22"/>
  <c r="BB37" i="22"/>
  <c r="BA37" i="22"/>
  <c r="AZ37" i="22"/>
  <c r="AY37" i="22"/>
  <c r="AX37" i="22"/>
  <c r="AW37" i="22"/>
  <c r="AU37" i="22"/>
  <c r="AS37" i="22"/>
  <c r="AQ37" i="22"/>
  <c r="D37" i="22"/>
  <c r="AV36" i="22"/>
  <c r="AR36" i="22"/>
  <c r="BD36" i="22"/>
  <c r="BC36" i="22"/>
  <c r="BB36" i="22"/>
  <c r="BA36" i="22"/>
  <c r="AZ36" i="22"/>
  <c r="AY36" i="22"/>
  <c r="AX36" i="22"/>
  <c r="AW36" i="22"/>
  <c r="AU36" i="22"/>
  <c r="D36" i="22"/>
  <c r="BC35" i="22"/>
  <c r="BD35" i="22"/>
  <c r="BB35" i="22"/>
  <c r="BA35" i="22"/>
  <c r="AZ35" i="22"/>
  <c r="AY35" i="22"/>
  <c r="AX35" i="22"/>
  <c r="AW35" i="22"/>
  <c r="AV35" i="22"/>
  <c r="AU35" i="22"/>
  <c r="AT35" i="22"/>
  <c r="AR35" i="22"/>
  <c r="D35" i="22"/>
  <c r="B35" i="22"/>
  <c r="B36" i="22" s="1"/>
  <c r="B37" i="22" s="1"/>
  <c r="B39" i="22" s="1"/>
  <c r="BB34" i="22"/>
  <c r="AX34" i="22"/>
  <c r="BD34" i="22"/>
  <c r="BC34" i="22"/>
  <c r="BA34" i="22"/>
  <c r="AZ34" i="22"/>
  <c r="AY34" i="22"/>
  <c r="AW34" i="22"/>
  <c r="AV34" i="22"/>
  <c r="AU34" i="22"/>
  <c r="AS34" i="22"/>
  <c r="AR34" i="22"/>
  <c r="AQ34" i="22"/>
  <c r="D34" i="22"/>
  <c r="BC33" i="22"/>
  <c r="BL33" i="22" s="1"/>
  <c r="AQ33" i="22"/>
  <c r="BD33" i="22"/>
  <c r="BB33" i="22"/>
  <c r="BA33" i="22"/>
  <c r="AZ33" i="22"/>
  <c r="AY33" i="22"/>
  <c r="AX33" i="22"/>
  <c r="AW33" i="22"/>
  <c r="AV33" i="22"/>
  <c r="AU33" i="22"/>
  <c r="AT33" i="22"/>
  <c r="AS33" i="22"/>
  <c r="AR33" i="22"/>
  <c r="D33" i="22"/>
  <c r="B33" i="22"/>
  <c r="B34" i="22" s="1"/>
  <c r="AP32" i="22"/>
  <c r="BD32" i="22"/>
  <c r="BC32" i="22"/>
  <c r="BB32" i="22"/>
  <c r="BA32" i="22"/>
  <c r="AZ32" i="22"/>
  <c r="AY32" i="22"/>
  <c r="AX32" i="22"/>
  <c r="AW32" i="22"/>
  <c r="AV32" i="22"/>
  <c r="AU32" i="22"/>
  <c r="BF32" i="22"/>
  <c r="BO32" i="22" s="1"/>
  <c r="AS32" i="22"/>
  <c r="AR32" i="22"/>
  <c r="AQ32" i="22"/>
  <c r="BE32" i="22"/>
  <c r="BD31" i="22"/>
  <c r="BC31" i="22"/>
  <c r="BB31" i="22"/>
  <c r="BA31" i="22"/>
  <c r="AZ31" i="22"/>
  <c r="AY31" i="22"/>
  <c r="AX31" i="22"/>
  <c r="AW31" i="22"/>
  <c r="AV31" i="22"/>
  <c r="AU31" i="22"/>
  <c r="AT31" i="22"/>
  <c r="AS31" i="22"/>
  <c r="AR31" i="22"/>
  <c r="AQ31" i="22"/>
  <c r="D31" i="22"/>
  <c r="B31" i="22"/>
  <c r="BD30" i="22"/>
  <c r="BC30" i="22"/>
  <c r="BL30" i="22" s="1"/>
  <c r="BB30" i="22"/>
  <c r="BA30" i="22"/>
  <c r="AZ30" i="22"/>
  <c r="AY30" i="22"/>
  <c r="AX30" i="22"/>
  <c r="AW30" i="22"/>
  <c r="AV30" i="22"/>
  <c r="AU30" i="22"/>
  <c r="AT30" i="22"/>
  <c r="AS30" i="22"/>
  <c r="AR30" i="22"/>
  <c r="AQ30" i="22"/>
  <c r="H30" i="24"/>
  <c r="D30" i="22"/>
  <c r="BB29" i="22"/>
  <c r="AT29" i="22"/>
  <c r="BD29" i="22"/>
  <c r="BC29" i="22"/>
  <c r="BA29" i="22"/>
  <c r="AZ29" i="22"/>
  <c r="AY29" i="22"/>
  <c r="AX29" i="22"/>
  <c r="AW29" i="22"/>
  <c r="AV29" i="22"/>
  <c r="AU29" i="22"/>
  <c r="AS29" i="22"/>
  <c r="AR29" i="22"/>
  <c r="AQ29" i="22"/>
  <c r="BF29" i="22"/>
  <c r="BO29" i="22" s="1"/>
  <c r="BC28" i="22"/>
  <c r="AU28" i="22"/>
  <c r="AQ28" i="22"/>
  <c r="AJ132" i="22"/>
  <c r="AY27" i="22"/>
  <c r="BD27" i="22"/>
  <c r="BC27" i="22"/>
  <c r="BB27" i="22"/>
  <c r="BA27" i="22"/>
  <c r="AZ27" i="22"/>
  <c r="AX27" i="22"/>
  <c r="AT27" i="22"/>
  <c r="D27" i="22"/>
  <c r="BA26" i="22"/>
  <c r="AW26" i="22"/>
  <c r="BD26" i="22"/>
  <c r="BC26" i="22"/>
  <c r="BB26" i="22"/>
  <c r="AZ26" i="22"/>
  <c r="AY26" i="22"/>
  <c r="AX26" i="22"/>
  <c r="AV26" i="22"/>
  <c r="AU26" i="22"/>
  <c r="AT26" i="22"/>
  <c r="D26" i="22"/>
  <c r="AZ25" i="22"/>
  <c r="BD25" i="22"/>
  <c r="BB25" i="22"/>
  <c r="BA25" i="22"/>
  <c r="AY25" i="22"/>
  <c r="AX25" i="22"/>
  <c r="AT25" i="22"/>
  <c r="AP24" i="22"/>
  <c r="BD24" i="22"/>
  <c r="BB24" i="22"/>
  <c r="BA24" i="22"/>
  <c r="AZ24" i="22"/>
  <c r="AY24" i="22"/>
  <c r="AX24" i="22"/>
  <c r="AW24" i="22"/>
  <c r="AV24" i="22"/>
  <c r="AU24" i="22"/>
  <c r="BD23" i="22"/>
  <c r="BC23" i="22"/>
  <c r="BB23" i="22"/>
  <c r="BA23" i="22"/>
  <c r="AZ23" i="22"/>
  <c r="AY23" i="22"/>
  <c r="AX23" i="22"/>
  <c r="AT23" i="22"/>
  <c r="B23" i="22"/>
  <c r="B24" i="22" s="1"/>
  <c r="B25" i="22" s="1"/>
  <c r="B26" i="22" s="1"/>
  <c r="B27" i="22" s="1"/>
  <c r="AT22" i="22"/>
  <c r="BD22" i="22"/>
  <c r="BC22" i="22"/>
  <c r="BB22" i="22"/>
  <c r="BA22" i="22"/>
  <c r="AZ22" i="22"/>
  <c r="AY22" i="22"/>
  <c r="AX22" i="22"/>
  <c r="AW22" i="22"/>
  <c r="AV22" i="22"/>
  <c r="AU22" i="22"/>
  <c r="AZ21" i="22"/>
  <c r="BD21" i="22"/>
  <c r="BC21" i="22"/>
  <c r="BB21" i="22"/>
  <c r="BA21" i="22"/>
  <c r="AY21" i="22"/>
  <c r="AX21" i="22"/>
  <c r="AT21" i="22"/>
  <c r="AS21" i="22"/>
  <c r="AR21" i="22"/>
  <c r="AQ21" i="22"/>
  <c r="B21" i="22"/>
  <c r="B22" i="22" s="1"/>
  <c r="BC20" i="22"/>
  <c r="AQ20" i="22"/>
  <c r="BD20" i="22"/>
  <c r="BB20" i="22"/>
  <c r="BA20" i="22"/>
  <c r="AZ20" i="22"/>
  <c r="AY20" i="22"/>
  <c r="AX20" i="22"/>
  <c r="AW20" i="22"/>
  <c r="AV20" i="22"/>
  <c r="AU20" i="22"/>
  <c r="AT20" i="22"/>
  <c r="AS20" i="22"/>
  <c r="AR20" i="22"/>
  <c r="BE20" i="22"/>
  <c r="AZ19" i="22"/>
  <c r="AV19" i="22"/>
  <c r="AR19" i="22"/>
  <c r="BD19" i="22"/>
  <c r="BC19" i="22"/>
  <c r="BB19" i="22"/>
  <c r="BA19" i="22"/>
  <c r="AY19" i="22"/>
  <c r="AX19" i="22"/>
  <c r="AW19" i="22"/>
  <c r="AU19" i="22"/>
  <c r="AS19" i="22"/>
  <c r="AQ19" i="22"/>
  <c r="B19" i="22"/>
  <c r="AZ18" i="22"/>
  <c r="BD18" i="22"/>
  <c r="BC18" i="22"/>
  <c r="BB18" i="22"/>
  <c r="BA18" i="22"/>
  <c r="AY18" i="22"/>
  <c r="AX18" i="22"/>
  <c r="AW18" i="22"/>
  <c r="AV18" i="22"/>
  <c r="AU18" i="22"/>
  <c r="AT18" i="22"/>
  <c r="AS18" i="22"/>
  <c r="AR18" i="22"/>
  <c r="AQ18" i="22"/>
  <c r="BE17" i="22"/>
  <c r="AS17" i="22"/>
  <c r="BD17" i="22"/>
  <c r="BC17" i="22"/>
  <c r="BB17" i="22"/>
  <c r="BA17" i="22"/>
  <c r="AZ17" i="22"/>
  <c r="AY17" i="22"/>
  <c r="AX17" i="22"/>
  <c r="AW17" i="22"/>
  <c r="AV17" i="22"/>
  <c r="AU17" i="22"/>
  <c r="AT17" i="22"/>
  <c r="AR17" i="22"/>
  <c r="AQ17" i="22"/>
  <c r="BF17" i="22"/>
  <c r="AO17" i="22"/>
  <c r="BB16" i="22"/>
  <c r="AX16" i="22"/>
  <c r="AP16" i="22"/>
  <c r="AT16" i="22"/>
  <c r="BC11" i="22"/>
  <c r="AX11" i="22"/>
  <c r="AO11" i="22"/>
  <c r="AL11" i="22"/>
  <c r="AJ11" i="22"/>
  <c r="AG11" i="22"/>
  <c r="Y11" i="22"/>
  <c r="BA11" i="22"/>
  <c r="BE7" i="22"/>
  <c r="B7" i="22"/>
  <c r="B1" i="22"/>
  <c r="BQ139" i="21"/>
  <c r="BQ138" i="21"/>
  <c r="BQ136" i="21"/>
  <c r="BQ135" i="21"/>
  <c r="BQ134" i="21"/>
  <c r="BQ133" i="21"/>
  <c r="BQ132" i="21"/>
  <c r="BQ131" i="21"/>
  <c r="BD129" i="21"/>
  <c r="BC129" i="21"/>
  <c r="BL129" i="21" s="1"/>
  <c r="AZ129" i="21"/>
  <c r="AY129" i="21"/>
  <c r="AX129" i="21"/>
  <c r="AW129" i="21"/>
  <c r="AV129" i="21"/>
  <c r="AU129" i="21"/>
  <c r="AT129" i="21"/>
  <c r="AS129" i="21"/>
  <c r="AR129" i="21"/>
  <c r="AQ129" i="21"/>
  <c r="AU128" i="21"/>
  <c r="BD128" i="21"/>
  <c r="BC128" i="21"/>
  <c r="AZ128" i="21"/>
  <c r="AY128" i="21"/>
  <c r="AX128" i="21"/>
  <c r="AW128" i="21"/>
  <c r="AV128" i="21"/>
  <c r="AT128" i="21"/>
  <c r="AS128" i="21"/>
  <c r="AR128" i="21"/>
  <c r="AQ128" i="21"/>
  <c r="BD127" i="21"/>
  <c r="BC127" i="21"/>
  <c r="AZ127" i="21"/>
  <c r="AY127" i="21"/>
  <c r="AX127" i="21"/>
  <c r="AW127" i="21"/>
  <c r="AV127" i="21"/>
  <c r="AU127" i="21"/>
  <c r="AT127" i="21"/>
  <c r="AS127" i="21"/>
  <c r="AR127" i="21"/>
  <c r="AQ127" i="21"/>
  <c r="AY126" i="21"/>
  <c r="BD126" i="21"/>
  <c r="BC126" i="21"/>
  <c r="AZ126" i="21"/>
  <c r="AX126" i="21"/>
  <c r="AW126" i="21"/>
  <c r="AV126" i="21"/>
  <c r="AU126" i="21"/>
  <c r="AT126" i="21"/>
  <c r="AS126" i="21"/>
  <c r="AR126" i="21"/>
  <c r="AQ126" i="21"/>
  <c r="AW125" i="21"/>
  <c r="AS125" i="21"/>
  <c r="BD125" i="21"/>
  <c r="BC125" i="21"/>
  <c r="BL125" i="21" s="1"/>
  <c r="AZ125" i="21"/>
  <c r="AY125" i="21"/>
  <c r="AX125" i="21"/>
  <c r="AV125" i="21"/>
  <c r="AU125" i="21"/>
  <c r="BJ125" i="21" s="1"/>
  <c r="AT125" i="21"/>
  <c r="AR125" i="21"/>
  <c r="AQ125" i="21"/>
  <c r="BC124" i="21"/>
  <c r="BD124" i="21"/>
  <c r="AZ124" i="21"/>
  <c r="AY124" i="21"/>
  <c r="AX124" i="21"/>
  <c r="AW124" i="21"/>
  <c r="AV124" i="21"/>
  <c r="AU124" i="21"/>
  <c r="AT124" i="21"/>
  <c r="AS124" i="21"/>
  <c r="AR124" i="21"/>
  <c r="AQ124" i="21"/>
  <c r="AW123" i="21"/>
  <c r="AS123" i="21"/>
  <c r="BD123" i="21"/>
  <c r="BC123" i="21"/>
  <c r="AZ123" i="21"/>
  <c r="AY123" i="21"/>
  <c r="AX123" i="21"/>
  <c r="AV123" i="21"/>
  <c r="AU123" i="21"/>
  <c r="AT123" i="21"/>
  <c r="AR123" i="21"/>
  <c r="AQ123" i="21"/>
  <c r="BF123" i="21"/>
  <c r="BC122" i="21"/>
  <c r="AU122" i="21"/>
  <c r="AQ122" i="21"/>
  <c r="BD122" i="21"/>
  <c r="AZ122" i="21"/>
  <c r="AY122" i="21"/>
  <c r="AX122" i="21"/>
  <c r="AW122" i="21"/>
  <c r="AV122" i="21"/>
  <c r="AT122" i="21"/>
  <c r="AS122" i="21"/>
  <c r="AR122" i="21"/>
  <c r="BF122" i="21"/>
  <c r="AW121" i="21"/>
  <c r="BD121" i="21"/>
  <c r="BC121" i="21"/>
  <c r="AZ121" i="21"/>
  <c r="AY121" i="21"/>
  <c r="AX121" i="21"/>
  <c r="AV121" i="21"/>
  <c r="AU121" i="21"/>
  <c r="AT121" i="21"/>
  <c r="AS121" i="21"/>
  <c r="AR121" i="21"/>
  <c r="AQ121" i="21"/>
  <c r="AU120" i="21"/>
  <c r="AQ120" i="21"/>
  <c r="BD120" i="21"/>
  <c r="BC120" i="21"/>
  <c r="BB120" i="21"/>
  <c r="BA120" i="21"/>
  <c r="AZ120" i="21"/>
  <c r="AY120" i="21"/>
  <c r="AX120" i="21"/>
  <c r="AW120" i="21"/>
  <c r="AV120" i="21"/>
  <c r="AT120" i="21"/>
  <c r="AS120" i="21"/>
  <c r="AR120" i="21"/>
  <c r="BF120" i="21"/>
  <c r="BO120" i="21" s="1"/>
  <c r="AZ119" i="21"/>
  <c r="BD119" i="21"/>
  <c r="BC119" i="21"/>
  <c r="AY119" i="21"/>
  <c r="AX119" i="21"/>
  <c r="AW119" i="21"/>
  <c r="AV119" i="21"/>
  <c r="AU119" i="21"/>
  <c r="AT119" i="21"/>
  <c r="AS119" i="21"/>
  <c r="AR119" i="21"/>
  <c r="AQ119" i="21"/>
  <c r="AX118" i="21"/>
  <c r="BD118" i="21"/>
  <c r="BC118" i="21"/>
  <c r="AZ118" i="21"/>
  <c r="AY118" i="21"/>
  <c r="AW118" i="21"/>
  <c r="AV118" i="21"/>
  <c r="AU118" i="21"/>
  <c r="AT118" i="21"/>
  <c r="AS118" i="21"/>
  <c r="AR118" i="21"/>
  <c r="AQ118" i="21"/>
  <c r="BF118" i="21"/>
  <c r="AV117" i="21"/>
  <c r="AR117" i="21"/>
  <c r="BD117" i="21"/>
  <c r="BC117" i="21"/>
  <c r="AZ117" i="21"/>
  <c r="AY117" i="21"/>
  <c r="AX117" i="21"/>
  <c r="AW117" i="21"/>
  <c r="AU117" i="21"/>
  <c r="AT117" i="21"/>
  <c r="AS117" i="21"/>
  <c r="AQ117" i="21"/>
  <c r="BF117" i="21"/>
  <c r="BF116" i="21"/>
  <c r="BO116" i="21" s="1"/>
  <c r="AX116" i="21"/>
  <c r="AP116" i="21"/>
  <c r="BD116" i="21"/>
  <c r="BC116" i="21"/>
  <c r="BB116" i="21"/>
  <c r="BA116" i="21"/>
  <c r="AZ116" i="21"/>
  <c r="AY116" i="21"/>
  <c r="AW116" i="21"/>
  <c r="AV116" i="21"/>
  <c r="AU116" i="21"/>
  <c r="AT116" i="21"/>
  <c r="AS116" i="21"/>
  <c r="AR116" i="21"/>
  <c r="AQ116" i="21"/>
  <c r="BD115" i="21"/>
  <c r="AZ115" i="21"/>
  <c r="AV115" i="21"/>
  <c r="AR115" i="21"/>
  <c r="BC115" i="21"/>
  <c r="BB115" i="21"/>
  <c r="BA115" i="21"/>
  <c r="AY115" i="21"/>
  <c r="AX115" i="21"/>
  <c r="AW115" i="21"/>
  <c r="AU115" i="21"/>
  <c r="AT115" i="21"/>
  <c r="AS115" i="21"/>
  <c r="AQ115" i="21"/>
  <c r="BF115" i="21"/>
  <c r="BO115" i="21" s="1"/>
  <c r="BD114" i="21"/>
  <c r="BC114" i="21"/>
  <c r="AZ114" i="21"/>
  <c r="AY114" i="21"/>
  <c r="AX114" i="21"/>
  <c r="AW114" i="21"/>
  <c r="AV114" i="21"/>
  <c r="AU114" i="21"/>
  <c r="AT114" i="21"/>
  <c r="AS114" i="21"/>
  <c r="AR114" i="21"/>
  <c r="AQ114" i="21"/>
  <c r="BD113" i="21"/>
  <c r="BC113" i="21"/>
  <c r="AZ113" i="21"/>
  <c r="AY113" i="21"/>
  <c r="AX113" i="21"/>
  <c r="AW113" i="21"/>
  <c r="AV113" i="21"/>
  <c r="AU113" i="21"/>
  <c r="AT113" i="21"/>
  <c r="AS113" i="21"/>
  <c r="AR113" i="21"/>
  <c r="AQ113" i="21"/>
  <c r="AS112" i="21"/>
  <c r="BD112" i="21"/>
  <c r="BC112" i="21"/>
  <c r="AZ112" i="21"/>
  <c r="AY112" i="21"/>
  <c r="AX112" i="21"/>
  <c r="AW112" i="21"/>
  <c r="AV112" i="21"/>
  <c r="AU112" i="21"/>
  <c r="AT112" i="21"/>
  <c r="AR112" i="21"/>
  <c r="AQ112" i="21"/>
  <c r="BF112" i="21"/>
  <c r="BC111" i="21"/>
  <c r="AQ111" i="21"/>
  <c r="BD111" i="21"/>
  <c r="AZ111" i="21"/>
  <c r="AY111" i="21"/>
  <c r="AX111" i="21"/>
  <c r="AW111" i="21"/>
  <c r="AV111" i="21"/>
  <c r="AU111" i="21"/>
  <c r="AT111" i="21"/>
  <c r="AS111" i="21"/>
  <c r="AR111" i="21"/>
  <c r="AW110" i="21"/>
  <c r="AS110" i="21"/>
  <c r="BD110" i="21"/>
  <c r="BC110" i="21"/>
  <c r="AZ110" i="21"/>
  <c r="AY110" i="21"/>
  <c r="AX110" i="21"/>
  <c r="AV110" i="21"/>
  <c r="AU110" i="21"/>
  <c r="AT110" i="21"/>
  <c r="AR110" i="21"/>
  <c r="AQ110" i="21"/>
  <c r="BF110" i="21"/>
  <c r="BC109" i="21"/>
  <c r="AU109" i="21"/>
  <c r="AQ109" i="21"/>
  <c r="BD109" i="21"/>
  <c r="AZ109" i="21"/>
  <c r="AY109" i="21"/>
  <c r="AX109" i="21"/>
  <c r="AW109" i="21"/>
  <c r="AV109" i="21"/>
  <c r="AT109" i="21"/>
  <c r="AS109" i="21"/>
  <c r="AR109" i="21"/>
  <c r="BF109" i="21"/>
  <c r="BD108" i="21"/>
  <c r="BC108" i="21"/>
  <c r="AZ108" i="21"/>
  <c r="AY108" i="21"/>
  <c r="AX108" i="21"/>
  <c r="AW108" i="21"/>
  <c r="AV108" i="21"/>
  <c r="AU108" i="21"/>
  <c r="AT108" i="21"/>
  <c r="AS108" i="21"/>
  <c r="AR108" i="21"/>
  <c r="AQ108" i="21"/>
  <c r="AU107" i="21"/>
  <c r="BD107" i="21"/>
  <c r="BC107" i="21"/>
  <c r="BL107" i="21" s="1"/>
  <c r="AZ107" i="21"/>
  <c r="AY107" i="21"/>
  <c r="AX107" i="21"/>
  <c r="AW107" i="21"/>
  <c r="AV107" i="21"/>
  <c r="AT107" i="21"/>
  <c r="AS107" i="21"/>
  <c r="AR107" i="21"/>
  <c r="AQ107" i="21"/>
  <c r="BD106" i="21"/>
  <c r="BC106" i="21"/>
  <c r="AZ106" i="21"/>
  <c r="AY106" i="21"/>
  <c r="AX106" i="21"/>
  <c r="AW106" i="21"/>
  <c r="AV106" i="21"/>
  <c r="AU106" i="21"/>
  <c r="AT106" i="21"/>
  <c r="AS106" i="21"/>
  <c r="AR106" i="21"/>
  <c r="AQ106" i="21"/>
  <c r="BD105" i="21"/>
  <c r="BC105" i="21"/>
  <c r="AZ105" i="21"/>
  <c r="AY105" i="21"/>
  <c r="AX105" i="21"/>
  <c r="AW105" i="21"/>
  <c r="AV105" i="21"/>
  <c r="AU105" i="21"/>
  <c r="AT105" i="21"/>
  <c r="AS105" i="21"/>
  <c r="AR105" i="21"/>
  <c r="AQ105" i="21"/>
  <c r="AW104" i="21"/>
  <c r="AS104" i="21"/>
  <c r="BD104" i="21"/>
  <c r="BC104" i="21"/>
  <c r="BB104" i="21"/>
  <c r="BA104" i="21"/>
  <c r="AZ104" i="21"/>
  <c r="AY104" i="21"/>
  <c r="AX104" i="21"/>
  <c r="AV104" i="21"/>
  <c r="AU104" i="21"/>
  <c r="AT104" i="21"/>
  <c r="AR104" i="21"/>
  <c r="AQ104" i="21"/>
  <c r="AX103" i="21"/>
  <c r="AT103" i="21"/>
  <c r="BD103" i="21"/>
  <c r="BC103" i="21"/>
  <c r="AZ103" i="21"/>
  <c r="AY103" i="21"/>
  <c r="AW103" i="21"/>
  <c r="AV103" i="21"/>
  <c r="AU103" i="21"/>
  <c r="AS103" i="21"/>
  <c r="AR103" i="21"/>
  <c r="AQ103" i="21"/>
  <c r="BF103" i="21"/>
  <c r="BD102" i="21"/>
  <c r="AZ102" i="21"/>
  <c r="AV102" i="21"/>
  <c r="AR102" i="21"/>
  <c r="BC102" i="21"/>
  <c r="BL102" i="21" s="1"/>
  <c r="AY102" i="21"/>
  <c r="AX102" i="21"/>
  <c r="AW102" i="21"/>
  <c r="AU102" i="21"/>
  <c r="AT102" i="21"/>
  <c r="AS102" i="21"/>
  <c r="AQ102" i="21"/>
  <c r="BF102" i="21"/>
  <c r="AP101" i="21"/>
  <c r="BD101" i="21"/>
  <c r="BC101" i="21"/>
  <c r="BB101" i="21"/>
  <c r="BA101" i="21"/>
  <c r="AZ101" i="21"/>
  <c r="AY101" i="21"/>
  <c r="AX101" i="21"/>
  <c r="AW101" i="21"/>
  <c r="AV101" i="21"/>
  <c r="AU101" i="21"/>
  <c r="BF101" i="21"/>
  <c r="AS101" i="21"/>
  <c r="AR101" i="21"/>
  <c r="AQ101" i="21"/>
  <c r="BD100" i="21"/>
  <c r="AV100" i="21"/>
  <c r="BC100" i="21"/>
  <c r="AZ100" i="21"/>
  <c r="AY100" i="21"/>
  <c r="AX100" i="21"/>
  <c r="AW100" i="21"/>
  <c r="AU100" i="21"/>
  <c r="AT100" i="21"/>
  <c r="AS100" i="21"/>
  <c r="AR100" i="21"/>
  <c r="AQ100" i="21"/>
  <c r="AT99" i="21"/>
  <c r="BD99" i="21"/>
  <c r="BC99" i="21"/>
  <c r="AZ99" i="21"/>
  <c r="AY99" i="21"/>
  <c r="AX99" i="21"/>
  <c r="AW99" i="21"/>
  <c r="AV99" i="21"/>
  <c r="AU99" i="21"/>
  <c r="AS99" i="21"/>
  <c r="AR99" i="21"/>
  <c r="AQ99" i="21"/>
  <c r="BF99" i="21"/>
  <c r="BD98" i="21"/>
  <c r="BC98" i="21"/>
  <c r="AZ98" i="21"/>
  <c r="AY98" i="21"/>
  <c r="AX98" i="21"/>
  <c r="AW98" i="21"/>
  <c r="AV98" i="21"/>
  <c r="AU98" i="21"/>
  <c r="AT98" i="21"/>
  <c r="AS98" i="21"/>
  <c r="AR98" i="21"/>
  <c r="AQ98" i="21"/>
  <c r="AT97" i="21"/>
  <c r="BD97" i="21"/>
  <c r="BC97" i="21"/>
  <c r="AZ97" i="21"/>
  <c r="AY97" i="21"/>
  <c r="AX97" i="21"/>
  <c r="AW97" i="21"/>
  <c r="AV97" i="21"/>
  <c r="AU97" i="21"/>
  <c r="AS97" i="21"/>
  <c r="AR97" i="21"/>
  <c r="AQ97" i="21"/>
  <c r="BF97" i="21"/>
  <c r="B97" i="21"/>
  <c r="B98" i="21" s="1"/>
  <c r="B99" i="21" s="1"/>
  <c r="B100" i="21" s="1"/>
  <c r="B101" i="21" s="1"/>
  <c r="B102" i="21" s="1"/>
  <c r="B103" i="21" s="1"/>
  <c r="B105" i="21" s="1"/>
  <c r="B106" i="21" s="1"/>
  <c r="B107" i="21" s="1"/>
  <c r="B108" i="21" s="1"/>
  <c r="B109" i="21" s="1"/>
  <c r="B110" i="21" s="1"/>
  <c r="B111" i="21" s="1"/>
  <c r="B112" i="21" s="1"/>
  <c r="B113" i="21" s="1"/>
  <c r="B114" i="21" s="1"/>
  <c r="B116" i="21" s="1"/>
  <c r="B117" i="21" s="1"/>
  <c r="B118" i="21" s="1"/>
  <c r="B119" i="21" s="1"/>
  <c r="B121" i="21" s="1"/>
  <c r="B122" i="21" s="1"/>
  <c r="B123" i="21" s="1"/>
  <c r="B124" i="21" s="1"/>
  <c r="B125" i="21" s="1"/>
  <c r="B126" i="21" s="1"/>
  <c r="B127" i="21" s="1"/>
  <c r="B128" i="21" s="1"/>
  <c r="B129" i="21" s="1"/>
  <c r="AZ96" i="21"/>
  <c r="AV96" i="21"/>
  <c r="AR96" i="21"/>
  <c r="BC96" i="21"/>
  <c r="BB96" i="21"/>
  <c r="BA96" i="21"/>
  <c r="AI135" i="21"/>
  <c r="AY96" i="21"/>
  <c r="AX96" i="21"/>
  <c r="AW96" i="21"/>
  <c r="AU96" i="21"/>
  <c r="AT96" i="21"/>
  <c r="AS96" i="21"/>
  <c r="AA135" i="21"/>
  <c r="AQ96" i="21"/>
  <c r="BF96" i="21"/>
  <c r="BO96" i="21" s="1"/>
  <c r="BA95" i="21"/>
  <c r="BD95" i="21"/>
  <c r="BC95" i="21"/>
  <c r="BB95" i="21"/>
  <c r="AZ95" i="21"/>
  <c r="AY95" i="21"/>
  <c r="AX95" i="21"/>
  <c r="AW95" i="21"/>
  <c r="AV95" i="21"/>
  <c r="AU95" i="21"/>
  <c r="AT95" i="21"/>
  <c r="AS95" i="21"/>
  <c r="AR95" i="21"/>
  <c r="AQ95" i="21"/>
  <c r="BB94" i="21"/>
  <c r="AT94" i="21"/>
  <c r="BD94" i="21"/>
  <c r="AL135" i="21"/>
  <c r="BA94" i="21"/>
  <c r="AZ94" i="21"/>
  <c r="AV94" i="21"/>
  <c r="AD135" i="21"/>
  <c r="AS94" i="21"/>
  <c r="AR94" i="21"/>
  <c r="AP94" i="21"/>
  <c r="BC93" i="21"/>
  <c r="BL93" i="21" s="1"/>
  <c r="AU93" i="21"/>
  <c r="AQ93" i="21"/>
  <c r="BD93" i="21"/>
  <c r="BB93" i="21"/>
  <c r="BA93" i="21"/>
  <c r="AZ93" i="21"/>
  <c r="AY93" i="21"/>
  <c r="AX93" i="21"/>
  <c r="AW93" i="21"/>
  <c r="AV93" i="21"/>
  <c r="AT93" i="21"/>
  <c r="AS93" i="21"/>
  <c r="AR93" i="21"/>
  <c r="BF93" i="21"/>
  <c r="BO93" i="21" s="1"/>
  <c r="BA92" i="21"/>
  <c r="BD92" i="21"/>
  <c r="BC92" i="21"/>
  <c r="BB92" i="21"/>
  <c r="AZ92" i="21"/>
  <c r="AY92" i="21"/>
  <c r="AX92" i="21"/>
  <c r="AW92" i="21"/>
  <c r="AV92" i="21"/>
  <c r="AU92" i="21"/>
  <c r="AT92" i="21"/>
  <c r="AS92" i="21"/>
  <c r="AR92" i="21"/>
  <c r="AQ92" i="21"/>
  <c r="AO92" i="21"/>
  <c r="BH92" i="21" s="1"/>
  <c r="AU91" i="21"/>
  <c r="AQ91" i="21"/>
  <c r="BD91" i="21"/>
  <c r="BC91" i="21"/>
  <c r="BB91" i="21"/>
  <c r="BA91" i="21"/>
  <c r="AZ91" i="21"/>
  <c r="AY91" i="21"/>
  <c r="AX91" i="21"/>
  <c r="AW91" i="21"/>
  <c r="AV91" i="21"/>
  <c r="AT91" i="21"/>
  <c r="AS91" i="21"/>
  <c r="AR91" i="21"/>
  <c r="BF91" i="21"/>
  <c r="BO91" i="21" s="1"/>
  <c r="BA90" i="21"/>
  <c r="BD90" i="21"/>
  <c r="BC90" i="21"/>
  <c r="BB90" i="21"/>
  <c r="AZ90" i="21"/>
  <c r="AY90" i="21"/>
  <c r="AX90" i="21"/>
  <c r="AW90" i="21"/>
  <c r="AV90" i="21"/>
  <c r="AU90" i="21"/>
  <c r="AT90" i="21"/>
  <c r="AS90" i="21"/>
  <c r="AR90" i="21"/>
  <c r="AQ90" i="21"/>
  <c r="BD89" i="21"/>
  <c r="BC89" i="21"/>
  <c r="BL89" i="21" s="1"/>
  <c r="BB89" i="21"/>
  <c r="BA89" i="21"/>
  <c r="AZ89" i="21"/>
  <c r="AY89" i="21"/>
  <c r="AX89" i="21"/>
  <c r="AW89" i="21"/>
  <c r="AV89" i="21"/>
  <c r="AU89" i="21"/>
  <c r="AT89" i="21"/>
  <c r="AS89" i="21"/>
  <c r="AR89" i="21"/>
  <c r="AQ89" i="21"/>
  <c r="BF89" i="21"/>
  <c r="BO89" i="21" s="1"/>
  <c r="AS88" i="21"/>
  <c r="BD88" i="21"/>
  <c r="BC88" i="21"/>
  <c r="BL88" i="21" s="1"/>
  <c r="BB88" i="21"/>
  <c r="BA88" i="21"/>
  <c r="AZ88" i="21"/>
  <c r="AY88" i="21"/>
  <c r="AX88" i="21"/>
  <c r="AW88" i="21"/>
  <c r="AV88" i="21"/>
  <c r="AU88" i="21"/>
  <c r="AT88" i="21"/>
  <c r="AR88" i="21"/>
  <c r="AQ88" i="21"/>
  <c r="BD87" i="21"/>
  <c r="BC87" i="21"/>
  <c r="BL87" i="21" s="1"/>
  <c r="AZ87" i="21"/>
  <c r="AY87" i="21"/>
  <c r="AX87" i="21"/>
  <c r="AW87" i="21"/>
  <c r="AV87" i="21"/>
  <c r="AU87" i="21"/>
  <c r="AT87" i="21"/>
  <c r="AR87" i="21"/>
  <c r="AX86" i="21"/>
  <c r="AP86" i="21"/>
  <c r="BD86" i="21"/>
  <c r="BC86" i="21"/>
  <c r="AZ86" i="21"/>
  <c r="AY86" i="21"/>
  <c r="AW86" i="21"/>
  <c r="AV86" i="21"/>
  <c r="AU86" i="21"/>
  <c r="AT86" i="21"/>
  <c r="AR86" i="21"/>
  <c r="BD85" i="21"/>
  <c r="BC85" i="21"/>
  <c r="AZ85" i="21"/>
  <c r="AY85" i="21"/>
  <c r="AX85" i="21"/>
  <c r="AW85" i="21"/>
  <c r="AV85" i="21"/>
  <c r="AU85" i="21"/>
  <c r="AT85" i="21"/>
  <c r="AR85" i="21"/>
  <c r="BD84" i="21"/>
  <c r="AZ84" i="21"/>
  <c r="AY84" i="21"/>
  <c r="AR84" i="21"/>
  <c r="BC84" i="21"/>
  <c r="BL84" i="21" s="1"/>
  <c r="AX84" i="21"/>
  <c r="AW84" i="21"/>
  <c r="AV84" i="21"/>
  <c r="AU84" i="21"/>
  <c r="AT84" i="21"/>
  <c r="AZ83" i="21"/>
  <c r="BD83" i="21"/>
  <c r="BC83" i="21"/>
  <c r="AY83" i="21"/>
  <c r="AX83" i="21"/>
  <c r="AW83" i="21"/>
  <c r="AV83" i="21"/>
  <c r="AU83" i="21"/>
  <c r="AT83" i="21"/>
  <c r="AR83" i="21"/>
  <c r="BD82" i="21"/>
  <c r="AV82" i="21"/>
  <c r="BC82" i="21"/>
  <c r="AZ82" i="21"/>
  <c r="AY82" i="21"/>
  <c r="AX82" i="21"/>
  <c r="AW82" i="21"/>
  <c r="AU82" i="21"/>
  <c r="AT82" i="21"/>
  <c r="AR82" i="21"/>
  <c r="AX81" i="21"/>
  <c r="AU81" i="21"/>
  <c r="BD81" i="21"/>
  <c r="BC81" i="21"/>
  <c r="AZ81" i="21"/>
  <c r="AY81" i="21"/>
  <c r="AW81" i="21"/>
  <c r="AV81" i="21"/>
  <c r="AT81" i="21"/>
  <c r="AR81" i="21"/>
  <c r="BD80" i="21"/>
  <c r="BC80" i="21"/>
  <c r="BL80" i="21" s="1"/>
  <c r="AZ80" i="21"/>
  <c r="AY80" i="21"/>
  <c r="AX80" i="21"/>
  <c r="AW80" i="21"/>
  <c r="AV80" i="21"/>
  <c r="AU80" i="21"/>
  <c r="AT80" i="21"/>
  <c r="AR80" i="21"/>
  <c r="BD79" i="21"/>
  <c r="AV79" i="21"/>
  <c r="BC79" i="21"/>
  <c r="AZ79" i="21"/>
  <c r="AY79" i="21"/>
  <c r="AX79" i="21"/>
  <c r="AW79" i="21"/>
  <c r="AU79" i="21"/>
  <c r="AT79" i="21"/>
  <c r="AR79" i="21"/>
  <c r="BC78" i="21"/>
  <c r="AU78" i="21"/>
  <c r="BD78" i="21"/>
  <c r="BB78" i="21"/>
  <c r="BA78" i="21"/>
  <c r="AZ78" i="21"/>
  <c r="AY78" i="21"/>
  <c r="AX78" i="21"/>
  <c r="AW78" i="21"/>
  <c r="AV78" i="21"/>
  <c r="AT78" i="21"/>
  <c r="AS78" i="21"/>
  <c r="AR78" i="21"/>
  <c r="AQ78" i="21"/>
  <c r="BF78" i="21"/>
  <c r="BO78" i="21" s="1"/>
  <c r="BD77" i="21"/>
  <c r="BC77" i="21"/>
  <c r="BB77" i="21"/>
  <c r="BA77" i="21"/>
  <c r="AZ77" i="21"/>
  <c r="AY77" i="21"/>
  <c r="AX77" i="21"/>
  <c r="AW77" i="21"/>
  <c r="AV77" i="21"/>
  <c r="AU77" i="21"/>
  <c r="AT77" i="21"/>
  <c r="AS77" i="21"/>
  <c r="AR77" i="21"/>
  <c r="AQ77" i="21"/>
  <c r="AU76" i="21"/>
  <c r="BD76" i="21"/>
  <c r="BC76" i="21"/>
  <c r="BB76" i="21"/>
  <c r="AZ76" i="21"/>
  <c r="AY76" i="21"/>
  <c r="AX76" i="21"/>
  <c r="AW76" i="21"/>
  <c r="AV76" i="21"/>
  <c r="AT76" i="21"/>
  <c r="AS76" i="21"/>
  <c r="AR76" i="21"/>
  <c r="AQ76" i="21"/>
  <c r="S76" i="24"/>
  <c r="AS75" i="21"/>
  <c r="BD75" i="21"/>
  <c r="BC75" i="21"/>
  <c r="BB75" i="21"/>
  <c r="BA75" i="21"/>
  <c r="AZ75" i="21"/>
  <c r="AY75" i="21"/>
  <c r="AX75" i="21"/>
  <c r="AW75" i="21"/>
  <c r="AV75" i="21"/>
  <c r="AU75" i="21"/>
  <c r="AT75" i="21"/>
  <c r="AR75" i="21"/>
  <c r="AQ75" i="21"/>
  <c r="AZ74" i="21"/>
  <c r="BD74" i="21"/>
  <c r="BC74" i="21"/>
  <c r="BB74" i="21"/>
  <c r="BA74" i="21"/>
  <c r="AY74" i="21"/>
  <c r="AX74" i="21"/>
  <c r="AW74" i="21"/>
  <c r="AV74" i="21"/>
  <c r="AU74" i="21"/>
  <c r="AT74" i="21"/>
  <c r="AS74" i="21"/>
  <c r="AA134" i="21"/>
  <c r="AQ74" i="21"/>
  <c r="BD73" i="21"/>
  <c r="BC73" i="21"/>
  <c r="BL73" i="21" s="1"/>
  <c r="BB73" i="21"/>
  <c r="BA73" i="21"/>
  <c r="AZ73" i="21"/>
  <c r="AY73" i="21"/>
  <c r="AX73" i="21"/>
  <c r="AW73" i="21"/>
  <c r="AV73" i="21"/>
  <c r="AU73" i="21"/>
  <c r="AT73" i="21"/>
  <c r="AS73" i="21"/>
  <c r="AR73" i="21"/>
  <c r="AQ73" i="21"/>
  <c r="AO73" i="21"/>
  <c r="K73" i="24"/>
  <c r="AS73" i="24" s="1"/>
  <c r="I73" i="24"/>
  <c r="AQ73" i="24" s="1"/>
  <c r="B73" i="21"/>
  <c r="B74" i="21" s="1"/>
  <c r="B75" i="21" s="1"/>
  <c r="B76" i="21" s="1"/>
  <c r="B77" i="21" s="1"/>
  <c r="B79" i="21" s="1"/>
  <c r="B80" i="21" s="1"/>
  <c r="B81" i="21" s="1"/>
  <c r="B82" i="21" s="1"/>
  <c r="B83" i="21" s="1"/>
  <c r="B84" i="21" s="1"/>
  <c r="B85" i="21" s="1"/>
  <c r="B86" i="21" s="1"/>
  <c r="B87" i="21" s="1"/>
  <c r="B88" i="21" s="1"/>
  <c r="B89" i="21" s="1"/>
  <c r="B90" i="21" s="1"/>
  <c r="B91" i="21" s="1"/>
  <c r="B92" i="21" s="1"/>
  <c r="B93" i="21" s="1"/>
  <c r="AX72" i="21"/>
  <c r="BD72" i="21"/>
  <c r="BC72" i="21"/>
  <c r="BB72" i="21"/>
  <c r="BA72" i="21"/>
  <c r="AZ72" i="21"/>
  <c r="AY72" i="21"/>
  <c r="AW72" i="21"/>
  <c r="AV72" i="21"/>
  <c r="AU72" i="21"/>
  <c r="AT72" i="21"/>
  <c r="AS72" i="21"/>
  <c r="AR72" i="21"/>
  <c r="AP72" i="21"/>
  <c r="K72" i="24"/>
  <c r="I72" i="24"/>
  <c r="BD71" i="21"/>
  <c r="BC71" i="21"/>
  <c r="BB71" i="21"/>
  <c r="BA71" i="21"/>
  <c r="AZ71" i="21"/>
  <c r="AY71" i="21"/>
  <c r="AX71" i="21"/>
  <c r="AW71" i="21"/>
  <c r="AV71" i="21"/>
  <c r="AU71" i="21"/>
  <c r="AT71" i="21"/>
  <c r="AS71" i="21"/>
  <c r="AR71" i="21"/>
  <c r="AQ71" i="21"/>
  <c r="BB70" i="21"/>
  <c r="AZ70" i="21"/>
  <c r="AV70" i="21"/>
  <c r="AC134" i="21"/>
  <c r="AR70" i="21"/>
  <c r="BC69" i="21"/>
  <c r="AU69" i="21"/>
  <c r="BD69" i="21"/>
  <c r="BA69" i="21"/>
  <c r="AZ69" i="21"/>
  <c r="AY69" i="21"/>
  <c r="AW69" i="21"/>
  <c r="AV69" i="21"/>
  <c r="AT69" i="21"/>
  <c r="AR69" i="21"/>
  <c r="AP69" i="21"/>
  <c r="BD68" i="21"/>
  <c r="BC68" i="21"/>
  <c r="AZ68" i="21"/>
  <c r="AY68" i="21"/>
  <c r="AX68" i="21"/>
  <c r="AW68" i="21"/>
  <c r="AV68" i="21"/>
  <c r="AU68" i="21"/>
  <c r="AT68" i="21"/>
  <c r="AR68" i="21"/>
  <c r="BD67" i="21"/>
  <c r="AV67" i="21"/>
  <c r="BC67" i="21"/>
  <c r="AZ67" i="21"/>
  <c r="AY67" i="21"/>
  <c r="AX67" i="21"/>
  <c r="AW67" i="21"/>
  <c r="AU67" i="21"/>
  <c r="AT67" i="21"/>
  <c r="AR67" i="21"/>
  <c r="AW54" i="21"/>
  <c r="AT54" i="21"/>
  <c r="BD54" i="21"/>
  <c r="BC54" i="21"/>
  <c r="BB54" i="21"/>
  <c r="BA54" i="21"/>
  <c r="AZ54" i="21"/>
  <c r="AY54" i="21"/>
  <c r="AX54" i="21"/>
  <c r="AV54" i="21"/>
  <c r="AU54" i="21"/>
  <c r="AS54" i="21"/>
  <c r="AR54" i="21"/>
  <c r="AQ54" i="21"/>
  <c r="BF54" i="21"/>
  <c r="BO54" i="21" s="1"/>
  <c r="AO54" i="21"/>
  <c r="BH54" i="21" s="1"/>
  <c r="BC53" i="21"/>
  <c r="AX53" i="21"/>
  <c r="AP53" i="21"/>
  <c r="BD53" i="21"/>
  <c r="AZ53" i="21"/>
  <c r="AY53" i="21"/>
  <c r="AW53" i="21"/>
  <c r="AV53" i="21"/>
  <c r="AU53" i="21"/>
  <c r="AT53" i="21"/>
  <c r="AR53" i="21"/>
  <c r="T53" i="24"/>
  <c r="G53" i="24"/>
  <c r="BC52" i="21"/>
  <c r="BD52" i="21"/>
  <c r="BB52" i="21"/>
  <c r="BA52" i="21"/>
  <c r="AX52" i="21"/>
  <c r="AW52" i="21"/>
  <c r="AV52" i="21"/>
  <c r="AU52" i="21"/>
  <c r="AT52" i="21"/>
  <c r="AS52" i="21"/>
  <c r="AR52" i="21"/>
  <c r="AW51" i="21"/>
  <c r="BD51" i="21"/>
  <c r="BC51" i="21"/>
  <c r="BB51" i="21"/>
  <c r="BA51" i="21"/>
  <c r="AZ51" i="21"/>
  <c r="AY51" i="21"/>
  <c r="AX51" i="21"/>
  <c r="AV51" i="21"/>
  <c r="AU51" i="21"/>
  <c r="AT51" i="21"/>
  <c r="AS51" i="21"/>
  <c r="AR51" i="21"/>
  <c r="AQ51" i="21"/>
  <c r="AO51" i="21"/>
  <c r="BH51" i="21" s="1"/>
  <c r="BD50" i="21"/>
  <c r="AV50" i="21"/>
  <c r="BC50" i="21"/>
  <c r="BA50" i="21"/>
  <c r="AZ50" i="21"/>
  <c r="AY50" i="21"/>
  <c r="AW50" i="21"/>
  <c r="AU50" i="21"/>
  <c r="AT50" i="21"/>
  <c r="AR50" i="21"/>
  <c r="AX49" i="21"/>
  <c r="BD49" i="21"/>
  <c r="BC49" i="21"/>
  <c r="AZ49" i="21"/>
  <c r="AY49" i="21"/>
  <c r="AW49" i="21"/>
  <c r="AV49" i="21"/>
  <c r="AU49" i="21"/>
  <c r="AT49" i="21"/>
  <c r="AR49" i="21"/>
  <c r="BC48" i="21"/>
  <c r="AR48" i="21"/>
  <c r="BD48" i="21"/>
  <c r="BB48" i="21"/>
  <c r="BA48" i="21"/>
  <c r="AZ48" i="21"/>
  <c r="AY48" i="21"/>
  <c r="AX48" i="21"/>
  <c r="AW48" i="21"/>
  <c r="AV48" i="21"/>
  <c r="AU48" i="21"/>
  <c r="AT48" i="21"/>
  <c r="AS48" i="21"/>
  <c r="AQ48" i="21"/>
  <c r="BD47" i="21"/>
  <c r="AV47" i="21"/>
  <c r="BC47" i="21"/>
  <c r="BB47" i="21"/>
  <c r="BA47" i="21"/>
  <c r="AZ47" i="21"/>
  <c r="AY47" i="21"/>
  <c r="AX47" i="21"/>
  <c r="AW47" i="21"/>
  <c r="AU47" i="21"/>
  <c r="AR47" i="21"/>
  <c r="K47" i="24"/>
  <c r="I47" i="24"/>
  <c r="D47" i="21"/>
  <c r="AR46" i="21"/>
  <c r="BD46" i="21"/>
  <c r="BC46" i="21"/>
  <c r="BL46" i="21" s="1"/>
  <c r="BB46" i="21"/>
  <c r="BA46" i="21"/>
  <c r="AZ46" i="21"/>
  <c r="AY46" i="21"/>
  <c r="AX46" i="21"/>
  <c r="AW46" i="21"/>
  <c r="AV46" i="21"/>
  <c r="AU46" i="21"/>
  <c r="AT46" i="21"/>
  <c r="D46" i="21"/>
  <c r="AU45" i="21"/>
  <c r="BD45" i="21"/>
  <c r="BC45" i="21"/>
  <c r="BB45" i="21"/>
  <c r="BA45" i="21"/>
  <c r="AZ45" i="21"/>
  <c r="AY45" i="21"/>
  <c r="AX45" i="21"/>
  <c r="BK45" i="21" s="1"/>
  <c r="AW45" i="21"/>
  <c r="AV45" i="21"/>
  <c r="AS45" i="21"/>
  <c r="AR45" i="21"/>
  <c r="AQ45" i="21"/>
  <c r="G45" i="24"/>
  <c r="D45" i="21"/>
  <c r="BD44" i="21"/>
  <c r="AV44" i="21"/>
  <c r="BC44" i="21"/>
  <c r="BB44" i="21"/>
  <c r="BA44" i="21"/>
  <c r="AZ44" i="21"/>
  <c r="AY44" i="21"/>
  <c r="AX44" i="21"/>
  <c r="BK44" i="21" s="1"/>
  <c r="AW44" i="21"/>
  <c r="AU44" i="21"/>
  <c r="AT44" i="21"/>
  <c r="AS44" i="21"/>
  <c r="AR44" i="21"/>
  <c r="AQ44" i="21"/>
  <c r="D44" i="21"/>
  <c r="B44" i="21"/>
  <c r="B45" i="21" s="1"/>
  <c r="B46" i="21" s="1"/>
  <c r="B47" i="21" s="1"/>
  <c r="B49" i="21" s="1"/>
  <c r="B50" i="21" s="1"/>
  <c r="B51" i="21" s="1"/>
  <c r="B52" i="21" s="1"/>
  <c r="B53" i="21" s="1"/>
  <c r="B55" i="21" s="1"/>
  <c r="B56" i="21" s="1"/>
  <c r="B57" i="21" s="1"/>
  <c r="B58" i="21" s="1"/>
  <c r="B59" i="21" s="1"/>
  <c r="B60" i="21" s="1"/>
  <c r="B61" i="21" s="1"/>
  <c r="B62" i="21" s="1"/>
  <c r="B63" i="21" s="1"/>
  <c r="B64" i="21" s="1"/>
  <c r="B65" i="21" s="1"/>
  <c r="B66" i="21" s="1"/>
  <c r="B67" i="21" s="1"/>
  <c r="B68" i="21" s="1"/>
  <c r="B69" i="21" s="1"/>
  <c r="BD43" i="21"/>
  <c r="AV43" i="21"/>
  <c r="AQ43" i="21"/>
  <c r="BC43" i="21"/>
  <c r="BB43" i="21"/>
  <c r="BA43" i="21"/>
  <c r="AZ43" i="21"/>
  <c r="AY43" i="21"/>
  <c r="AX43" i="21"/>
  <c r="AW43" i="21"/>
  <c r="AU43" i="21"/>
  <c r="AT43" i="21"/>
  <c r="AS43" i="21"/>
  <c r="AR43" i="21"/>
  <c r="BF43" i="21"/>
  <c r="BO43" i="21" s="1"/>
  <c r="AZ42" i="21"/>
  <c r="AM133" i="21"/>
  <c r="AV42" i="21"/>
  <c r="AS41" i="21"/>
  <c r="BD41" i="21"/>
  <c r="BC41" i="21"/>
  <c r="BL41" i="21" s="1"/>
  <c r="BB41" i="21"/>
  <c r="BA41" i="21"/>
  <c r="AX41" i="21"/>
  <c r="AW41" i="21"/>
  <c r="AV41" i="21"/>
  <c r="AU41" i="21"/>
  <c r="AT41" i="21"/>
  <c r="AR41" i="21"/>
  <c r="AQ41" i="21"/>
  <c r="D41" i="21"/>
  <c r="BD40" i="21"/>
  <c r="BC40" i="21"/>
  <c r="BA40" i="21"/>
  <c r="AZ40" i="21"/>
  <c r="AY40" i="21"/>
  <c r="AX40" i="21"/>
  <c r="AW40" i="21"/>
  <c r="AV40" i="21"/>
  <c r="AU40" i="21"/>
  <c r="AT40" i="21"/>
  <c r="BJ40" i="21" s="1"/>
  <c r="D40" i="21"/>
  <c r="BD39" i="21"/>
  <c r="BC39" i="21"/>
  <c r="BB39" i="21"/>
  <c r="BA39" i="21"/>
  <c r="AZ39" i="21"/>
  <c r="AY39" i="21"/>
  <c r="AX39" i="21"/>
  <c r="AW39" i="21"/>
  <c r="AV39" i="21"/>
  <c r="AU39" i="21"/>
  <c r="AT39" i="21"/>
  <c r="D39" i="21"/>
  <c r="BB38" i="21"/>
  <c r="BD38" i="21"/>
  <c r="BC38" i="21"/>
  <c r="BA38" i="21"/>
  <c r="AZ38" i="21"/>
  <c r="AY38" i="21"/>
  <c r="AX38" i="21"/>
  <c r="AW38" i="21"/>
  <c r="AV38" i="21"/>
  <c r="AU38" i="21"/>
  <c r="AT38" i="21"/>
  <c r="AS38" i="21"/>
  <c r="AR38" i="21"/>
  <c r="AQ38" i="21"/>
  <c r="BC37" i="21"/>
  <c r="AU37" i="21"/>
  <c r="BD37" i="21"/>
  <c r="BB37" i="21"/>
  <c r="BA37" i="21"/>
  <c r="AZ37" i="21"/>
  <c r="AY37" i="21"/>
  <c r="AX37" i="21"/>
  <c r="AW37" i="21"/>
  <c r="AV37" i="21"/>
  <c r="AS37" i="21"/>
  <c r="AR37" i="21"/>
  <c r="AQ37" i="21"/>
  <c r="L37" i="24"/>
  <c r="D37" i="21"/>
  <c r="BD36" i="21"/>
  <c r="AV36" i="21"/>
  <c r="BC36" i="21"/>
  <c r="BB36" i="21"/>
  <c r="BA36" i="21"/>
  <c r="AZ36" i="21"/>
  <c r="AY36" i="21"/>
  <c r="AX36" i="21"/>
  <c r="AW36" i="21"/>
  <c r="AU36" i="21"/>
  <c r="AR36" i="21"/>
  <c r="K36" i="24"/>
  <c r="I36" i="24"/>
  <c r="G36" i="24"/>
  <c r="D36" i="21"/>
  <c r="BC35" i="21"/>
  <c r="BL35" i="21" s="1"/>
  <c r="AX35" i="21"/>
  <c r="AP35" i="21"/>
  <c r="BD35" i="21"/>
  <c r="BB35" i="21"/>
  <c r="BA35" i="21"/>
  <c r="AZ35" i="21"/>
  <c r="AY35" i="21"/>
  <c r="AW35" i="21"/>
  <c r="AV35" i="21"/>
  <c r="AU35" i="21"/>
  <c r="AT35" i="21"/>
  <c r="AR35" i="21"/>
  <c r="D35" i="21"/>
  <c r="AX34" i="21"/>
  <c r="BD34" i="21"/>
  <c r="BC34" i="21"/>
  <c r="BB34" i="21"/>
  <c r="BA34" i="21"/>
  <c r="AZ34" i="21"/>
  <c r="AY34" i="21"/>
  <c r="AW34" i="21"/>
  <c r="AV34" i="21"/>
  <c r="AU34" i="21"/>
  <c r="AR34" i="21"/>
  <c r="AQ34" i="21"/>
  <c r="H34" i="24"/>
  <c r="G34" i="24"/>
  <c r="D34" i="21"/>
  <c r="AX33" i="21"/>
  <c r="AU33" i="21"/>
  <c r="BD33" i="21"/>
  <c r="BC33" i="21"/>
  <c r="BB33" i="21"/>
  <c r="BA33" i="21"/>
  <c r="AZ33" i="21"/>
  <c r="AY33" i="21"/>
  <c r="AW33" i="21"/>
  <c r="AV33" i="21"/>
  <c r="AT33" i="21"/>
  <c r="AS33" i="21"/>
  <c r="AR33" i="21"/>
  <c r="AQ33" i="21"/>
  <c r="D33" i="21"/>
  <c r="AX32" i="21"/>
  <c r="AS32" i="21"/>
  <c r="BD32" i="21"/>
  <c r="BC32" i="21"/>
  <c r="BB32" i="21"/>
  <c r="BA32" i="21"/>
  <c r="AZ32" i="21"/>
  <c r="AY32" i="21"/>
  <c r="AW32" i="21"/>
  <c r="AV32" i="21"/>
  <c r="AU32" i="21"/>
  <c r="AT32" i="21"/>
  <c r="AR32" i="21"/>
  <c r="AQ32" i="21"/>
  <c r="BF32" i="21"/>
  <c r="BO32" i="21" s="1"/>
  <c r="AQ31" i="21"/>
  <c r="BD31" i="21"/>
  <c r="BC31" i="21"/>
  <c r="BB31" i="21"/>
  <c r="BA31" i="21"/>
  <c r="AZ31" i="21"/>
  <c r="AY31" i="21"/>
  <c r="AX31" i="21"/>
  <c r="AW31" i="21"/>
  <c r="AV31" i="21"/>
  <c r="AU31" i="21"/>
  <c r="AT31" i="21"/>
  <c r="AS31" i="21"/>
  <c r="AR31" i="21"/>
  <c r="D31" i="21"/>
  <c r="B31" i="21"/>
  <c r="B33" i="21" s="1"/>
  <c r="B34" i="21" s="1"/>
  <c r="B35" i="21" s="1"/>
  <c r="B36" i="21" s="1"/>
  <c r="B37" i="21" s="1"/>
  <c r="B39" i="21" s="1"/>
  <c r="B40" i="21" s="1"/>
  <c r="B41" i="21" s="1"/>
  <c r="AZ30" i="21"/>
  <c r="AX30" i="21"/>
  <c r="AU30" i="21"/>
  <c r="BD30" i="21"/>
  <c r="BC30" i="21"/>
  <c r="BB30" i="21"/>
  <c r="BA30" i="21"/>
  <c r="AY30" i="21"/>
  <c r="AW30" i="21"/>
  <c r="AV30" i="21"/>
  <c r="AT30" i="21"/>
  <c r="AS30" i="21"/>
  <c r="AR30" i="21"/>
  <c r="AQ30" i="21"/>
  <c r="D30" i="21"/>
  <c r="AW29" i="21"/>
  <c r="AR29" i="21"/>
  <c r="BD29" i="21"/>
  <c r="BC29" i="21"/>
  <c r="BB29" i="21"/>
  <c r="BA29" i="21"/>
  <c r="AZ29" i="21"/>
  <c r="AY29" i="21"/>
  <c r="AX29" i="21"/>
  <c r="AV29" i="21"/>
  <c r="AU29" i="21"/>
  <c r="AT29" i="21"/>
  <c r="AS29" i="21"/>
  <c r="AQ29" i="21"/>
  <c r="BF29" i="21"/>
  <c r="BO29" i="21" s="1"/>
  <c r="AO29" i="21"/>
  <c r="AX28" i="21"/>
  <c r="AP28" i="21"/>
  <c r="BD28" i="21"/>
  <c r="AJ132" i="21"/>
  <c r="AV28" i="21"/>
  <c r="AR28" i="21"/>
  <c r="BB27" i="21"/>
  <c r="BD27" i="21"/>
  <c r="BC27" i="21"/>
  <c r="BL27" i="21" s="1"/>
  <c r="BA27" i="21"/>
  <c r="AZ27" i="21"/>
  <c r="AY27" i="21"/>
  <c r="AX27" i="21"/>
  <c r="AT27" i="21"/>
  <c r="D27" i="21"/>
  <c r="BB26" i="21"/>
  <c r="AW26" i="21"/>
  <c r="BD26" i="21"/>
  <c r="BC26" i="21"/>
  <c r="BL26" i="21" s="1"/>
  <c r="BA26" i="21"/>
  <c r="AZ26" i="21"/>
  <c r="AY26" i="21"/>
  <c r="AX26" i="21"/>
  <c r="AV26" i="21"/>
  <c r="AU26" i="21"/>
  <c r="AT26" i="21"/>
  <c r="D26" i="21"/>
  <c r="BD25" i="21"/>
  <c r="BB25" i="21"/>
  <c r="BA25" i="21"/>
  <c r="AZ25" i="21"/>
  <c r="AY25" i="21"/>
  <c r="AX25" i="21"/>
  <c r="AT25" i="21"/>
  <c r="U25" i="24"/>
  <c r="O25" i="24"/>
  <c r="N25" i="24"/>
  <c r="M25" i="24"/>
  <c r="J25" i="24"/>
  <c r="I25" i="24"/>
  <c r="G25" i="24"/>
  <c r="D25" i="21"/>
  <c r="AZ24" i="21"/>
  <c r="AU24" i="21"/>
  <c r="BD24" i="21"/>
  <c r="BB24" i="21"/>
  <c r="BA24" i="21"/>
  <c r="AY24" i="21"/>
  <c r="AX24" i="21"/>
  <c r="AW24" i="21"/>
  <c r="AV24" i="21"/>
  <c r="AT24" i="21"/>
  <c r="D24" i="21"/>
  <c r="BC23" i="21"/>
  <c r="AX23" i="21"/>
  <c r="AP23" i="21"/>
  <c r="BD23" i="21"/>
  <c r="BB23" i="21"/>
  <c r="BA23" i="21"/>
  <c r="AZ23" i="21"/>
  <c r="AY23" i="21"/>
  <c r="AT23" i="21"/>
  <c r="K23" i="24"/>
  <c r="J23" i="24"/>
  <c r="I23" i="24"/>
  <c r="G23" i="24"/>
  <c r="D23" i="21"/>
  <c r="AY22" i="21"/>
  <c r="BD22" i="21"/>
  <c r="BC22" i="21"/>
  <c r="BB22" i="21"/>
  <c r="BA22" i="21"/>
  <c r="AZ22" i="21"/>
  <c r="AX22" i="21"/>
  <c r="AW22" i="21"/>
  <c r="AV22" i="21"/>
  <c r="AU22" i="21"/>
  <c r="AT22" i="21"/>
  <c r="D22" i="21"/>
  <c r="AZ21" i="21"/>
  <c r="AT21" i="21"/>
  <c r="AR21" i="21"/>
  <c r="BD21" i="21"/>
  <c r="BC21" i="21"/>
  <c r="BB21" i="21"/>
  <c r="BA21" i="21"/>
  <c r="AY21" i="21"/>
  <c r="AX21" i="21"/>
  <c r="AS21" i="21"/>
  <c r="AQ21" i="21"/>
  <c r="N21" i="24"/>
  <c r="H21" i="24"/>
  <c r="AS20" i="21"/>
  <c r="AQ20" i="21"/>
  <c r="BD20" i="21"/>
  <c r="BC20" i="21"/>
  <c r="BB20" i="21"/>
  <c r="BA20" i="21"/>
  <c r="AZ20" i="21"/>
  <c r="AY20" i="21"/>
  <c r="AX20" i="21"/>
  <c r="AW20" i="21"/>
  <c r="AV20" i="21"/>
  <c r="AU20" i="21"/>
  <c r="AT20" i="21"/>
  <c r="AR20" i="21"/>
  <c r="AW19" i="21"/>
  <c r="BD19" i="21"/>
  <c r="BC19" i="21"/>
  <c r="BB19" i="21"/>
  <c r="BA19" i="21"/>
  <c r="AZ19" i="21"/>
  <c r="AY19" i="21"/>
  <c r="AX19" i="21"/>
  <c r="AV19" i="21"/>
  <c r="AU19" i="21"/>
  <c r="AS19" i="21"/>
  <c r="AR19" i="21"/>
  <c r="AQ19" i="21"/>
  <c r="H19" i="24"/>
  <c r="D19" i="21"/>
  <c r="B19" i="21"/>
  <c r="B21" i="21" s="1"/>
  <c r="B22" i="21" s="1"/>
  <c r="B23" i="21" s="1"/>
  <c r="B24" i="21" s="1"/>
  <c r="B25" i="21" s="1"/>
  <c r="B26" i="21" s="1"/>
  <c r="B27" i="21" s="1"/>
  <c r="AY18" i="21"/>
  <c r="AW18" i="21"/>
  <c r="AT18" i="21"/>
  <c r="AQ18" i="21"/>
  <c r="BD18" i="21"/>
  <c r="BC18" i="21"/>
  <c r="BB18" i="21"/>
  <c r="BA18" i="21"/>
  <c r="AZ18" i="21"/>
  <c r="AX18" i="21"/>
  <c r="AV18" i="21"/>
  <c r="AU18" i="21"/>
  <c r="AS18" i="21"/>
  <c r="AR18" i="21"/>
  <c r="D18" i="21"/>
  <c r="AM131" i="21"/>
  <c r="AK131" i="21"/>
  <c r="U11" i="21"/>
  <c r="L11" i="21"/>
  <c r="BE7" i="21"/>
  <c r="BE20" i="21" s="1"/>
  <c r="H7" i="21"/>
  <c r="B7" i="21"/>
  <c r="BF5" i="21"/>
  <c r="B1" i="21"/>
  <c r="X101" i="2"/>
  <c r="Y101" i="2"/>
  <c r="Z101" i="2"/>
  <c r="AA101" i="2"/>
  <c r="AB101" i="2"/>
  <c r="AC101" i="2"/>
  <c r="AD101" i="2"/>
  <c r="AE101" i="2"/>
  <c r="AF101" i="2"/>
  <c r="AG101" i="2"/>
  <c r="AH101" i="2"/>
  <c r="AI101" i="2"/>
  <c r="AJ101" i="2"/>
  <c r="AK101" i="2"/>
  <c r="AL101" i="2"/>
  <c r="AM101" i="2"/>
  <c r="AQ101" i="2"/>
  <c r="AR101" i="2"/>
  <c r="AT101" i="2"/>
  <c r="AU101" i="2"/>
  <c r="AV101" i="2"/>
  <c r="AW101" i="2"/>
  <c r="AX101" i="2"/>
  <c r="AY101" i="2"/>
  <c r="AZ101" i="2"/>
  <c r="BC101" i="2"/>
  <c r="BD101" i="2"/>
  <c r="BL101" i="2" s="1"/>
  <c r="X101" i="8"/>
  <c r="Y101" i="8"/>
  <c r="Z101" i="8"/>
  <c r="AQ101" i="8" s="1"/>
  <c r="AA101" i="8"/>
  <c r="AB101" i="8"/>
  <c r="AC101" i="8"/>
  <c r="AD101" i="8"/>
  <c r="AE101" i="8"/>
  <c r="AV101" i="8" s="1"/>
  <c r="AF101" i="8"/>
  <c r="AG101" i="8"/>
  <c r="AH101" i="8"/>
  <c r="AY101" i="8" s="1"/>
  <c r="AI101" i="8"/>
  <c r="AJ101" i="8"/>
  <c r="AK101" i="8"/>
  <c r="AL101" i="8"/>
  <c r="AM101" i="8"/>
  <c r="BD101" i="8" s="1"/>
  <c r="AR101" i="8"/>
  <c r="AS101" i="8"/>
  <c r="AT101" i="8"/>
  <c r="AU101" i="8"/>
  <c r="AW101" i="8"/>
  <c r="AX101" i="8"/>
  <c r="AZ101" i="8"/>
  <c r="BC101" i="8"/>
  <c r="X101" i="16"/>
  <c r="Y101" i="16"/>
  <c r="Z101" i="16"/>
  <c r="AA101" i="16"/>
  <c r="AB101" i="16"/>
  <c r="AC101" i="16"/>
  <c r="AD101" i="16"/>
  <c r="AE101" i="16"/>
  <c r="AF101" i="16"/>
  <c r="AG101" i="16"/>
  <c r="AH101" i="16"/>
  <c r="AI101" i="16"/>
  <c r="AJ101" i="16"/>
  <c r="AK101" i="16"/>
  <c r="AL101" i="16"/>
  <c r="AM101" i="16"/>
  <c r="X101" i="9"/>
  <c r="Y101" i="9"/>
  <c r="Z101" i="9"/>
  <c r="AA101" i="9"/>
  <c r="AB101" i="9"/>
  <c r="AS101" i="9" s="1"/>
  <c r="AC101" i="9"/>
  <c r="AD101" i="9"/>
  <c r="AE101" i="9"/>
  <c r="AV101" i="9" s="1"/>
  <c r="AF101" i="9"/>
  <c r="AG101" i="9"/>
  <c r="AX101" i="9" s="1"/>
  <c r="AH101" i="9"/>
  <c r="AI101" i="9"/>
  <c r="AJ101" i="9"/>
  <c r="AK101" i="9"/>
  <c r="AL101" i="9"/>
  <c r="AM101" i="9"/>
  <c r="BD101" i="9" s="1"/>
  <c r="AQ101" i="9"/>
  <c r="AR101" i="9"/>
  <c r="AT101" i="9"/>
  <c r="AU101" i="9"/>
  <c r="AW101" i="9"/>
  <c r="AY101" i="9"/>
  <c r="AZ101" i="9"/>
  <c r="BC101" i="9"/>
  <c r="R101" i="16"/>
  <c r="AZ101" i="16" s="1"/>
  <c r="Q101" i="16"/>
  <c r="AY101" i="16" s="1"/>
  <c r="P101" i="16"/>
  <c r="AX101" i="16" s="1"/>
  <c r="O101" i="16"/>
  <c r="AW101" i="16" s="1"/>
  <c r="N101" i="16"/>
  <c r="AV101" i="16" s="1"/>
  <c r="M101" i="16"/>
  <c r="AU101" i="16" s="1"/>
  <c r="L101" i="16"/>
  <c r="AT101" i="16" s="1"/>
  <c r="K101" i="16"/>
  <c r="AS101" i="16" s="1"/>
  <c r="J101" i="16"/>
  <c r="AR101" i="16" s="1"/>
  <c r="I101" i="16"/>
  <c r="AQ101" i="16" s="1"/>
  <c r="U101" i="16"/>
  <c r="BC101" i="16" s="1"/>
  <c r="V101" i="16"/>
  <c r="X101" i="3"/>
  <c r="AA101" i="3"/>
  <c r="AC101" i="3" s="1"/>
  <c r="AB101" i="3"/>
  <c r="B100" i="16"/>
  <c r="B101" i="16" s="1"/>
  <c r="B102" i="16" s="1"/>
  <c r="H55" i="16"/>
  <c r="AP55" i="16" s="1"/>
  <c r="J55" i="16"/>
  <c r="AR55" i="16" s="1"/>
  <c r="L55" i="16"/>
  <c r="AT55" i="16" s="1"/>
  <c r="M55" i="16"/>
  <c r="AU55" i="16" s="1"/>
  <c r="N55" i="16"/>
  <c r="AV55" i="16" s="1"/>
  <c r="O55" i="16"/>
  <c r="AW55" i="16" s="1"/>
  <c r="P55" i="16"/>
  <c r="AX55" i="16" s="1"/>
  <c r="Q55" i="16"/>
  <c r="AY55" i="16" s="1"/>
  <c r="R55" i="16"/>
  <c r="AZ55" i="16" s="1"/>
  <c r="U55" i="16"/>
  <c r="BC55" i="16" s="1"/>
  <c r="V55" i="16"/>
  <c r="BD55" i="16" s="1"/>
  <c r="H56" i="16"/>
  <c r="AP56" i="16" s="1"/>
  <c r="J56" i="16"/>
  <c r="AR56" i="16" s="1"/>
  <c r="L56" i="16"/>
  <c r="AT56" i="16" s="1"/>
  <c r="M56" i="16"/>
  <c r="AU56" i="16" s="1"/>
  <c r="N56" i="16"/>
  <c r="AV56" i="16" s="1"/>
  <c r="O56" i="16"/>
  <c r="AW56" i="16" s="1"/>
  <c r="P56" i="16"/>
  <c r="AX56" i="16" s="1"/>
  <c r="Q56" i="16"/>
  <c r="AY56" i="16" s="1"/>
  <c r="R56" i="16"/>
  <c r="AZ56" i="16" s="1"/>
  <c r="U56" i="16"/>
  <c r="BC56" i="16" s="1"/>
  <c r="V56" i="16"/>
  <c r="BD56" i="16" s="1"/>
  <c r="H57" i="16"/>
  <c r="AP57" i="16" s="1"/>
  <c r="J57" i="16"/>
  <c r="AR57" i="16" s="1"/>
  <c r="L57" i="16"/>
  <c r="AT57" i="16" s="1"/>
  <c r="M57" i="16"/>
  <c r="AU57" i="16" s="1"/>
  <c r="N57" i="16"/>
  <c r="AV57" i="16" s="1"/>
  <c r="O57" i="16"/>
  <c r="AW57" i="16" s="1"/>
  <c r="P57" i="16"/>
  <c r="AX57" i="16" s="1"/>
  <c r="Q57" i="16"/>
  <c r="AY57" i="16" s="1"/>
  <c r="R57" i="16"/>
  <c r="AZ57" i="16" s="1"/>
  <c r="U57" i="16"/>
  <c r="BC57" i="16" s="1"/>
  <c r="V57" i="16"/>
  <c r="BD57" i="16" s="1"/>
  <c r="H58" i="16"/>
  <c r="AP58" i="16" s="1"/>
  <c r="J58" i="16"/>
  <c r="AR58" i="16" s="1"/>
  <c r="L58" i="16"/>
  <c r="AT58" i="16" s="1"/>
  <c r="M58" i="16"/>
  <c r="AU58" i="16" s="1"/>
  <c r="N58" i="16"/>
  <c r="AV58" i="16" s="1"/>
  <c r="O58" i="16"/>
  <c r="AW58" i="16" s="1"/>
  <c r="P58" i="16"/>
  <c r="AX58" i="16" s="1"/>
  <c r="Q58" i="16"/>
  <c r="AY58" i="16" s="1"/>
  <c r="R58" i="16"/>
  <c r="AZ58" i="16" s="1"/>
  <c r="U58" i="16"/>
  <c r="BC58" i="16" s="1"/>
  <c r="V58" i="16"/>
  <c r="BD58" i="16" s="1"/>
  <c r="H59" i="16"/>
  <c r="AP59" i="16" s="1"/>
  <c r="J59" i="16"/>
  <c r="AR59" i="16" s="1"/>
  <c r="L59" i="16"/>
  <c r="AT59" i="16" s="1"/>
  <c r="M59" i="16"/>
  <c r="AU59" i="16" s="1"/>
  <c r="N59" i="16"/>
  <c r="AV59" i="16" s="1"/>
  <c r="O59" i="16"/>
  <c r="AW59" i="16" s="1"/>
  <c r="P59" i="16"/>
  <c r="AX59" i="16" s="1"/>
  <c r="Q59" i="16"/>
  <c r="AY59" i="16" s="1"/>
  <c r="R59" i="16"/>
  <c r="AZ59" i="16" s="1"/>
  <c r="U59" i="16"/>
  <c r="BC59" i="16" s="1"/>
  <c r="V59" i="16"/>
  <c r="BD59" i="16" s="1"/>
  <c r="H60" i="16"/>
  <c r="AP60" i="16" s="1"/>
  <c r="J60" i="16"/>
  <c r="AR60" i="16" s="1"/>
  <c r="L60" i="16"/>
  <c r="AT60" i="16" s="1"/>
  <c r="M60" i="16"/>
  <c r="AU60" i="16" s="1"/>
  <c r="N60" i="16"/>
  <c r="AV60" i="16" s="1"/>
  <c r="O60" i="16"/>
  <c r="AW60" i="16" s="1"/>
  <c r="P60" i="16"/>
  <c r="AX60" i="16" s="1"/>
  <c r="Q60" i="16"/>
  <c r="AY60" i="16" s="1"/>
  <c r="R60" i="16"/>
  <c r="AZ60" i="16" s="1"/>
  <c r="U60" i="16"/>
  <c r="BC60" i="16" s="1"/>
  <c r="V60" i="16"/>
  <c r="BD60" i="16" s="1"/>
  <c r="H61" i="16"/>
  <c r="AP61" i="16" s="1"/>
  <c r="J61" i="16"/>
  <c r="AR61" i="16" s="1"/>
  <c r="L61" i="16"/>
  <c r="AT61" i="16" s="1"/>
  <c r="M61" i="16"/>
  <c r="AU61" i="16" s="1"/>
  <c r="N61" i="16"/>
  <c r="AV61" i="16" s="1"/>
  <c r="O61" i="16"/>
  <c r="AW61" i="16" s="1"/>
  <c r="P61" i="16"/>
  <c r="AX61" i="16" s="1"/>
  <c r="Q61" i="16"/>
  <c r="AY61" i="16" s="1"/>
  <c r="R61" i="16"/>
  <c r="AZ61" i="16" s="1"/>
  <c r="U61" i="16"/>
  <c r="BC61" i="16" s="1"/>
  <c r="V61" i="16"/>
  <c r="BD61" i="16" s="1"/>
  <c r="H62" i="16"/>
  <c r="AP62" i="16" s="1"/>
  <c r="J62" i="16"/>
  <c r="AR62" i="16" s="1"/>
  <c r="L62" i="16"/>
  <c r="AT62" i="16" s="1"/>
  <c r="M62" i="16"/>
  <c r="AU62" i="16" s="1"/>
  <c r="N62" i="16"/>
  <c r="AV62" i="16" s="1"/>
  <c r="O62" i="16"/>
  <c r="AW62" i="16" s="1"/>
  <c r="P62" i="16"/>
  <c r="AX62" i="16" s="1"/>
  <c r="Q62" i="16"/>
  <c r="AY62" i="16" s="1"/>
  <c r="R62" i="16"/>
  <c r="AZ62" i="16" s="1"/>
  <c r="U62" i="16"/>
  <c r="BC62" i="16" s="1"/>
  <c r="V62" i="16"/>
  <c r="BD62" i="16" s="1"/>
  <c r="H63" i="16"/>
  <c r="AP63" i="16" s="1"/>
  <c r="J63" i="16"/>
  <c r="AR63" i="16" s="1"/>
  <c r="L63" i="16"/>
  <c r="AT63" i="16" s="1"/>
  <c r="M63" i="16"/>
  <c r="AU63" i="16" s="1"/>
  <c r="N63" i="16"/>
  <c r="AV63" i="16" s="1"/>
  <c r="O63" i="16"/>
  <c r="AW63" i="16" s="1"/>
  <c r="P63" i="16"/>
  <c r="AX63" i="16" s="1"/>
  <c r="Q63" i="16"/>
  <c r="AY63" i="16" s="1"/>
  <c r="R63" i="16"/>
  <c r="AZ63" i="16" s="1"/>
  <c r="U63" i="16"/>
  <c r="BC63" i="16" s="1"/>
  <c r="V63" i="16"/>
  <c r="BD63" i="16" s="1"/>
  <c r="H64" i="16"/>
  <c r="AP64" i="16" s="1"/>
  <c r="J64" i="16"/>
  <c r="AR64" i="16" s="1"/>
  <c r="L64" i="16"/>
  <c r="AT64" i="16" s="1"/>
  <c r="M64" i="16"/>
  <c r="AU64" i="16" s="1"/>
  <c r="N64" i="16"/>
  <c r="AV64" i="16" s="1"/>
  <c r="O64" i="16"/>
  <c r="AW64" i="16" s="1"/>
  <c r="P64" i="16"/>
  <c r="AX64" i="16" s="1"/>
  <c r="Q64" i="16"/>
  <c r="AY64" i="16" s="1"/>
  <c r="R64" i="16"/>
  <c r="AZ64" i="16" s="1"/>
  <c r="U64" i="16"/>
  <c r="BC64" i="16" s="1"/>
  <c r="V64" i="16"/>
  <c r="BD64" i="16" s="1"/>
  <c r="H65" i="16"/>
  <c r="AP65" i="16" s="1"/>
  <c r="J65" i="16"/>
  <c r="AR65" i="16" s="1"/>
  <c r="L65" i="16"/>
  <c r="AT65" i="16" s="1"/>
  <c r="M65" i="16"/>
  <c r="AU65" i="16" s="1"/>
  <c r="N65" i="16"/>
  <c r="AV65" i="16" s="1"/>
  <c r="O65" i="16"/>
  <c r="AW65" i="16" s="1"/>
  <c r="P65" i="16"/>
  <c r="AX65" i="16" s="1"/>
  <c r="Q65" i="16"/>
  <c r="AY65" i="16" s="1"/>
  <c r="R65" i="16"/>
  <c r="AZ65" i="16" s="1"/>
  <c r="U65" i="16"/>
  <c r="BC65" i="16" s="1"/>
  <c r="V65" i="16"/>
  <c r="BD65" i="16" s="1"/>
  <c r="H66" i="16"/>
  <c r="AP66" i="16" s="1"/>
  <c r="J66" i="16"/>
  <c r="AR66" i="16" s="1"/>
  <c r="L66" i="16"/>
  <c r="AT66" i="16" s="1"/>
  <c r="M66" i="16"/>
  <c r="AU66" i="16" s="1"/>
  <c r="N66" i="16"/>
  <c r="AV66" i="16" s="1"/>
  <c r="O66" i="16"/>
  <c r="AW66" i="16" s="1"/>
  <c r="P66" i="16"/>
  <c r="AX66" i="16" s="1"/>
  <c r="Q66" i="16"/>
  <c r="AY66" i="16" s="1"/>
  <c r="R66" i="16"/>
  <c r="AZ66" i="16" s="1"/>
  <c r="U66" i="16"/>
  <c r="BC66" i="16" s="1"/>
  <c r="V66" i="16"/>
  <c r="BD66" i="16" s="1"/>
  <c r="H67" i="16"/>
  <c r="AP67" i="16" s="1"/>
  <c r="J67" i="16"/>
  <c r="AR67" i="16" s="1"/>
  <c r="L67" i="16"/>
  <c r="AT67" i="16" s="1"/>
  <c r="M67" i="16"/>
  <c r="AU67" i="16" s="1"/>
  <c r="N67" i="16"/>
  <c r="AV67" i="16" s="1"/>
  <c r="O67" i="16"/>
  <c r="AW67" i="16" s="1"/>
  <c r="P67" i="16"/>
  <c r="AX67" i="16" s="1"/>
  <c r="Q67" i="16"/>
  <c r="AY67" i="16" s="1"/>
  <c r="R67" i="16"/>
  <c r="AZ67" i="16" s="1"/>
  <c r="U67" i="16"/>
  <c r="BC67" i="16" s="1"/>
  <c r="V67" i="16"/>
  <c r="BD67" i="16" s="1"/>
  <c r="B97" i="3"/>
  <c r="B98" i="3" s="1"/>
  <c r="B99" i="3" s="1"/>
  <c r="B100" i="3" s="1"/>
  <c r="B101" i="3" s="1"/>
  <c r="B102" i="3" s="1"/>
  <c r="B97" i="16"/>
  <c r="B98" i="16" s="1"/>
  <c r="B99" i="16" s="1"/>
  <c r="B97" i="9"/>
  <c r="B98" i="9" s="1"/>
  <c r="B99" i="9" s="1"/>
  <c r="B100" i="9" s="1"/>
  <c r="B101" i="9" s="1"/>
  <c r="B102" i="9" s="1"/>
  <c r="B97" i="8"/>
  <c r="B98" i="8" s="1"/>
  <c r="B99" i="8" s="1"/>
  <c r="B100" i="8" s="1"/>
  <c r="B101" i="8" s="1"/>
  <c r="B102" i="8" s="1"/>
  <c r="B97" i="2"/>
  <c r="B98" i="2" s="1"/>
  <c r="B99" i="2" s="1"/>
  <c r="B100" i="2" s="1"/>
  <c r="B101" i="2" s="1"/>
  <c r="B102" i="2" s="1"/>
  <c r="B73" i="3"/>
  <c r="B74" i="3" s="1"/>
  <c r="B75" i="3" s="1"/>
  <c r="B76" i="3" s="1"/>
  <c r="B77" i="3" s="1"/>
  <c r="B79" i="3" s="1"/>
  <c r="B80" i="3" s="1"/>
  <c r="B81" i="3" s="1"/>
  <c r="B82" i="3" s="1"/>
  <c r="B83" i="3" s="1"/>
  <c r="B84" i="3" s="1"/>
  <c r="B85" i="3" s="1"/>
  <c r="B86" i="3" s="1"/>
  <c r="B87" i="3" s="1"/>
  <c r="B88" i="3" s="1"/>
  <c r="B89" i="3" s="1"/>
  <c r="B90" i="3" s="1"/>
  <c r="B91" i="3" s="1"/>
  <c r="B92" i="3" s="1"/>
  <c r="B93" i="3" s="1"/>
  <c r="B73" i="16"/>
  <c r="B74" i="16" s="1"/>
  <c r="B75" i="16" s="1"/>
  <c r="B76" i="16" s="1"/>
  <c r="B77" i="16" s="1"/>
  <c r="B79" i="16" s="1"/>
  <c r="B80" i="16" s="1"/>
  <c r="B81" i="16" s="1"/>
  <c r="B82" i="16" s="1"/>
  <c r="B83" i="16" s="1"/>
  <c r="B84" i="16" s="1"/>
  <c r="B85" i="16" s="1"/>
  <c r="B86" i="16" s="1"/>
  <c r="B87" i="16" s="1"/>
  <c r="B88" i="16" s="1"/>
  <c r="B89" i="16" s="1"/>
  <c r="B90" i="16" s="1"/>
  <c r="B91" i="16" s="1"/>
  <c r="B92" i="16" s="1"/>
  <c r="B93" i="16" s="1"/>
  <c r="B73" i="9"/>
  <c r="B74" i="9" s="1"/>
  <c r="B75" i="9" s="1"/>
  <c r="B76" i="9" s="1"/>
  <c r="B77" i="9" s="1"/>
  <c r="B79" i="9" s="1"/>
  <c r="B80" i="9" s="1"/>
  <c r="B81" i="9" s="1"/>
  <c r="B82" i="9" s="1"/>
  <c r="B83" i="9" s="1"/>
  <c r="B84" i="9" s="1"/>
  <c r="B85" i="9" s="1"/>
  <c r="B86" i="9" s="1"/>
  <c r="B87" i="9" s="1"/>
  <c r="B88" i="9" s="1"/>
  <c r="B89" i="9" s="1"/>
  <c r="B90" i="9" s="1"/>
  <c r="B91" i="9" s="1"/>
  <c r="B92" i="9" s="1"/>
  <c r="B93" i="9" s="1"/>
  <c r="B73" i="8"/>
  <c r="B74" i="8" s="1"/>
  <c r="B75" i="8" s="1"/>
  <c r="B76" i="8" s="1"/>
  <c r="B77" i="8" s="1"/>
  <c r="B79" i="8" s="1"/>
  <c r="B80" i="8" s="1"/>
  <c r="B81" i="8" s="1"/>
  <c r="B82" i="8" s="1"/>
  <c r="B83" i="8" s="1"/>
  <c r="B84" i="8" s="1"/>
  <c r="B85" i="8" s="1"/>
  <c r="B86" i="8" s="1"/>
  <c r="B87" i="8" s="1"/>
  <c r="B88" i="8" s="1"/>
  <c r="B89" i="8" s="1"/>
  <c r="B90" i="8" s="1"/>
  <c r="B91" i="8" s="1"/>
  <c r="B92" i="8" s="1"/>
  <c r="B93" i="8" s="1"/>
  <c r="D47" i="3"/>
  <c r="D46" i="3"/>
  <c r="D45" i="3"/>
  <c r="D44" i="3"/>
  <c r="B44" i="3"/>
  <c r="B45" i="3" s="1"/>
  <c r="B46" i="3" s="1"/>
  <c r="B47" i="3" s="1"/>
  <c r="B49" i="3" s="1"/>
  <c r="B50" i="3" s="1"/>
  <c r="B51" i="3" s="1"/>
  <c r="B52" i="3" s="1"/>
  <c r="B53" i="3" s="1"/>
  <c r="B55" i="3" s="1"/>
  <c r="B56" i="3" s="1"/>
  <c r="B57" i="3" s="1"/>
  <c r="B58" i="3" s="1"/>
  <c r="B59" i="3" s="1"/>
  <c r="B60" i="3" s="1"/>
  <c r="B61" i="3" s="1"/>
  <c r="B62" i="3" s="1"/>
  <c r="B63" i="3" s="1"/>
  <c r="B64" i="3" s="1"/>
  <c r="B65" i="3" s="1"/>
  <c r="B66" i="3" s="1"/>
  <c r="B67" i="3" s="1"/>
  <c r="B68" i="3" s="1"/>
  <c r="B69" i="3" s="1"/>
  <c r="D47" i="16"/>
  <c r="D46" i="16"/>
  <c r="D45" i="16"/>
  <c r="D44" i="16"/>
  <c r="B44" i="16"/>
  <c r="B45" i="16" s="1"/>
  <c r="B46" i="16" s="1"/>
  <c r="B47" i="16" s="1"/>
  <c r="B49" i="16" s="1"/>
  <c r="B50" i="16" s="1"/>
  <c r="B51" i="16" s="1"/>
  <c r="B52" i="16" s="1"/>
  <c r="B53" i="16" s="1"/>
  <c r="B55" i="16" s="1"/>
  <c r="B56" i="16" s="1"/>
  <c r="B57" i="16" s="1"/>
  <c r="B58" i="16" s="1"/>
  <c r="B59" i="16" s="1"/>
  <c r="B60" i="16" s="1"/>
  <c r="B61" i="16" s="1"/>
  <c r="B62" i="16" s="1"/>
  <c r="B63" i="16" s="1"/>
  <c r="B64" i="16" s="1"/>
  <c r="B65" i="16" s="1"/>
  <c r="B66" i="16" s="1"/>
  <c r="B67" i="16" s="1"/>
  <c r="B68" i="16" s="1"/>
  <c r="B69" i="16" s="1"/>
  <c r="D47" i="9"/>
  <c r="D46" i="9"/>
  <c r="D45" i="9"/>
  <c r="D44" i="9"/>
  <c r="B44" i="9"/>
  <c r="B45" i="9" s="1"/>
  <c r="B46" i="9" s="1"/>
  <c r="B47" i="9" s="1"/>
  <c r="B49" i="9" s="1"/>
  <c r="B50" i="9" s="1"/>
  <c r="B51" i="9" s="1"/>
  <c r="B52" i="9" s="1"/>
  <c r="B53" i="9" s="1"/>
  <c r="B55" i="9" s="1"/>
  <c r="B56" i="9" s="1"/>
  <c r="B57" i="9" s="1"/>
  <c r="B58" i="9" s="1"/>
  <c r="B59" i="9" s="1"/>
  <c r="B60" i="9" s="1"/>
  <c r="B61" i="9" s="1"/>
  <c r="B62" i="9" s="1"/>
  <c r="B63" i="9" s="1"/>
  <c r="B64" i="9" s="1"/>
  <c r="B65" i="9" s="1"/>
  <c r="B66" i="9" s="1"/>
  <c r="B67" i="9" s="1"/>
  <c r="B68" i="9" s="1"/>
  <c r="B69" i="9" s="1"/>
  <c r="D47" i="8"/>
  <c r="D46" i="8"/>
  <c r="D45" i="8"/>
  <c r="D44" i="8"/>
  <c r="B44" i="8"/>
  <c r="B45" i="8" s="1"/>
  <c r="B46" i="8" s="1"/>
  <c r="B47" i="8" s="1"/>
  <c r="B49" i="8" s="1"/>
  <c r="B50" i="8" s="1"/>
  <c r="B51" i="8" s="1"/>
  <c r="B52" i="8" s="1"/>
  <c r="B53" i="8" s="1"/>
  <c r="B55" i="8" s="1"/>
  <c r="B56" i="8" s="1"/>
  <c r="B57" i="8" s="1"/>
  <c r="B58" i="8" s="1"/>
  <c r="B59" i="8" s="1"/>
  <c r="B60" i="8" s="1"/>
  <c r="B61" i="8" s="1"/>
  <c r="B62" i="8" s="1"/>
  <c r="B63" i="8" s="1"/>
  <c r="B64" i="8" s="1"/>
  <c r="B65" i="8" s="1"/>
  <c r="B66" i="8" s="1"/>
  <c r="B67" i="8" s="1"/>
  <c r="B68" i="8" s="1"/>
  <c r="B69" i="8" s="1"/>
  <c r="N351" i="17"/>
  <c r="N217" i="17"/>
  <c r="N252" i="17"/>
  <c r="N319" i="17"/>
  <c r="N190" i="17"/>
  <c r="M421" i="17"/>
  <c r="M420" i="17"/>
  <c r="M419" i="17"/>
  <c r="M418" i="17"/>
  <c r="O414" i="17"/>
  <c r="O412" i="17"/>
  <c r="O411" i="17"/>
  <c r="O404" i="17"/>
  <c r="O400" i="17"/>
  <c r="O398" i="17"/>
  <c r="O397" i="17"/>
  <c r="O390" i="17"/>
  <c r="M386" i="17"/>
  <c r="M385" i="17"/>
  <c r="M384" i="17"/>
  <c r="M383" i="17"/>
  <c r="O379" i="17"/>
  <c r="O377" i="17"/>
  <c r="O376" i="17"/>
  <c r="O369" i="17"/>
  <c r="O365" i="17"/>
  <c r="O363" i="17"/>
  <c r="O362" i="17"/>
  <c r="N344" i="17"/>
  <c r="O322" i="17"/>
  <c r="O320" i="17"/>
  <c r="O319" i="17"/>
  <c r="O312" i="17"/>
  <c r="O315" i="17"/>
  <c r="O313" i="17"/>
  <c r="M329" i="17"/>
  <c r="M328" i="17"/>
  <c r="M327" i="17"/>
  <c r="M326" i="17"/>
  <c r="M308" i="17"/>
  <c r="M307" i="17"/>
  <c r="M306" i="17"/>
  <c r="M305" i="17"/>
  <c r="O287" i="17"/>
  <c r="O285" i="17"/>
  <c r="O284" i="17"/>
  <c r="O280" i="17"/>
  <c r="O278" i="17"/>
  <c r="O277" i="17"/>
  <c r="O273" i="17"/>
  <c r="O271" i="17"/>
  <c r="O270" i="17"/>
  <c r="O266" i="17"/>
  <c r="O264" i="17"/>
  <c r="O263" i="17"/>
  <c r="O186" i="17"/>
  <c r="O185" i="17"/>
  <c r="O183" i="17"/>
  <c r="O182" i="17"/>
  <c r="O253" i="17"/>
  <c r="O252" i="17"/>
  <c r="O255" i="17"/>
  <c r="O131" i="3" l="1"/>
  <c r="K131" i="3"/>
  <c r="M131" i="3"/>
  <c r="X30" i="25"/>
  <c r="AA65" i="25"/>
  <c r="AC65" i="25" s="1"/>
  <c r="H131" i="3"/>
  <c r="I131" i="3"/>
  <c r="J131" i="3"/>
  <c r="G131" i="3"/>
  <c r="N131" i="3"/>
  <c r="AA22" i="25"/>
  <c r="AC22" i="25" s="1"/>
  <c r="O131" i="25"/>
  <c r="O136" i="25" s="1"/>
  <c r="O138" i="25" s="1"/>
  <c r="X61" i="25"/>
  <c r="AA63" i="25"/>
  <c r="H155" i="3"/>
  <c r="I155" i="3" s="1"/>
  <c r="H157" i="3"/>
  <c r="I157" i="3" s="1"/>
  <c r="H156" i="3"/>
  <c r="I156" i="3" s="1"/>
  <c r="H159" i="22"/>
  <c r="G159" i="21"/>
  <c r="H159" i="21"/>
  <c r="H156" i="25"/>
  <c r="H155" i="25"/>
  <c r="X52" i="25"/>
  <c r="H157" i="25"/>
  <c r="I157" i="25" s="1"/>
  <c r="AQ73" i="23"/>
  <c r="H159" i="23" s="1"/>
  <c r="H159" i="25"/>
  <c r="I159" i="25" s="1"/>
  <c r="H158" i="25"/>
  <c r="I158" i="25" s="1"/>
  <c r="H161" i="25"/>
  <c r="AA105" i="25"/>
  <c r="AC105" i="25" s="1"/>
  <c r="H162" i="25"/>
  <c r="AA47" i="25"/>
  <c r="AC47" i="25" s="1"/>
  <c r="H134" i="25"/>
  <c r="H160" i="25"/>
  <c r="W89" i="25"/>
  <c r="AC98" i="25"/>
  <c r="AB104" i="25"/>
  <c r="AC112" i="25"/>
  <c r="AC63" i="25"/>
  <c r="W122" i="25"/>
  <c r="W41" i="25"/>
  <c r="W57" i="25"/>
  <c r="H11" i="25"/>
  <c r="W22" i="25"/>
  <c r="W36" i="25"/>
  <c r="AB115" i="25"/>
  <c r="V136" i="25"/>
  <c r="V138" i="25" s="1"/>
  <c r="AC78" i="25"/>
  <c r="W26" i="25"/>
  <c r="W18" i="25"/>
  <c r="AC101" i="25"/>
  <c r="BL83" i="21"/>
  <c r="BL97" i="21"/>
  <c r="BL112" i="21"/>
  <c r="BK31" i="21"/>
  <c r="BL37" i="21"/>
  <c r="BL69" i="21"/>
  <c r="BL91" i="21"/>
  <c r="BJ41" i="21"/>
  <c r="BL53" i="21"/>
  <c r="BL74" i="21"/>
  <c r="BE65" i="21"/>
  <c r="BE57" i="21"/>
  <c r="BL45" i="21"/>
  <c r="BL109" i="21"/>
  <c r="BL73" i="24"/>
  <c r="BL23" i="21"/>
  <c r="BK91" i="21"/>
  <c r="BL74" i="24"/>
  <c r="BL101" i="9"/>
  <c r="BL99" i="21"/>
  <c r="BL105" i="21"/>
  <c r="BL35" i="23"/>
  <c r="BL46" i="23"/>
  <c r="BL50" i="23"/>
  <c r="BL76" i="23"/>
  <c r="BL111" i="23"/>
  <c r="BJ53" i="22"/>
  <c r="BL105" i="22"/>
  <c r="BJ31" i="21"/>
  <c r="BL22" i="22"/>
  <c r="BL34" i="23"/>
  <c r="BL45" i="23"/>
  <c r="BJ118" i="23"/>
  <c r="BL100" i="21"/>
  <c r="BL36" i="23"/>
  <c r="BJ96" i="23"/>
  <c r="BJ108" i="23"/>
  <c r="BI101" i="21"/>
  <c r="BL110" i="21"/>
  <c r="BL126" i="21"/>
  <c r="BL128" i="21"/>
  <c r="BL23" i="22"/>
  <c r="BL41" i="23"/>
  <c r="BL124" i="24"/>
  <c r="BL29" i="22"/>
  <c r="BL31" i="22"/>
  <c r="BL116" i="22"/>
  <c r="BJ99" i="23"/>
  <c r="BL63" i="16"/>
  <c r="BJ58" i="16"/>
  <c r="BJ55" i="16"/>
  <c r="BL65" i="16"/>
  <c r="BL57" i="16"/>
  <c r="BJ65" i="16"/>
  <c r="BJ62" i="16"/>
  <c r="BJ67" i="16"/>
  <c r="BL62" i="16"/>
  <c r="BJ59" i="16"/>
  <c r="BL67" i="16"/>
  <c r="BJ64" i="16"/>
  <c r="BL59" i="16"/>
  <c r="BJ56" i="16"/>
  <c r="BL64" i="16"/>
  <c r="BJ61" i="16"/>
  <c r="BL56" i="16"/>
  <c r="BJ66" i="16"/>
  <c r="BL61" i="16"/>
  <c r="BL66" i="16"/>
  <c r="BJ63" i="16"/>
  <c r="BL58" i="16"/>
  <c r="BJ60" i="16"/>
  <c r="BL55" i="16"/>
  <c r="BL60" i="16"/>
  <c r="BJ57" i="16"/>
  <c r="AA64" i="25"/>
  <c r="AC64" i="25" s="1"/>
  <c r="X63" i="16"/>
  <c r="BE63" i="16" s="1"/>
  <c r="X63" i="2"/>
  <c r="X63" i="9"/>
  <c r="X63" i="8"/>
  <c r="Z58" i="2"/>
  <c r="Z58" i="9"/>
  <c r="Z58" i="16"/>
  <c r="Z58" i="8"/>
  <c r="Z67" i="2"/>
  <c r="Z67" i="9"/>
  <c r="Z67" i="8"/>
  <c r="Z67" i="16"/>
  <c r="AB62" i="2"/>
  <c r="AB62" i="9"/>
  <c r="AB62" i="8"/>
  <c r="AB62" i="16"/>
  <c r="AK56" i="2"/>
  <c r="AK56" i="9"/>
  <c r="AK56" i="8"/>
  <c r="AK56" i="16"/>
  <c r="AK61" i="9"/>
  <c r="AK61" i="8"/>
  <c r="AK61" i="16"/>
  <c r="AK61" i="2"/>
  <c r="AK66" i="9"/>
  <c r="AK66" i="8"/>
  <c r="AK66" i="16"/>
  <c r="AK66" i="2"/>
  <c r="X55" i="8"/>
  <c r="X55" i="16"/>
  <c r="BE55" i="16" s="1"/>
  <c r="X55" i="2"/>
  <c r="X55" i="9"/>
  <c r="X64" i="16"/>
  <c r="BE64" i="16" s="1"/>
  <c r="X64" i="2"/>
  <c r="X64" i="8"/>
  <c r="X64" i="9"/>
  <c r="Z59" i="2"/>
  <c r="Z59" i="16"/>
  <c r="Z59" i="9"/>
  <c r="Z59" i="8"/>
  <c r="Z68" i="9"/>
  <c r="Z68" i="8"/>
  <c r="Z68" i="16"/>
  <c r="AB63" i="2"/>
  <c r="AB63" i="9"/>
  <c r="AB63" i="8"/>
  <c r="AB63" i="16"/>
  <c r="AJ58" i="2"/>
  <c r="AJ58" i="9"/>
  <c r="AJ58" i="16"/>
  <c r="AJ58" i="8"/>
  <c r="AJ62" i="2"/>
  <c r="AJ62" i="9"/>
  <c r="AJ62" i="8"/>
  <c r="AJ62" i="16"/>
  <c r="AJ67" i="2"/>
  <c r="AJ67" i="9"/>
  <c r="AJ67" i="8"/>
  <c r="AJ67" i="16"/>
  <c r="X56" i="8"/>
  <c r="X56" i="16"/>
  <c r="BE56" i="16" s="1"/>
  <c r="X56" i="9"/>
  <c r="X56" i="2"/>
  <c r="X66" i="16"/>
  <c r="BE66" i="16" s="1"/>
  <c r="X66" i="2"/>
  <c r="X66" i="8"/>
  <c r="X66" i="9"/>
  <c r="Z60" i="2"/>
  <c r="Z60" i="8"/>
  <c r="Z60" i="9"/>
  <c r="Z60" i="16"/>
  <c r="AB64" i="2"/>
  <c r="AB64" i="9"/>
  <c r="AB64" i="8"/>
  <c r="AB64" i="16"/>
  <c r="AK58" i="2"/>
  <c r="AK58" i="9"/>
  <c r="AK58" i="16"/>
  <c r="AK58" i="8"/>
  <c r="AK62" i="9"/>
  <c r="AK62" i="8"/>
  <c r="AK62" i="16"/>
  <c r="AK62" i="2"/>
  <c r="AK67" i="9"/>
  <c r="AK67" i="8"/>
  <c r="AK67" i="16"/>
  <c r="AK67" i="2"/>
  <c r="X58" i="16"/>
  <c r="BE58" i="16" s="1"/>
  <c r="X58" i="8"/>
  <c r="X58" i="9"/>
  <c r="X58" i="2"/>
  <c r="X67" i="16"/>
  <c r="BE67" i="16" s="1"/>
  <c r="X67" i="2"/>
  <c r="X67" i="8"/>
  <c r="X67" i="9"/>
  <c r="Z61" i="2"/>
  <c r="Z61" i="9"/>
  <c r="Z61" i="8"/>
  <c r="Z61" i="16"/>
  <c r="AB56" i="2"/>
  <c r="AB56" i="9"/>
  <c r="AB56" i="8"/>
  <c r="AB56" i="16"/>
  <c r="AB66" i="2"/>
  <c r="AB66" i="9"/>
  <c r="AB66" i="8"/>
  <c r="AB66" i="16"/>
  <c r="AJ59" i="2"/>
  <c r="AJ59" i="9"/>
  <c r="AJ59" i="16"/>
  <c r="AJ59" i="8"/>
  <c r="AJ63" i="2"/>
  <c r="AJ63" i="9"/>
  <c r="AJ63" i="8"/>
  <c r="AJ63" i="16"/>
  <c r="AJ68" i="9"/>
  <c r="AJ68" i="8"/>
  <c r="AJ68" i="16"/>
  <c r="X59" i="16"/>
  <c r="BE59" i="16" s="1"/>
  <c r="X59" i="8"/>
  <c r="X59" i="2"/>
  <c r="X59" i="9"/>
  <c r="X68" i="16"/>
  <c r="BE68" i="16" s="1"/>
  <c r="X68" i="9"/>
  <c r="X68" i="8"/>
  <c r="Z62" i="2"/>
  <c r="Z62" i="16"/>
  <c r="Z62" i="9"/>
  <c r="Z62" i="8"/>
  <c r="AB58" i="2"/>
  <c r="AB58" i="9"/>
  <c r="AB58" i="16"/>
  <c r="AB58" i="8"/>
  <c r="AB67" i="2"/>
  <c r="AB67" i="9"/>
  <c r="AB67" i="8"/>
  <c r="AB67" i="16"/>
  <c r="AK59" i="9"/>
  <c r="AK59" i="16"/>
  <c r="AK59" i="8"/>
  <c r="AK59" i="2"/>
  <c r="AK63" i="9"/>
  <c r="AK63" i="8"/>
  <c r="AK63" i="16"/>
  <c r="AK63" i="2"/>
  <c r="AK68" i="9"/>
  <c r="AK68" i="8"/>
  <c r="AK68" i="16"/>
  <c r="X60" i="16"/>
  <c r="BE60" i="16" s="1"/>
  <c r="X60" i="8"/>
  <c r="X60" i="2"/>
  <c r="X60" i="9"/>
  <c r="Z63" i="2"/>
  <c r="Z63" i="9"/>
  <c r="Z63" i="8"/>
  <c r="Z63" i="16"/>
  <c r="AB59" i="2"/>
  <c r="AB59" i="9"/>
  <c r="AB59" i="16"/>
  <c r="AB59" i="8"/>
  <c r="AB68" i="9"/>
  <c r="AB68" i="8"/>
  <c r="AB68" i="16"/>
  <c r="AJ60" i="2"/>
  <c r="AJ60" i="9"/>
  <c r="AJ60" i="16"/>
  <c r="AJ60" i="8"/>
  <c r="AJ64" i="2"/>
  <c r="AJ64" i="9"/>
  <c r="AJ64" i="8"/>
  <c r="AJ64" i="16"/>
  <c r="X61" i="8"/>
  <c r="X61" i="16"/>
  <c r="X61" i="2"/>
  <c r="X61" i="9"/>
  <c r="Z55" i="16"/>
  <c r="Z55" i="2"/>
  <c r="Z55" i="8"/>
  <c r="Z55" i="9"/>
  <c r="Z64" i="2"/>
  <c r="Z64" i="9"/>
  <c r="Z64" i="8"/>
  <c r="Z64" i="16"/>
  <c r="AB60" i="2"/>
  <c r="AB60" i="9"/>
  <c r="AB60" i="16"/>
  <c r="AB60" i="8"/>
  <c r="AK60" i="9"/>
  <c r="AK60" i="2"/>
  <c r="AK60" i="16"/>
  <c r="AK60" i="8"/>
  <c r="AK64" i="9"/>
  <c r="AK64" i="8"/>
  <c r="AK64" i="16"/>
  <c r="AK64" i="2"/>
  <c r="AK55" i="2"/>
  <c r="AK55" i="9"/>
  <c r="AK55" i="8"/>
  <c r="AK55" i="16"/>
  <c r="AB55" i="2"/>
  <c r="AB55" i="9"/>
  <c r="AB55" i="8"/>
  <c r="AB55" i="16"/>
  <c r="X62" i="8"/>
  <c r="X62" i="16"/>
  <c r="BE62" i="16" s="1"/>
  <c r="X62" i="2"/>
  <c r="X62" i="9"/>
  <c r="Z56" i="16"/>
  <c r="Z56" i="2"/>
  <c r="Z56" i="8"/>
  <c r="Z56" i="9"/>
  <c r="Z66" i="2"/>
  <c r="Z66" i="9"/>
  <c r="Z66" i="8"/>
  <c r="Z66" i="16"/>
  <c r="AB61" i="2"/>
  <c r="AB61" i="9"/>
  <c r="AB61" i="8"/>
  <c r="AB61" i="16"/>
  <c r="AJ56" i="2"/>
  <c r="AJ56" i="9"/>
  <c r="AJ56" i="8"/>
  <c r="AJ56" i="16"/>
  <c r="AJ61" i="2"/>
  <c r="AJ61" i="9"/>
  <c r="AJ61" i="8"/>
  <c r="AJ61" i="16"/>
  <c r="AJ66" i="2"/>
  <c r="AJ66" i="9"/>
  <c r="AJ66" i="8"/>
  <c r="AJ66" i="16"/>
  <c r="AJ55" i="2"/>
  <c r="AJ55" i="9"/>
  <c r="AJ55" i="16"/>
  <c r="AJ55" i="8"/>
  <c r="X117" i="25"/>
  <c r="X127" i="25"/>
  <c r="X22" i="25"/>
  <c r="AA116" i="25"/>
  <c r="X126" i="25"/>
  <c r="X41" i="25"/>
  <c r="X33" i="25"/>
  <c r="AA41" i="25"/>
  <c r="AC41" i="25" s="1"/>
  <c r="Y19" i="24"/>
  <c r="Y19" i="22"/>
  <c r="AP19" i="22" s="1"/>
  <c r="BI19" i="22" s="1"/>
  <c r="Y19" i="23"/>
  <c r="AP19" i="23" s="1"/>
  <c r="BI19" i="23" s="1"/>
  <c r="Y19" i="21"/>
  <c r="Y21" i="24"/>
  <c r="AP21" i="24" s="1"/>
  <c r="BI21" i="24" s="1"/>
  <c r="Y21" i="22"/>
  <c r="AP21" i="22" s="1"/>
  <c r="Y21" i="23"/>
  <c r="Y21" i="21"/>
  <c r="AP21" i="21" s="1"/>
  <c r="BI21" i="21" s="1"/>
  <c r="AA24" i="24"/>
  <c r="AA24" i="23"/>
  <c r="AR24" i="23" s="1"/>
  <c r="AA24" i="22"/>
  <c r="AR24" i="22" s="1"/>
  <c r="AA24" i="21"/>
  <c r="AR24" i="21" s="1"/>
  <c r="Z27" i="23"/>
  <c r="AQ27" i="23" s="1"/>
  <c r="Z27" i="24"/>
  <c r="Z27" i="22"/>
  <c r="AQ27" i="22" s="1"/>
  <c r="Z27" i="21"/>
  <c r="AE23" i="24"/>
  <c r="AE23" i="23"/>
  <c r="AV23" i="23" s="1"/>
  <c r="AE23" i="22"/>
  <c r="AV23" i="22" s="1"/>
  <c r="AE23" i="21"/>
  <c r="AV23" i="21" s="1"/>
  <c r="AL24" i="24"/>
  <c r="BC24" i="24" s="1"/>
  <c r="AL24" i="23"/>
  <c r="BC24" i="23" s="1"/>
  <c r="AL24" i="22"/>
  <c r="BC24" i="22" s="1"/>
  <c r="BL24" i="22" s="1"/>
  <c r="AL24" i="21"/>
  <c r="BC24" i="21" s="1"/>
  <c r="BL24" i="21" s="1"/>
  <c r="X34" i="24"/>
  <c r="BE34" i="24" s="1"/>
  <c r="X34" i="23"/>
  <c r="AO34" i="23" s="1"/>
  <c r="BH34" i="23" s="1"/>
  <c r="X34" i="22"/>
  <c r="AO34" i="22" s="1"/>
  <c r="BH34" i="22" s="1"/>
  <c r="X34" i="21"/>
  <c r="BE34" i="21" s="1"/>
  <c r="Z35" i="22"/>
  <c r="AQ35" i="22" s="1"/>
  <c r="Z35" i="24"/>
  <c r="Z35" i="23"/>
  <c r="AQ35" i="23" s="1"/>
  <c r="Z35" i="21"/>
  <c r="AQ35" i="21" s="1"/>
  <c r="BI35" i="21" s="1"/>
  <c r="AA40" i="24"/>
  <c r="AA40" i="23"/>
  <c r="AR40" i="23" s="1"/>
  <c r="AA40" i="22"/>
  <c r="AR40" i="22" s="1"/>
  <c r="AA40" i="21"/>
  <c r="AR40" i="21" s="1"/>
  <c r="AK40" i="24"/>
  <c r="BB40" i="24" s="1"/>
  <c r="BK40" i="24" s="1"/>
  <c r="AK40" i="23"/>
  <c r="BB40" i="23" s="1"/>
  <c r="AK40" i="22"/>
  <c r="BB40" i="22" s="1"/>
  <c r="BK40" i="22" s="1"/>
  <c r="AK40" i="21"/>
  <c r="BB40" i="21" s="1"/>
  <c r="BK40" i="21" s="1"/>
  <c r="X53" i="23"/>
  <c r="X53" i="24"/>
  <c r="AO53" i="24" s="1"/>
  <c r="BH53" i="24" s="1"/>
  <c r="X53" i="22"/>
  <c r="BE53" i="22" s="1"/>
  <c r="X53" i="21"/>
  <c r="BE53" i="21" s="1"/>
  <c r="X63" i="24"/>
  <c r="BE63" i="24" s="1"/>
  <c r="X63" i="23"/>
  <c r="X63" i="22"/>
  <c r="X63" i="21"/>
  <c r="X58" i="3"/>
  <c r="Z58" i="23"/>
  <c r="Z58" i="24"/>
  <c r="Z58" i="22"/>
  <c r="Z58" i="21"/>
  <c r="X67" i="3"/>
  <c r="Z67" i="24"/>
  <c r="Z67" i="23"/>
  <c r="Z67" i="22"/>
  <c r="Z67" i="21"/>
  <c r="Z47" i="24"/>
  <c r="Z47" i="23"/>
  <c r="AQ47" i="23" s="1"/>
  <c r="Z47" i="22"/>
  <c r="AQ47" i="22" s="1"/>
  <c r="Z47" i="21"/>
  <c r="AB53" i="24"/>
  <c r="AS53" i="24" s="1"/>
  <c r="AB53" i="22"/>
  <c r="AS53" i="22" s="1"/>
  <c r="AB53" i="21"/>
  <c r="AS53" i="21" s="1"/>
  <c r="AB53" i="23"/>
  <c r="AS53" i="23" s="1"/>
  <c r="AB62" i="24"/>
  <c r="AS62" i="24" s="1"/>
  <c r="AB62" i="23"/>
  <c r="AS62" i="23" s="1"/>
  <c r="AB62" i="21"/>
  <c r="AS62" i="21" s="1"/>
  <c r="AB62" i="22"/>
  <c r="AS62" i="22" s="1"/>
  <c r="AH52" i="23"/>
  <c r="AY52" i="23" s="1"/>
  <c r="AH52" i="24"/>
  <c r="AH133" i="24" s="1"/>
  <c r="AH52" i="22"/>
  <c r="AY52" i="22" s="1"/>
  <c r="AH52" i="21"/>
  <c r="AY52" i="21" s="1"/>
  <c r="AK56" i="24"/>
  <c r="AK56" i="22"/>
  <c r="BB56" i="22" s="1"/>
  <c r="AK56" i="21"/>
  <c r="BB56" i="21" s="1"/>
  <c r="AK56" i="23"/>
  <c r="AK61" i="24"/>
  <c r="AK61" i="22"/>
  <c r="BB61" i="22" s="1"/>
  <c r="AK61" i="21"/>
  <c r="BB61" i="21" s="1"/>
  <c r="AK61" i="23"/>
  <c r="BB61" i="23" s="1"/>
  <c r="AK66" i="24"/>
  <c r="BB66" i="24" s="1"/>
  <c r="AK66" i="22"/>
  <c r="BB66" i="22" s="1"/>
  <c r="AK66" i="23"/>
  <c r="BB66" i="23" s="1"/>
  <c r="AK66" i="21"/>
  <c r="BB66" i="21" s="1"/>
  <c r="X21" i="22"/>
  <c r="AO21" i="22" s="1"/>
  <c r="BH21" i="22" s="1"/>
  <c r="X21" i="24"/>
  <c r="BE21" i="24" s="1"/>
  <c r="X21" i="23"/>
  <c r="BE21" i="23" s="1"/>
  <c r="X21" i="21"/>
  <c r="AO21" i="21" s="1"/>
  <c r="BH21" i="21" s="1"/>
  <c r="Z22" i="24"/>
  <c r="AQ22" i="24" s="1"/>
  <c r="Z22" i="22"/>
  <c r="AQ22" i="22" s="1"/>
  <c r="Z22" i="21"/>
  <c r="AQ22" i="21" s="1"/>
  <c r="Z22" i="23"/>
  <c r="AB24" i="22"/>
  <c r="AS24" i="22" s="1"/>
  <c r="AB24" i="23"/>
  <c r="AS24" i="23" s="1"/>
  <c r="AB24" i="24"/>
  <c r="AS24" i="24" s="1"/>
  <c r="AB24" i="21"/>
  <c r="AS24" i="21" s="1"/>
  <c r="AA27" i="24"/>
  <c r="AA27" i="23"/>
  <c r="AR27" i="23" s="1"/>
  <c r="AA27" i="22"/>
  <c r="AR27" i="22" s="1"/>
  <c r="AA27" i="21"/>
  <c r="AF23" i="23"/>
  <c r="AW23" i="23" s="1"/>
  <c r="AF23" i="24"/>
  <c r="AW23" i="24" s="1"/>
  <c r="AF23" i="22"/>
  <c r="AW23" i="22" s="1"/>
  <c r="AF23" i="21"/>
  <c r="AW23" i="21" s="1"/>
  <c r="AL25" i="24"/>
  <c r="BC25" i="24" s="1"/>
  <c r="BL25" i="24" s="1"/>
  <c r="AL25" i="23"/>
  <c r="BC25" i="23" s="1"/>
  <c r="BL25" i="23" s="1"/>
  <c r="AL25" i="22"/>
  <c r="BC25" i="22" s="1"/>
  <c r="BL25" i="22" s="1"/>
  <c r="AL25" i="21"/>
  <c r="Y34" i="24"/>
  <c r="Y34" i="22"/>
  <c r="Y34" i="23"/>
  <c r="AP34" i="23" s="1"/>
  <c r="BI34" i="23" s="1"/>
  <c r="Y34" i="21"/>
  <c r="AP34" i="21" s="1"/>
  <c r="Z36" i="22"/>
  <c r="AQ36" i="22" s="1"/>
  <c r="Z36" i="24"/>
  <c r="AQ36" i="24" s="1"/>
  <c r="Z36" i="23"/>
  <c r="AQ36" i="23" s="1"/>
  <c r="Z36" i="21"/>
  <c r="AQ36" i="21" s="1"/>
  <c r="AB40" i="22"/>
  <c r="AS40" i="22" s="1"/>
  <c r="AB40" i="24"/>
  <c r="AS40" i="24" s="1"/>
  <c r="AB40" i="23"/>
  <c r="AS40" i="23" s="1"/>
  <c r="AB40" i="21"/>
  <c r="AS40" i="21" s="1"/>
  <c r="X44" i="24"/>
  <c r="AO44" i="24" s="1"/>
  <c r="BH44" i="24" s="1"/>
  <c r="X44" i="23"/>
  <c r="BE44" i="23" s="1"/>
  <c r="X44" i="22"/>
  <c r="BE44" i="22" s="1"/>
  <c r="X44" i="21"/>
  <c r="BE44" i="21" s="1"/>
  <c r="X55" i="23"/>
  <c r="X55" i="24"/>
  <c r="BE55" i="24" s="1"/>
  <c r="X55" i="22"/>
  <c r="X55" i="21"/>
  <c r="X64" i="23"/>
  <c r="X64" i="24"/>
  <c r="BE64" i="24" s="1"/>
  <c r="X64" i="22"/>
  <c r="X64" i="21"/>
  <c r="X59" i="3"/>
  <c r="Z59" i="23"/>
  <c r="Z59" i="24"/>
  <c r="Z59" i="22"/>
  <c r="Z59" i="21"/>
  <c r="Z68" i="24"/>
  <c r="Z68" i="23"/>
  <c r="Z68" i="22"/>
  <c r="Z68" i="21"/>
  <c r="Y44" i="24"/>
  <c r="BF44" i="24" s="1"/>
  <c r="Y44" i="23"/>
  <c r="Y44" i="21"/>
  <c r="BF44" i="21" s="1"/>
  <c r="Y44" i="22"/>
  <c r="BF44" i="22" s="1"/>
  <c r="AC45" i="22"/>
  <c r="AT45" i="22" s="1"/>
  <c r="BJ45" i="22" s="1"/>
  <c r="AC45" i="24"/>
  <c r="AC45" i="23"/>
  <c r="AC45" i="21"/>
  <c r="AT45" i="21" s="1"/>
  <c r="BJ45" i="21" s="1"/>
  <c r="AB63" i="24"/>
  <c r="AB63" i="22"/>
  <c r="AS63" i="22" s="1"/>
  <c r="AB63" i="23"/>
  <c r="AS63" i="23" s="1"/>
  <c r="AB63" i="21"/>
  <c r="AS63" i="21" s="1"/>
  <c r="AI52" i="24"/>
  <c r="AZ52" i="24" s="1"/>
  <c r="AI52" i="23"/>
  <c r="AZ52" i="23" s="1"/>
  <c r="AI52" i="22"/>
  <c r="AZ52" i="22" s="1"/>
  <c r="AI52" i="21"/>
  <c r="AZ52" i="21" s="1"/>
  <c r="AZ133" i="21" s="1"/>
  <c r="AJ58" i="24"/>
  <c r="AJ58" i="23"/>
  <c r="AJ58" i="22"/>
  <c r="BA58" i="22" s="1"/>
  <c r="AJ58" i="21"/>
  <c r="BA58" i="21" s="1"/>
  <c r="AJ62" i="24"/>
  <c r="BA62" i="24" s="1"/>
  <c r="AJ62" i="23"/>
  <c r="BA62" i="23" s="1"/>
  <c r="AJ62" i="21"/>
  <c r="BA62" i="21" s="1"/>
  <c r="AJ62" i="22"/>
  <c r="BA62" i="22" s="1"/>
  <c r="AJ67" i="24"/>
  <c r="AJ67" i="21"/>
  <c r="AJ67" i="22"/>
  <c r="BA67" i="22" s="1"/>
  <c r="AJ67" i="23"/>
  <c r="BA67" i="23" s="1"/>
  <c r="X22" i="23"/>
  <c r="BE22" i="23" s="1"/>
  <c r="X22" i="24"/>
  <c r="BE22" i="24" s="1"/>
  <c r="X22" i="22"/>
  <c r="X22" i="21"/>
  <c r="AO22" i="21" s="1"/>
  <c r="BH22" i="21" s="1"/>
  <c r="AA22" i="24"/>
  <c r="AR22" i="24" s="1"/>
  <c r="AA22" i="23"/>
  <c r="AR22" i="23" s="1"/>
  <c r="AA22" i="22"/>
  <c r="AR22" i="22" s="1"/>
  <c r="AA22" i="21"/>
  <c r="AR22" i="21" s="1"/>
  <c r="Z25" i="23"/>
  <c r="AQ25" i="23" s="1"/>
  <c r="Z25" i="24"/>
  <c r="Z25" i="21"/>
  <c r="Z25" i="22"/>
  <c r="AQ25" i="22" s="1"/>
  <c r="AB27" i="23"/>
  <c r="AS27" i="23" s="1"/>
  <c r="AB27" i="24"/>
  <c r="AB27" i="22"/>
  <c r="AS27" i="22" s="1"/>
  <c r="AB27" i="21"/>
  <c r="AD25" i="24"/>
  <c r="AD25" i="23"/>
  <c r="AU25" i="23" s="1"/>
  <c r="AD25" i="22"/>
  <c r="AU25" i="22" s="1"/>
  <c r="AD25" i="21"/>
  <c r="X30" i="24"/>
  <c r="BE30" i="24" s="1"/>
  <c r="X30" i="22"/>
  <c r="X30" i="23"/>
  <c r="X30" i="21"/>
  <c r="BE30" i="21" s="1"/>
  <c r="X35" i="24"/>
  <c r="BE35" i="24" s="1"/>
  <c r="X35" i="22"/>
  <c r="AO35" i="22" s="1"/>
  <c r="BH35" i="22" s="1"/>
  <c r="X35" i="21"/>
  <c r="X35" i="23"/>
  <c r="BE35" i="23" s="1"/>
  <c r="AB35" i="24"/>
  <c r="AS35" i="24" s="1"/>
  <c r="AB35" i="23"/>
  <c r="AS35" i="23" s="1"/>
  <c r="AB35" i="22"/>
  <c r="AS35" i="22" s="1"/>
  <c r="AB35" i="21"/>
  <c r="AS35" i="21" s="1"/>
  <c r="Y41" i="24"/>
  <c r="AP41" i="24" s="1"/>
  <c r="Y41" i="23"/>
  <c r="AP41" i="23" s="1"/>
  <c r="Y41" i="22"/>
  <c r="Y41" i="21"/>
  <c r="BF41" i="21" s="1"/>
  <c r="X45" i="24"/>
  <c r="BE45" i="24" s="1"/>
  <c r="X45" i="23"/>
  <c r="X45" i="22"/>
  <c r="X45" i="21"/>
  <c r="BE45" i="21" s="1"/>
  <c r="X56" i="23"/>
  <c r="BE56" i="23" s="1"/>
  <c r="X56" i="24"/>
  <c r="BE56" i="24" s="1"/>
  <c r="X56" i="22"/>
  <c r="X56" i="21"/>
  <c r="X66" i="24"/>
  <c r="BE66" i="24" s="1"/>
  <c r="X66" i="23"/>
  <c r="X66" i="22"/>
  <c r="X66" i="21"/>
  <c r="Z60" i="24"/>
  <c r="Z60" i="23"/>
  <c r="Z60" i="22"/>
  <c r="Z60" i="21"/>
  <c r="Z69" i="24"/>
  <c r="Z69" i="23"/>
  <c r="Z69" i="22"/>
  <c r="Z69" i="21"/>
  <c r="Y45" i="24"/>
  <c r="Y45" i="23"/>
  <c r="BF45" i="23" s="1"/>
  <c r="BO45" i="23" s="1"/>
  <c r="Y45" i="21"/>
  <c r="Y45" i="22"/>
  <c r="BF45" i="22" s="1"/>
  <c r="BO45" i="22" s="1"/>
  <c r="AC47" i="22"/>
  <c r="AT47" i="22" s="1"/>
  <c r="AC47" i="24"/>
  <c r="AC47" i="23"/>
  <c r="AT47" i="23" s="1"/>
  <c r="BJ47" i="23" s="1"/>
  <c r="AC47" i="21"/>
  <c r="AT47" i="21" s="1"/>
  <c r="BJ47" i="21" s="1"/>
  <c r="AB64" i="24"/>
  <c r="AB64" i="22"/>
  <c r="AS64" i="22" s="1"/>
  <c r="AB64" i="23"/>
  <c r="AS64" i="23" s="1"/>
  <c r="AB64" i="21"/>
  <c r="AS64" i="21" s="1"/>
  <c r="AJ49" i="22"/>
  <c r="BA49" i="22" s="1"/>
  <c r="AJ49" i="23"/>
  <c r="BA49" i="23" s="1"/>
  <c r="AJ49" i="24"/>
  <c r="BA49" i="24" s="1"/>
  <c r="AJ49" i="21"/>
  <c r="BA49" i="21" s="1"/>
  <c r="AK58" i="24"/>
  <c r="AK58" i="22"/>
  <c r="BB58" i="22" s="1"/>
  <c r="AK58" i="23"/>
  <c r="AK58" i="21"/>
  <c r="BB58" i="21" s="1"/>
  <c r="AK62" i="24"/>
  <c r="BB62" i="24" s="1"/>
  <c r="AK62" i="22"/>
  <c r="BB62" i="22" s="1"/>
  <c r="AK62" i="23"/>
  <c r="BB62" i="23" s="1"/>
  <c r="AK62" i="21"/>
  <c r="BB62" i="21" s="1"/>
  <c r="AK67" i="24"/>
  <c r="AK67" i="22"/>
  <c r="BB67" i="22" s="1"/>
  <c r="AK67" i="23"/>
  <c r="BB67" i="23" s="1"/>
  <c r="AK67" i="21"/>
  <c r="X23" i="23"/>
  <c r="AO23" i="23" s="1"/>
  <c r="BH23" i="23" s="1"/>
  <c r="X23" i="24"/>
  <c r="BE23" i="24" s="1"/>
  <c r="X23" i="22"/>
  <c r="AO23" i="22" s="1"/>
  <c r="BH23" i="22" s="1"/>
  <c r="X23" i="21"/>
  <c r="BE23" i="21" s="1"/>
  <c r="AB22" i="22"/>
  <c r="AS22" i="22" s="1"/>
  <c r="AB22" i="24"/>
  <c r="AS22" i="24" s="1"/>
  <c r="AB22" i="23"/>
  <c r="AS22" i="23" s="1"/>
  <c r="AB22" i="21"/>
  <c r="AS22" i="21" s="1"/>
  <c r="AA25" i="24"/>
  <c r="AR25" i="24" s="1"/>
  <c r="AA25" i="23"/>
  <c r="AR25" i="23" s="1"/>
  <c r="AA25" i="22"/>
  <c r="AR25" i="22" s="1"/>
  <c r="AA25" i="21"/>
  <c r="AR25" i="21" s="1"/>
  <c r="AC19" i="24"/>
  <c r="AC131" i="24" s="1"/>
  <c r="AC19" i="23"/>
  <c r="AC19" i="22"/>
  <c r="AT19" i="22" s="1"/>
  <c r="BJ19" i="22" s="1"/>
  <c r="AC19" i="21"/>
  <c r="AT19" i="21" s="1"/>
  <c r="BJ19" i="21" s="1"/>
  <c r="AE25" i="24"/>
  <c r="AV25" i="24" s="1"/>
  <c r="AE25" i="23"/>
  <c r="AV25" i="23" s="1"/>
  <c r="AE25" i="22"/>
  <c r="AV25" i="22" s="1"/>
  <c r="AE25" i="21"/>
  <c r="AV25" i="21" s="1"/>
  <c r="Y30" i="24"/>
  <c r="BF30" i="24" s="1"/>
  <c r="Y30" i="22"/>
  <c r="AP30" i="22" s="1"/>
  <c r="Y30" i="23"/>
  <c r="BF30" i="23" s="1"/>
  <c r="Y30" i="21"/>
  <c r="BF30" i="21" s="1"/>
  <c r="X36" i="24"/>
  <c r="BE36" i="24" s="1"/>
  <c r="X36" i="22"/>
  <c r="BE36" i="22" s="1"/>
  <c r="X36" i="21"/>
  <c r="AO36" i="21" s="1"/>
  <c r="BH36" i="21" s="1"/>
  <c r="X36" i="23"/>
  <c r="AO36" i="23" s="1"/>
  <c r="BH36" i="23" s="1"/>
  <c r="AB36" i="24"/>
  <c r="AS36" i="24" s="1"/>
  <c r="AB36" i="23"/>
  <c r="AS36" i="23" s="1"/>
  <c r="AB36" i="22"/>
  <c r="AS36" i="22" s="1"/>
  <c r="AB36" i="21"/>
  <c r="AS36" i="21" s="1"/>
  <c r="AC34" i="23"/>
  <c r="AT34" i="23" s="1"/>
  <c r="BJ34" i="23" s="1"/>
  <c r="AC34" i="22"/>
  <c r="AT34" i="22" s="1"/>
  <c r="BJ34" i="22" s="1"/>
  <c r="AC34" i="24"/>
  <c r="AT34" i="24" s="1"/>
  <c r="BJ34" i="24" s="1"/>
  <c r="AC34" i="21"/>
  <c r="AT34" i="21" s="1"/>
  <c r="BJ34" i="21" s="1"/>
  <c r="X46" i="24"/>
  <c r="AO46" i="24" s="1"/>
  <c r="BH46" i="24" s="1"/>
  <c r="X46" i="23"/>
  <c r="AO46" i="23" s="1"/>
  <c r="BH46" i="23" s="1"/>
  <c r="X46" i="22"/>
  <c r="AO46" i="22" s="1"/>
  <c r="BH46" i="22" s="1"/>
  <c r="X46" i="21"/>
  <c r="BE46" i="21" s="1"/>
  <c r="X58" i="23"/>
  <c r="X58" i="24"/>
  <c r="BE58" i="24" s="1"/>
  <c r="X58" i="21"/>
  <c r="X58" i="22"/>
  <c r="X67" i="23"/>
  <c r="X67" i="24"/>
  <c r="BE67" i="24" s="1"/>
  <c r="X67" i="21"/>
  <c r="X67" i="22"/>
  <c r="Z61" i="24"/>
  <c r="Z61" i="23"/>
  <c r="Z61" i="22"/>
  <c r="Z61" i="21"/>
  <c r="Z49" i="24"/>
  <c r="Z49" i="23"/>
  <c r="AQ49" i="23" s="1"/>
  <c r="Z49" i="22"/>
  <c r="AQ49" i="22" s="1"/>
  <c r="Z49" i="21"/>
  <c r="AQ49" i="21" s="1"/>
  <c r="Y52" i="24"/>
  <c r="AP52" i="24" s="1"/>
  <c r="Y52" i="23"/>
  <c r="Y52" i="21"/>
  <c r="AP52" i="21" s="1"/>
  <c r="Y52" i="22"/>
  <c r="AP52" i="22" s="1"/>
  <c r="AB56" i="24"/>
  <c r="AB56" i="22"/>
  <c r="AS56" i="22" s="1"/>
  <c r="AB56" i="23"/>
  <c r="AB56" i="21"/>
  <c r="AS56" i="21" s="1"/>
  <c r="AB66" i="24"/>
  <c r="AS66" i="24" s="1"/>
  <c r="AB66" i="22"/>
  <c r="AS66" i="22" s="1"/>
  <c r="AB66" i="23"/>
  <c r="AS66" i="23" s="1"/>
  <c r="AB66" i="21"/>
  <c r="AS66" i="21" s="1"/>
  <c r="AK49" i="22"/>
  <c r="BB49" i="22" s="1"/>
  <c r="AK49" i="24"/>
  <c r="BB49" i="24" s="1"/>
  <c r="AK49" i="23"/>
  <c r="BB49" i="23" s="1"/>
  <c r="AK49" i="21"/>
  <c r="BB49" i="21" s="1"/>
  <c r="AJ59" i="24"/>
  <c r="AJ59" i="22"/>
  <c r="BA59" i="22" s="1"/>
  <c r="AJ59" i="21"/>
  <c r="BA59" i="21" s="1"/>
  <c r="AJ59" i="23"/>
  <c r="AJ63" i="24"/>
  <c r="AJ63" i="22"/>
  <c r="BA63" i="22" s="1"/>
  <c r="AJ63" i="23"/>
  <c r="BA63" i="23" s="1"/>
  <c r="AJ63" i="21"/>
  <c r="BA63" i="21" s="1"/>
  <c r="AJ68" i="24"/>
  <c r="AJ68" i="22"/>
  <c r="AJ68" i="23"/>
  <c r="AJ68" i="21"/>
  <c r="X24" i="23"/>
  <c r="AO24" i="23" s="1"/>
  <c r="BH24" i="23" s="1"/>
  <c r="X24" i="24"/>
  <c r="BE24" i="24" s="1"/>
  <c r="X24" i="22"/>
  <c r="BE24" i="22" s="1"/>
  <c r="X24" i="21"/>
  <c r="BE24" i="21" s="1"/>
  <c r="Z23" i="23"/>
  <c r="AQ23" i="23" s="1"/>
  <c r="Z23" i="24"/>
  <c r="AQ23" i="24" s="1"/>
  <c r="Z23" i="21"/>
  <c r="AQ23" i="21" s="1"/>
  <c r="Z23" i="22"/>
  <c r="AQ23" i="22" s="1"/>
  <c r="AB25" i="22"/>
  <c r="AS25" i="22" s="1"/>
  <c r="AB25" i="24"/>
  <c r="AB25" i="23"/>
  <c r="AS25" i="23" s="1"/>
  <c r="AB25" i="21"/>
  <c r="AD21" i="24"/>
  <c r="AD21" i="23"/>
  <c r="AU21" i="23" s="1"/>
  <c r="AD21" i="22"/>
  <c r="AU21" i="22" s="1"/>
  <c r="AD21" i="21"/>
  <c r="AU21" i="21" s="1"/>
  <c r="AF25" i="23"/>
  <c r="AW25" i="23" s="1"/>
  <c r="AF25" i="24"/>
  <c r="AW25" i="24" s="1"/>
  <c r="AF25" i="22"/>
  <c r="AW25" i="22" s="1"/>
  <c r="AF25" i="21"/>
  <c r="AW25" i="21" s="1"/>
  <c r="X31" i="24"/>
  <c r="BE31" i="24" s="1"/>
  <c r="X31" i="23"/>
  <c r="X31" i="22"/>
  <c r="BE31" i="22" s="1"/>
  <c r="X31" i="21"/>
  <c r="X37" i="24"/>
  <c r="BE37" i="24" s="1"/>
  <c r="X37" i="22"/>
  <c r="AO37" i="22" s="1"/>
  <c r="BH37" i="22" s="1"/>
  <c r="X37" i="23"/>
  <c r="BE37" i="23" s="1"/>
  <c r="X37" i="21"/>
  <c r="AO37" i="21" s="1"/>
  <c r="BH37" i="21" s="1"/>
  <c r="Z39" i="22"/>
  <c r="AQ39" i="22" s="1"/>
  <c r="Z39" i="24"/>
  <c r="Z39" i="23"/>
  <c r="Z39" i="21"/>
  <c r="AQ39" i="21" s="1"/>
  <c r="AC36" i="23"/>
  <c r="AT36" i="23" s="1"/>
  <c r="BJ36" i="23" s="1"/>
  <c r="AC36" i="22"/>
  <c r="AT36" i="22" s="1"/>
  <c r="BJ36" i="22" s="1"/>
  <c r="AC36" i="24"/>
  <c r="AC36" i="21"/>
  <c r="X47" i="24"/>
  <c r="BE47" i="24" s="1"/>
  <c r="X47" i="23"/>
  <c r="X47" i="22"/>
  <c r="BE47" i="22" s="1"/>
  <c r="X47" i="21"/>
  <c r="AO47" i="21" s="1"/>
  <c r="BH47" i="21" s="1"/>
  <c r="X59" i="23"/>
  <c r="BE59" i="23" s="1"/>
  <c r="X59" i="24"/>
  <c r="BE59" i="24" s="1"/>
  <c r="X59" i="22"/>
  <c r="X59" i="21"/>
  <c r="X68" i="24"/>
  <c r="BE68" i="24" s="1"/>
  <c r="X68" i="23"/>
  <c r="X68" i="21"/>
  <c r="BE68" i="21" s="1"/>
  <c r="X68" i="22"/>
  <c r="BE68" i="22" s="1"/>
  <c r="X62" i="3"/>
  <c r="Z62" i="24"/>
  <c r="Z62" i="23"/>
  <c r="Z62" i="22"/>
  <c r="Z62" i="21"/>
  <c r="Z50" i="24"/>
  <c r="AQ50" i="24" s="1"/>
  <c r="Z50" i="23"/>
  <c r="AQ50" i="23" s="1"/>
  <c r="Z50" i="22"/>
  <c r="AQ50" i="22" s="1"/>
  <c r="Z50" i="21"/>
  <c r="AQ50" i="21" s="1"/>
  <c r="AB46" i="22"/>
  <c r="AS46" i="22" s="1"/>
  <c r="AB46" i="21"/>
  <c r="AS46" i="21" s="1"/>
  <c r="AB46" i="23"/>
  <c r="AS46" i="23" s="1"/>
  <c r="AB46" i="24"/>
  <c r="AS46" i="24" s="1"/>
  <c r="AB58" i="24"/>
  <c r="AB58" i="23"/>
  <c r="AB58" i="22"/>
  <c r="AS58" i="22" s="1"/>
  <c r="AB58" i="21"/>
  <c r="AS58" i="21" s="1"/>
  <c r="AB67" i="24"/>
  <c r="AB67" i="22"/>
  <c r="AS67" i="22" s="1"/>
  <c r="AB67" i="21"/>
  <c r="AB67" i="23"/>
  <c r="AS67" i="23" s="1"/>
  <c r="AK50" i="22"/>
  <c r="BB50" i="22" s="1"/>
  <c r="AK50" i="23"/>
  <c r="BB50" i="23" s="1"/>
  <c r="AK50" i="21"/>
  <c r="BB50" i="21" s="1"/>
  <c r="AK50" i="24"/>
  <c r="BB50" i="24" s="1"/>
  <c r="AK59" i="24"/>
  <c r="AK59" i="22"/>
  <c r="BB59" i="22" s="1"/>
  <c r="AK59" i="21"/>
  <c r="BB59" i="21" s="1"/>
  <c r="AK59" i="23"/>
  <c r="AK63" i="24"/>
  <c r="AK63" i="22"/>
  <c r="BB63" i="22" s="1"/>
  <c r="AK63" i="23"/>
  <c r="BB63" i="23" s="1"/>
  <c r="AK63" i="21"/>
  <c r="BB63" i="21" s="1"/>
  <c r="AK68" i="24"/>
  <c r="AK68" i="22"/>
  <c r="AK68" i="21"/>
  <c r="AK68" i="23"/>
  <c r="AR24" i="24"/>
  <c r="X18" i="24"/>
  <c r="BE18" i="24" s="1"/>
  <c r="X18" i="22"/>
  <c r="BE18" i="22" s="1"/>
  <c r="X18" i="23"/>
  <c r="BE18" i="23" s="1"/>
  <c r="X18" i="21"/>
  <c r="AO18" i="21" s="1"/>
  <c r="BH18" i="21" s="1"/>
  <c r="X25" i="24"/>
  <c r="BE25" i="24" s="1"/>
  <c r="X25" i="22"/>
  <c r="X25" i="23"/>
  <c r="BE25" i="23" s="1"/>
  <c r="X25" i="21"/>
  <c r="AA23" i="24"/>
  <c r="AR23" i="24" s="1"/>
  <c r="AA23" i="23"/>
  <c r="AR23" i="23" s="1"/>
  <c r="AA23" i="22"/>
  <c r="AR23" i="22" s="1"/>
  <c r="AA23" i="21"/>
  <c r="AR23" i="21" s="1"/>
  <c r="Z26" i="23"/>
  <c r="AQ26" i="23" s="1"/>
  <c r="Z26" i="24"/>
  <c r="Z26" i="22"/>
  <c r="Z26" i="21"/>
  <c r="AQ26" i="21" s="1"/>
  <c r="AE21" i="24"/>
  <c r="AV21" i="24" s="1"/>
  <c r="AE21" i="23"/>
  <c r="AV21" i="23" s="1"/>
  <c r="AE21" i="22"/>
  <c r="AV21" i="22" s="1"/>
  <c r="AE21" i="21"/>
  <c r="AV21" i="21" s="1"/>
  <c r="AD27" i="24"/>
  <c r="AU27" i="24" s="1"/>
  <c r="AD27" i="23"/>
  <c r="AU27" i="23" s="1"/>
  <c r="AD27" i="22"/>
  <c r="AU27" i="22" s="1"/>
  <c r="AD27" i="21"/>
  <c r="AU27" i="21" s="1"/>
  <c r="Y31" i="24"/>
  <c r="BF31" i="24" s="1"/>
  <c r="Y31" i="22"/>
  <c r="BF31" i="22" s="1"/>
  <c r="Y31" i="23"/>
  <c r="AP31" i="23" s="1"/>
  <c r="BI31" i="23" s="1"/>
  <c r="Y31" i="21"/>
  <c r="AP31" i="21" s="1"/>
  <c r="BI31" i="21" s="1"/>
  <c r="X39" i="24"/>
  <c r="BE39" i="24" s="1"/>
  <c r="X39" i="23"/>
  <c r="X39" i="22"/>
  <c r="AO39" i="22" s="1"/>
  <c r="BH39" i="22" s="1"/>
  <c r="X39" i="21"/>
  <c r="AA39" i="24"/>
  <c r="AR39" i="24" s="1"/>
  <c r="AA39" i="23"/>
  <c r="AR39" i="23" s="1"/>
  <c r="AA39" i="22"/>
  <c r="AR39" i="22" s="1"/>
  <c r="AA39" i="21"/>
  <c r="AR39" i="21" s="1"/>
  <c r="AC37" i="23"/>
  <c r="AT37" i="23" s="1"/>
  <c r="BJ37" i="23" s="1"/>
  <c r="AC37" i="22"/>
  <c r="AC37" i="24"/>
  <c r="AT37" i="24" s="1"/>
  <c r="BJ37" i="24" s="1"/>
  <c r="AC37" i="21"/>
  <c r="BF37" i="21" s="1"/>
  <c r="X49" i="24"/>
  <c r="AO49" i="24" s="1"/>
  <c r="BH49" i="24" s="1"/>
  <c r="X49" i="23"/>
  <c r="AO49" i="23" s="1"/>
  <c r="BH49" i="23" s="1"/>
  <c r="X49" i="22"/>
  <c r="AO49" i="22" s="1"/>
  <c r="X49" i="21"/>
  <c r="BE49" i="21" s="1"/>
  <c r="X60" i="23"/>
  <c r="BE60" i="23" s="1"/>
  <c r="X60" i="24"/>
  <c r="BE60" i="24" s="1"/>
  <c r="X60" i="22"/>
  <c r="X60" i="21"/>
  <c r="X69" i="23"/>
  <c r="X69" i="24"/>
  <c r="BE69" i="24" s="1"/>
  <c r="X69" i="22"/>
  <c r="X69" i="21"/>
  <c r="BE69" i="21" s="1"/>
  <c r="Z63" i="24"/>
  <c r="Z63" i="23"/>
  <c r="Z63" i="22"/>
  <c r="Z63" i="21"/>
  <c r="Z52" i="23"/>
  <c r="AQ52" i="23" s="1"/>
  <c r="Z52" i="24"/>
  <c r="AQ52" i="24" s="1"/>
  <c r="Z52" i="22"/>
  <c r="AQ52" i="22" s="1"/>
  <c r="Z52" i="21"/>
  <c r="AQ52" i="21" s="1"/>
  <c r="AB47" i="22"/>
  <c r="AS47" i="22" s="1"/>
  <c r="AB47" i="23"/>
  <c r="AS47" i="23" s="1"/>
  <c r="AB47" i="21"/>
  <c r="AS47" i="21" s="1"/>
  <c r="AB47" i="24"/>
  <c r="AS47" i="24" s="1"/>
  <c r="AB59" i="24"/>
  <c r="AB59" i="22"/>
  <c r="AS59" i="22" s="1"/>
  <c r="AB59" i="21"/>
  <c r="AS59" i="21" s="1"/>
  <c r="AB59" i="23"/>
  <c r="AB68" i="24"/>
  <c r="AB68" i="22"/>
  <c r="BF68" i="22" s="1"/>
  <c r="AB68" i="23"/>
  <c r="AB68" i="21"/>
  <c r="AJ53" i="24"/>
  <c r="AJ53" i="22"/>
  <c r="BA53" i="22" s="1"/>
  <c r="AJ53" i="21"/>
  <c r="BA53" i="21" s="1"/>
  <c r="AJ53" i="23"/>
  <c r="BA53" i="23" s="1"/>
  <c r="AJ60" i="24"/>
  <c r="AJ60" i="23"/>
  <c r="AJ60" i="22"/>
  <c r="BA60" i="22" s="1"/>
  <c r="AJ60" i="21"/>
  <c r="BA60" i="21" s="1"/>
  <c r="AJ64" i="24"/>
  <c r="AJ64" i="22"/>
  <c r="BA64" i="22" s="1"/>
  <c r="AJ64" i="23"/>
  <c r="BA64" i="23" s="1"/>
  <c r="AJ64" i="21"/>
  <c r="BA64" i="21" s="1"/>
  <c r="AK69" i="24"/>
  <c r="AK69" i="22"/>
  <c r="AK69" i="23"/>
  <c r="AK69" i="21"/>
  <c r="X19" i="22"/>
  <c r="AO19" i="22" s="1"/>
  <c r="BH19" i="22" s="1"/>
  <c r="X19" i="23"/>
  <c r="BE19" i="23" s="1"/>
  <c r="X19" i="21"/>
  <c r="BE19" i="21" s="1"/>
  <c r="X19" i="24"/>
  <c r="BE19" i="24" s="1"/>
  <c r="X26" i="23"/>
  <c r="BE26" i="23" s="1"/>
  <c r="X26" i="24"/>
  <c r="BE26" i="24" s="1"/>
  <c r="X26" i="21"/>
  <c r="X26" i="22"/>
  <c r="AO26" i="22" s="1"/>
  <c r="AB23" i="24"/>
  <c r="AS23" i="24" s="1"/>
  <c r="AB23" i="22"/>
  <c r="AB23" i="23"/>
  <c r="AS23" i="23" s="1"/>
  <c r="AB23" i="21"/>
  <c r="AS23" i="21" s="1"/>
  <c r="AA26" i="24"/>
  <c r="AA26" i="23"/>
  <c r="AR26" i="23" s="1"/>
  <c r="AA26" i="22"/>
  <c r="AR26" i="22" s="1"/>
  <c r="AA26" i="21"/>
  <c r="AF21" i="23"/>
  <c r="AW21" i="23" s="1"/>
  <c r="AF21" i="24"/>
  <c r="AF21" i="22"/>
  <c r="AW21" i="22" s="1"/>
  <c r="AF21" i="21"/>
  <c r="AE27" i="24"/>
  <c r="AV27" i="24" s="1"/>
  <c r="AE27" i="23"/>
  <c r="AV27" i="23" s="1"/>
  <c r="AE27" i="22"/>
  <c r="AV27" i="22" s="1"/>
  <c r="AE27" i="21"/>
  <c r="AV27" i="21" s="1"/>
  <c r="X33" i="24"/>
  <c r="BE33" i="24" s="1"/>
  <c r="X33" i="23"/>
  <c r="BE33" i="23" s="1"/>
  <c r="X33" i="21"/>
  <c r="BE33" i="21" s="1"/>
  <c r="X33" i="22"/>
  <c r="BE33" i="22" s="1"/>
  <c r="X40" i="23"/>
  <c r="BE40" i="23" s="1"/>
  <c r="X40" i="24"/>
  <c r="AO40" i="24" s="1"/>
  <c r="BH40" i="24" s="1"/>
  <c r="X40" i="21"/>
  <c r="BE40" i="21" s="1"/>
  <c r="X40" i="22"/>
  <c r="AO40" i="22" s="1"/>
  <c r="BH40" i="22" s="1"/>
  <c r="AB39" i="24"/>
  <c r="AS39" i="24" s="1"/>
  <c r="AB39" i="23"/>
  <c r="AS39" i="23" s="1"/>
  <c r="AB39" i="22"/>
  <c r="AS39" i="22" s="1"/>
  <c r="AB39" i="21"/>
  <c r="AS39" i="21" s="1"/>
  <c r="AH41" i="24"/>
  <c r="AY41" i="24" s="1"/>
  <c r="AY132" i="24" s="1"/>
  <c r="AH41" i="23"/>
  <c r="AY41" i="23" s="1"/>
  <c r="AY132" i="23" s="1"/>
  <c r="AH41" i="22"/>
  <c r="AY41" i="22" s="1"/>
  <c r="AH41" i="21"/>
  <c r="AY41" i="21" s="1"/>
  <c r="X50" i="24"/>
  <c r="X50" i="23"/>
  <c r="AO50" i="23" s="1"/>
  <c r="X50" i="22"/>
  <c r="AO50" i="22" s="1"/>
  <c r="X50" i="21"/>
  <c r="AO50" i="21" s="1"/>
  <c r="X61" i="24"/>
  <c r="BE61" i="24" s="1"/>
  <c r="X61" i="23"/>
  <c r="X61" i="22"/>
  <c r="X61" i="21"/>
  <c r="Z55" i="23"/>
  <c r="Z55" i="24"/>
  <c r="Z55" i="22"/>
  <c r="Z55" i="21"/>
  <c r="X64" i="3"/>
  <c r="Z64" i="24"/>
  <c r="BF64" i="24" s="1"/>
  <c r="Z64" i="23"/>
  <c r="Z64" i="22"/>
  <c r="Z64" i="21"/>
  <c r="Z53" i="23"/>
  <c r="AQ53" i="23" s="1"/>
  <c r="Z53" i="24"/>
  <c r="BF53" i="24" s="1"/>
  <c r="Z53" i="22"/>
  <c r="AQ53" i="22" s="1"/>
  <c r="Z53" i="21"/>
  <c r="AQ53" i="21" s="1"/>
  <c r="AB49" i="22"/>
  <c r="AS49" i="22" s="1"/>
  <c r="AB49" i="23"/>
  <c r="AS49" i="23" s="1"/>
  <c r="AB49" i="24"/>
  <c r="AB49" i="21"/>
  <c r="AS49" i="21" s="1"/>
  <c r="AB60" i="24"/>
  <c r="AB60" i="23"/>
  <c r="AB60" i="22"/>
  <c r="AS60" i="22" s="1"/>
  <c r="AB60" i="21"/>
  <c r="AS60" i="21" s="1"/>
  <c r="AB69" i="24"/>
  <c r="AB69" i="23"/>
  <c r="AB69" i="22"/>
  <c r="AB69" i="21"/>
  <c r="AK53" i="24"/>
  <c r="BB53" i="24" s="1"/>
  <c r="AK53" i="22"/>
  <c r="BB53" i="22" s="1"/>
  <c r="AK53" i="21"/>
  <c r="BB53" i="21" s="1"/>
  <c r="AK53" i="23"/>
  <c r="BB53" i="23" s="1"/>
  <c r="AK60" i="24"/>
  <c r="AK60" i="22"/>
  <c r="BB60" i="22" s="1"/>
  <c r="AK60" i="23"/>
  <c r="AK60" i="21"/>
  <c r="BB60" i="21" s="1"/>
  <c r="AK64" i="24"/>
  <c r="AK64" i="22"/>
  <c r="BB64" i="22" s="1"/>
  <c r="AK64" i="23"/>
  <c r="BB64" i="23" s="1"/>
  <c r="AK64" i="21"/>
  <c r="BB64" i="21" s="1"/>
  <c r="AK55" i="24"/>
  <c r="BB55" i="24" s="1"/>
  <c r="AK55" i="22"/>
  <c r="BB55" i="22" s="1"/>
  <c r="AK55" i="23"/>
  <c r="BB55" i="23" s="1"/>
  <c r="AK55" i="21"/>
  <c r="BB55" i="21" s="1"/>
  <c r="AB55" i="24"/>
  <c r="AS55" i="24" s="1"/>
  <c r="AB55" i="22"/>
  <c r="AS55" i="22" s="1"/>
  <c r="AB55" i="23"/>
  <c r="AS55" i="23" s="1"/>
  <c r="AB55" i="21"/>
  <c r="AS55" i="21" s="1"/>
  <c r="Y18" i="24"/>
  <c r="AP18" i="24" s="1"/>
  <c r="BI18" i="24" s="1"/>
  <c r="Y18" i="22"/>
  <c r="BF18" i="22" s="1"/>
  <c r="Y18" i="23"/>
  <c r="BF18" i="23" s="1"/>
  <c r="Y18" i="21"/>
  <c r="BF18" i="21" s="1"/>
  <c r="X27" i="24"/>
  <c r="BE27" i="24" s="1"/>
  <c r="X27" i="21"/>
  <c r="BE27" i="21" s="1"/>
  <c r="X27" i="23"/>
  <c r="BE27" i="23" s="1"/>
  <c r="X27" i="22"/>
  <c r="Z24" i="23"/>
  <c r="AQ24" i="23" s="1"/>
  <c r="Z24" i="24"/>
  <c r="Z24" i="22"/>
  <c r="AQ24" i="22" s="1"/>
  <c r="Z24" i="21"/>
  <c r="AQ24" i="21" s="1"/>
  <c r="AB26" i="23"/>
  <c r="AS26" i="23" s="1"/>
  <c r="AB26" i="24"/>
  <c r="AB26" i="22"/>
  <c r="AS26" i="22" s="1"/>
  <c r="AB26" i="21"/>
  <c r="AD23" i="24"/>
  <c r="AU23" i="24" s="1"/>
  <c r="AD23" i="23"/>
  <c r="AU23" i="23" s="1"/>
  <c r="AD23" i="22"/>
  <c r="AU23" i="22" s="1"/>
  <c r="AD23" i="21"/>
  <c r="AU23" i="21" s="1"/>
  <c r="AF27" i="24"/>
  <c r="AW27" i="24" s="1"/>
  <c r="AF27" i="22"/>
  <c r="AW27" i="22" s="1"/>
  <c r="AF27" i="23"/>
  <c r="AW27" i="23" s="1"/>
  <c r="AF27" i="21"/>
  <c r="AW27" i="21" s="1"/>
  <c r="BJ27" i="21" s="1"/>
  <c r="Y33" i="24"/>
  <c r="AP33" i="24" s="1"/>
  <c r="BI33" i="24" s="1"/>
  <c r="Y33" i="22"/>
  <c r="BF33" i="22" s="1"/>
  <c r="Y33" i="23"/>
  <c r="BF33" i="23" s="1"/>
  <c r="Y33" i="21"/>
  <c r="BF33" i="21" s="1"/>
  <c r="X41" i="23"/>
  <c r="BE41" i="23" s="1"/>
  <c r="X41" i="22"/>
  <c r="BE41" i="22" s="1"/>
  <c r="X41" i="21"/>
  <c r="BE41" i="21" s="1"/>
  <c r="X41" i="24"/>
  <c r="BE41" i="24" s="1"/>
  <c r="Z40" i="22"/>
  <c r="Z40" i="24"/>
  <c r="AQ40" i="24" s="1"/>
  <c r="Z40" i="23"/>
  <c r="AQ40" i="23" s="1"/>
  <c r="Z40" i="21"/>
  <c r="AQ40" i="21" s="1"/>
  <c r="AI41" i="24"/>
  <c r="AZ41" i="24" s="1"/>
  <c r="AI41" i="23"/>
  <c r="AZ41" i="23" s="1"/>
  <c r="AI41" i="22"/>
  <c r="AZ41" i="22" s="1"/>
  <c r="AI41" i="21"/>
  <c r="AZ41" i="21" s="1"/>
  <c r="X52" i="23"/>
  <c r="X52" i="24"/>
  <c r="AO52" i="24" s="1"/>
  <c r="BH52" i="24" s="1"/>
  <c r="X52" i="22"/>
  <c r="AO52" i="22" s="1"/>
  <c r="X52" i="21"/>
  <c r="BE52" i="21" s="1"/>
  <c r="X62" i="23"/>
  <c r="X62" i="24"/>
  <c r="BE62" i="24" s="1"/>
  <c r="X62" i="22"/>
  <c r="X62" i="21"/>
  <c r="X56" i="3"/>
  <c r="Z56" i="23"/>
  <c r="BF56" i="23" s="1"/>
  <c r="Z56" i="24"/>
  <c r="BF56" i="24" s="1"/>
  <c r="Z56" i="22"/>
  <c r="Z56" i="21"/>
  <c r="X66" i="3"/>
  <c r="Z66" i="24"/>
  <c r="Z66" i="23"/>
  <c r="Z66" i="22"/>
  <c r="Z66" i="21"/>
  <c r="Z46" i="24"/>
  <c r="AQ46" i="24" s="1"/>
  <c r="Z46" i="23"/>
  <c r="AQ46" i="23" s="1"/>
  <c r="Z46" i="22"/>
  <c r="AQ46" i="22" s="1"/>
  <c r="Z46" i="21"/>
  <c r="AQ46" i="21" s="1"/>
  <c r="AB50" i="22"/>
  <c r="AS50" i="22" s="1"/>
  <c r="AB50" i="21"/>
  <c r="AS50" i="21" s="1"/>
  <c r="AB50" i="24"/>
  <c r="AS50" i="24" s="1"/>
  <c r="AB50" i="23"/>
  <c r="AS50" i="23" s="1"/>
  <c r="AB61" i="24"/>
  <c r="AB61" i="23"/>
  <c r="AS61" i="23" s="1"/>
  <c r="AB61" i="22"/>
  <c r="AS61" i="22" s="1"/>
  <c r="AB61" i="21"/>
  <c r="AS61" i="21" s="1"/>
  <c r="AG69" i="24"/>
  <c r="AG69" i="23"/>
  <c r="AG69" i="22"/>
  <c r="AG69" i="21"/>
  <c r="AJ56" i="24"/>
  <c r="AJ56" i="22"/>
  <c r="BA56" i="22" s="1"/>
  <c r="BK56" i="22" s="1"/>
  <c r="AJ56" i="23"/>
  <c r="AJ56" i="21"/>
  <c r="BA56" i="21" s="1"/>
  <c r="BK56" i="21" s="1"/>
  <c r="AJ61" i="24"/>
  <c r="AJ61" i="23"/>
  <c r="BA61" i="23" s="1"/>
  <c r="AJ61" i="22"/>
  <c r="BA61" i="22" s="1"/>
  <c r="AJ61" i="21"/>
  <c r="BA61" i="21" s="1"/>
  <c r="AJ66" i="24"/>
  <c r="BA66" i="24" s="1"/>
  <c r="AJ66" i="22"/>
  <c r="BA66" i="22" s="1"/>
  <c r="BK66" i="22" s="1"/>
  <c r="AJ66" i="23"/>
  <c r="BA66" i="23" s="1"/>
  <c r="AJ66" i="21"/>
  <c r="BA66" i="21" s="1"/>
  <c r="BK66" i="21" s="1"/>
  <c r="AJ55" i="24"/>
  <c r="BA55" i="24" s="1"/>
  <c r="AJ55" i="22"/>
  <c r="BA55" i="22" s="1"/>
  <c r="AJ55" i="23"/>
  <c r="BA55" i="23" s="1"/>
  <c r="AJ55" i="21"/>
  <c r="BA55" i="21" s="1"/>
  <c r="BL19" i="24"/>
  <c r="BJ73" i="24"/>
  <c r="BL100" i="24"/>
  <c r="BL129" i="24"/>
  <c r="BK27" i="24"/>
  <c r="BK88" i="24"/>
  <c r="BK90" i="24"/>
  <c r="BI90" i="24"/>
  <c r="BK22" i="24"/>
  <c r="BI92" i="24"/>
  <c r="BL31" i="24"/>
  <c r="BL45" i="24"/>
  <c r="BJ102" i="24"/>
  <c r="BJ107" i="24"/>
  <c r="BL109" i="24"/>
  <c r="BL121" i="24"/>
  <c r="BJ76" i="23"/>
  <c r="BK88" i="23"/>
  <c r="BL72" i="23"/>
  <c r="BL90" i="23"/>
  <c r="BL96" i="23"/>
  <c r="BK101" i="23"/>
  <c r="BL114" i="23"/>
  <c r="BL33" i="23"/>
  <c r="BJ74" i="23"/>
  <c r="BL92" i="23"/>
  <c r="BK21" i="23"/>
  <c r="BL105" i="23"/>
  <c r="BJ69" i="23"/>
  <c r="BL89" i="23"/>
  <c r="BL100" i="23"/>
  <c r="BL108" i="23"/>
  <c r="BL49" i="23"/>
  <c r="BJ73" i="23"/>
  <c r="BL79" i="23"/>
  <c r="BL86" i="23"/>
  <c r="BJ93" i="23"/>
  <c r="BJ75" i="22"/>
  <c r="BL76" i="22"/>
  <c r="BJ87" i="22"/>
  <c r="BJ97" i="22"/>
  <c r="BL80" i="22"/>
  <c r="BJ50" i="22"/>
  <c r="BJ51" i="22"/>
  <c r="BL69" i="22"/>
  <c r="BJ77" i="22"/>
  <c r="BL98" i="22"/>
  <c r="BL101" i="22"/>
  <c r="BJ105" i="22"/>
  <c r="BJ110" i="22"/>
  <c r="BJ127" i="22"/>
  <c r="BJ100" i="22"/>
  <c r="BL27" i="22"/>
  <c r="BL86" i="22"/>
  <c r="BK92" i="22"/>
  <c r="BL106" i="22"/>
  <c r="BL121" i="22"/>
  <c r="BL124" i="22"/>
  <c r="BJ75" i="23"/>
  <c r="BJ78" i="23"/>
  <c r="BJ107" i="23"/>
  <c r="BJ112" i="23"/>
  <c r="BL122" i="23"/>
  <c r="BJ58" i="23"/>
  <c r="BL59" i="23"/>
  <c r="BJ79" i="23"/>
  <c r="BJ80" i="23"/>
  <c r="BJ126" i="23"/>
  <c r="BL78" i="24"/>
  <c r="BL81" i="24"/>
  <c r="BL122" i="24"/>
  <c r="BJ33" i="23"/>
  <c r="BL80" i="23"/>
  <c r="BK93" i="23"/>
  <c r="BL113" i="23"/>
  <c r="BJ116" i="23"/>
  <c r="BJ18" i="24"/>
  <c r="BK39" i="23"/>
  <c r="BB131" i="23"/>
  <c r="BL30" i="23"/>
  <c r="BL29" i="23" s="1"/>
  <c r="BJ54" i="23"/>
  <c r="BK74" i="23"/>
  <c r="BL82" i="23"/>
  <c r="BJ100" i="23"/>
  <c r="BJ117" i="23"/>
  <c r="BL44" i="24"/>
  <c r="BL46" i="24"/>
  <c r="BJ51" i="23"/>
  <c r="BL54" i="23"/>
  <c r="BJ81" i="23"/>
  <c r="BJ87" i="23"/>
  <c r="BJ105" i="23"/>
  <c r="BJ109" i="23"/>
  <c r="BJ122" i="23"/>
  <c r="BL127" i="23"/>
  <c r="BL76" i="24"/>
  <c r="BI78" i="24"/>
  <c r="BJ93" i="24"/>
  <c r="BJ113" i="24"/>
  <c r="BJ127" i="24"/>
  <c r="BK34" i="23"/>
  <c r="BL23" i="23"/>
  <c r="BL26" i="23"/>
  <c r="BJ56" i="23"/>
  <c r="BL83" i="23"/>
  <c r="BL84" i="23"/>
  <c r="BL85" i="23"/>
  <c r="BJ86" i="23"/>
  <c r="BL109" i="23"/>
  <c r="BJ111" i="23"/>
  <c r="BL118" i="23"/>
  <c r="BL123" i="23"/>
  <c r="BL92" i="24"/>
  <c r="BL93" i="24"/>
  <c r="BL96" i="24"/>
  <c r="BL106" i="24"/>
  <c r="BL114" i="24"/>
  <c r="AQ74" i="24"/>
  <c r="BJ88" i="22"/>
  <c r="BK47" i="22"/>
  <c r="BK54" i="22"/>
  <c r="BI89" i="22"/>
  <c r="BJ116" i="22"/>
  <c r="BJ125" i="22"/>
  <c r="AZ134" i="24"/>
  <c r="AV97" i="24"/>
  <c r="BJ97" i="24" s="1"/>
  <c r="BK34" i="22"/>
  <c r="BJ39" i="22"/>
  <c r="BJ76" i="22"/>
  <c r="BJ89" i="22"/>
  <c r="BJ51" i="24"/>
  <c r="BJ75" i="24"/>
  <c r="BI89" i="24"/>
  <c r="BK92" i="24"/>
  <c r="BC135" i="24"/>
  <c r="AQ110" i="24"/>
  <c r="AQ135" i="24" s="1"/>
  <c r="BJ68" i="22"/>
  <c r="BL90" i="22"/>
  <c r="BJ118" i="22"/>
  <c r="BK24" i="24"/>
  <c r="BC132" i="24"/>
  <c r="BL41" i="24"/>
  <c r="BJ50" i="24"/>
  <c r="BL51" i="24"/>
  <c r="BL75" i="24"/>
  <c r="BK44" i="22"/>
  <c r="BL53" i="22"/>
  <c r="BJ78" i="22"/>
  <c r="BK91" i="22"/>
  <c r="BL111" i="22"/>
  <c r="BJ46" i="24"/>
  <c r="BJ80" i="24"/>
  <c r="BJ86" i="24"/>
  <c r="BK19" i="22"/>
  <c r="BK25" i="22"/>
  <c r="BJ69" i="22"/>
  <c r="BJ79" i="22"/>
  <c r="BI90" i="22"/>
  <c r="BJ114" i="22"/>
  <c r="BL117" i="22"/>
  <c r="BJ123" i="22"/>
  <c r="BJ35" i="24"/>
  <c r="BK36" i="24"/>
  <c r="BJ72" i="24"/>
  <c r="BJ82" i="24"/>
  <c r="BJ88" i="24"/>
  <c r="AX100" i="24"/>
  <c r="BL112" i="24"/>
  <c r="AZ126" i="24"/>
  <c r="BL35" i="22"/>
  <c r="BJ41" i="22"/>
  <c r="BJ49" i="22"/>
  <c r="BK51" i="22"/>
  <c r="BJ81" i="22"/>
  <c r="BL84" i="22"/>
  <c r="BK90" i="22"/>
  <c r="BJ106" i="22"/>
  <c r="BL108" i="22"/>
  <c r="BL109" i="22"/>
  <c r="BJ113" i="22"/>
  <c r="BJ119" i="22"/>
  <c r="BB131" i="24"/>
  <c r="BK30" i="24"/>
  <c r="BK51" i="24"/>
  <c r="BL72" i="24"/>
  <c r="BL88" i="24"/>
  <c r="BL89" i="24"/>
  <c r="BL125" i="24"/>
  <c r="BJ110" i="24"/>
  <c r="BJ114" i="24"/>
  <c r="BJ129" i="24"/>
  <c r="AR135" i="21"/>
  <c r="AY135" i="24"/>
  <c r="BJ108" i="21"/>
  <c r="BJ118" i="24"/>
  <c r="BJ123" i="24"/>
  <c r="AS127" i="24"/>
  <c r="AS135" i="24" s="1"/>
  <c r="BJ110" i="21"/>
  <c r="BJ128" i="21"/>
  <c r="AU135" i="24"/>
  <c r="BJ101" i="23"/>
  <c r="BJ26" i="23"/>
  <c r="BL103" i="21"/>
  <c r="BL108" i="21"/>
  <c r="BL111" i="21"/>
  <c r="BL113" i="21"/>
  <c r="BJ127" i="21"/>
  <c r="AV135" i="21"/>
  <c r="BL122" i="21"/>
  <c r="BJ112" i="21"/>
  <c r="BJ102" i="21"/>
  <c r="BJ107" i="21"/>
  <c r="BJ121" i="21"/>
  <c r="BJ99" i="21"/>
  <c r="BJ118" i="21"/>
  <c r="BJ88" i="21"/>
  <c r="BK89" i="21"/>
  <c r="BJ92" i="21"/>
  <c r="BL92" i="21"/>
  <c r="BL76" i="21"/>
  <c r="BL78" i="21"/>
  <c r="BL79" i="21"/>
  <c r="BL75" i="21"/>
  <c r="BK78" i="21"/>
  <c r="BJ79" i="21"/>
  <c r="BL85" i="21"/>
  <c r="BJ51" i="21"/>
  <c r="BL52" i="21"/>
  <c r="BK54" i="21"/>
  <c r="BJ67" i="21"/>
  <c r="BK51" i="21"/>
  <c r="BJ44" i="21"/>
  <c r="BJ68" i="21"/>
  <c r="BK36" i="21"/>
  <c r="BK27" i="21"/>
  <c r="BK26" i="21"/>
  <c r="BJ24" i="21"/>
  <c r="I27" i="2"/>
  <c r="AA17" i="20"/>
  <c r="I26" i="16"/>
  <c r="G17" i="20" s="1"/>
  <c r="AL17" i="20"/>
  <c r="M27" i="16"/>
  <c r="R17" i="20" s="1"/>
  <c r="AM17" i="20"/>
  <c r="N27" i="16"/>
  <c r="S17" i="20" s="1"/>
  <c r="AN17" i="20"/>
  <c r="O27" i="16"/>
  <c r="T17" i="20" s="1"/>
  <c r="X61" i="3"/>
  <c r="X63" i="3"/>
  <c r="BF101" i="2"/>
  <c r="X60" i="3"/>
  <c r="BF101" i="16"/>
  <c r="BE39" i="23"/>
  <c r="AO45" i="23"/>
  <c r="BH45" i="23" s="1"/>
  <c r="AQ35" i="24"/>
  <c r="AO75" i="24"/>
  <c r="BH75" i="24" s="1"/>
  <c r="AA46" i="25"/>
  <c r="AC46" i="25" s="1"/>
  <c r="AA53" i="25"/>
  <c r="AC53" i="25" s="1"/>
  <c r="I134" i="25"/>
  <c r="AA76" i="25"/>
  <c r="AC76" i="25" s="1"/>
  <c r="AA82" i="25"/>
  <c r="AP19" i="24"/>
  <c r="BI19" i="24" s="1"/>
  <c r="AQ72" i="24"/>
  <c r="AR40" i="24"/>
  <c r="AP96" i="24"/>
  <c r="BI96" i="24" s="1"/>
  <c r="BF99" i="24"/>
  <c r="BF119" i="24"/>
  <c r="J132" i="25"/>
  <c r="AA23" i="25"/>
  <c r="AB25" i="25"/>
  <c r="X106" i="25"/>
  <c r="AA114" i="25"/>
  <c r="AC114" i="25" s="1"/>
  <c r="AS72" i="24"/>
  <c r="BA76" i="24"/>
  <c r="BK76" i="24" s="1"/>
  <c r="AO53" i="23"/>
  <c r="BH53" i="23" s="1"/>
  <c r="BF83" i="23"/>
  <c r="BF111" i="23"/>
  <c r="BF111" i="24"/>
  <c r="X105" i="25"/>
  <c r="AA106" i="25"/>
  <c r="AC106" i="25" s="1"/>
  <c r="X109" i="25"/>
  <c r="X110" i="25"/>
  <c r="AO72" i="24"/>
  <c r="BH72" i="24" s="1"/>
  <c r="BF73" i="22"/>
  <c r="BF74" i="23"/>
  <c r="BO74" i="23" s="1"/>
  <c r="BA77" i="23"/>
  <c r="BK77" i="23" s="1"/>
  <c r="BA69" i="24"/>
  <c r="BB73" i="24"/>
  <c r="AS74" i="24"/>
  <c r="BA116" i="24"/>
  <c r="X82" i="25"/>
  <c r="X98" i="25"/>
  <c r="AA103" i="25"/>
  <c r="AC103" i="25" s="1"/>
  <c r="AA110" i="25"/>
  <c r="AC110" i="25" s="1"/>
  <c r="AA113" i="25"/>
  <c r="AC113" i="25" s="1"/>
  <c r="BI51" i="24"/>
  <c r="BB116" i="24"/>
  <c r="AS49" i="24"/>
  <c r="BA77" i="24"/>
  <c r="BB96" i="24"/>
  <c r="BK96" i="24" s="1"/>
  <c r="BF113" i="24"/>
  <c r="AA36" i="25"/>
  <c r="X47" i="25"/>
  <c r="X64" i="25"/>
  <c r="AA74" i="25"/>
  <c r="AC74" i="25" s="1"/>
  <c r="X97" i="25"/>
  <c r="BJ101" i="9"/>
  <c r="X55" i="3"/>
  <c r="BL101" i="8"/>
  <c r="BD101" i="16"/>
  <c r="BL101" i="16" s="1"/>
  <c r="L34" i="2"/>
  <c r="L47" i="2"/>
  <c r="L45" i="2"/>
  <c r="L37" i="2"/>
  <c r="L36" i="2"/>
  <c r="K26" i="2"/>
  <c r="K26" i="21" s="1"/>
  <c r="K26" i="24" s="1"/>
  <c r="J26" i="2"/>
  <c r="J26" i="21" s="1"/>
  <c r="J26" i="24" s="1"/>
  <c r="BF101" i="9"/>
  <c r="BF101" i="8"/>
  <c r="AA59" i="25"/>
  <c r="AC59" i="25" s="1"/>
  <c r="BE127" i="23"/>
  <c r="AA128" i="25"/>
  <c r="AC128" i="25" s="1"/>
  <c r="X134" i="23"/>
  <c r="AA34" i="25"/>
  <c r="X34" i="25"/>
  <c r="AQ77" i="23"/>
  <c r="AQ77" i="22"/>
  <c r="H160" i="22" s="1"/>
  <c r="W79" i="25"/>
  <c r="X80" i="25"/>
  <c r="AJ135" i="22"/>
  <c r="BE126" i="21"/>
  <c r="BF86" i="21"/>
  <c r="W105" i="25"/>
  <c r="AA123" i="25"/>
  <c r="AC123" i="25" s="1"/>
  <c r="X123" i="25"/>
  <c r="AO34" i="24"/>
  <c r="BH34" i="24" s="1"/>
  <c r="BF82" i="21"/>
  <c r="BF127" i="22"/>
  <c r="H152" i="25"/>
  <c r="I152" i="25" s="1"/>
  <c r="AQ39" i="23"/>
  <c r="AQ39" i="24"/>
  <c r="AA39" i="25"/>
  <c r="AC39" i="25" s="1"/>
  <c r="X39" i="25"/>
  <c r="AA50" i="25"/>
  <c r="AC50" i="25" s="1"/>
  <c r="X135" i="22"/>
  <c r="BE103" i="22"/>
  <c r="N131" i="25"/>
  <c r="N136" i="25" s="1"/>
  <c r="N138" i="25" s="1"/>
  <c r="Q132" i="25"/>
  <c r="Q136" i="25" s="1"/>
  <c r="Q138" i="25" s="1"/>
  <c r="AA58" i="25"/>
  <c r="AC58" i="25" s="1"/>
  <c r="X58" i="25"/>
  <c r="AK135" i="24"/>
  <c r="AK134" i="21"/>
  <c r="BF81" i="21"/>
  <c r="AO25" i="22"/>
  <c r="BH25" i="22" s="1"/>
  <c r="BF77" i="22"/>
  <c r="AA68" i="25"/>
  <c r="AC68" i="25" s="1"/>
  <c r="K134" i="25"/>
  <c r="AS72" i="23"/>
  <c r="AG134" i="24"/>
  <c r="AX73" i="22"/>
  <c r="BK73" i="22" s="1"/>
  <c r="P134" i="25"/>
  <c r="AX73" i="23"/>
  <c r="BK73" i="23" s="1"/>
  <c r="X86" i="25"/>
  <c r="T135" i="25"/>
  <c r="H153" i="25"/>
  <c r="I153" i="25" s="1"/>
  <c r="AQ40" i="22"/>
  <c r="AA107" i="25"/>
  <c r="AC107" i="25" s="1"/>
  <c r="BF107" i="23"/>
  <c r="BK96" i="21"/>
  <c r="BK116" i="21"/>
  <c r="AA49" i="25"/>
  <c r="AC49" i="25" s="1"/>
  <c r="X49" i="25"/>
  <c r="AA118" i="25"/>
  <c r="AC118" i="25" s="1"/>
  <c r="AA122" i="25"/>
  <c r="AC122" i="25" s="1"/>
  <c r="X122" i="25"/>
  <c r="BF79" i="21"/>
  <c r="AA67" i="25"/>
  <c r="AC67" i="25" s="1"/>
  <c r="X67" i="25"/>
  <c r="AA85" i="25"/>
  <c r="AC85" i="25" s="1"/>
  <c r="X85" i="25"/>
  <c r="BF85" i="23"/>
  <c r="AQ76" i="24"/>
  <c r="BI76" i="24" s="1"/>
  <c r="BF77" i="24"/>
  <c r="BF81" i="24"/>
  <c r="BF116" i="24"/>
  <c r="BO116" i="24" s="1"/>
  <c r="AA25" i="25"/>
  <c r="AA86" i="25"/>
  <c r="AC86" i="25" s="1"/>
  <c r="I162" i="25"/>
  <c r="AQ77" i="24"/>
  <c r="BI77" i="24" s="1"/>
  <c r="BF86" i="24"/>
  <c r="X37" i="25"/>
  <c r="G133" i="25"/>
  <c r="P133" i="25"/>
  <c r="X65" i="25"/>
  <c r="T134" i="25"/>
  <c r="X76" i="25"/>
  <c r="AC37" i="25"/>
  <c r="H133" i="25"/>
  <c r="AT37" i="22"/>
  <c r="BJ37" i="22" s="1"/>
  <c r="BF128" i="22"/>
  <c r="BK72" i="23"/>
  <c r="BK76" i="23"/>
  <c r="AV23" i="24"/>
  <c r="AX73" i="24"/>
  <c r="X36" i="25"/>
  <c r="X44" i="25"/>
  <c r="AA56" i="25"/>
  <c r="AC56" i="25" s="1"/>
  <c r="AA61" i="25"/>
  <c r="AC61" i="25" s="1"/>
  <c r="AA83" i="25"/>
  <c r="AC83" i="25" s="1"/>
  <c r="G178" i="25"/>
  <c r="BF72" i="22"/>
  <c r="BK77" i="22"/>
  <c r="AO73" i="24"/>
  <c r="BF82" i="24"/>
  <c r="H145" i="25"/>
  <c r="I145" i="25" s="1"/>
  <c r="H151" i="25"/>
  <c r="I151" i="25" s="1"/>
  <c r="X53" i="25"/>
  <c r="BF37" i="22"/>
  <c r="BF51" i="22"/>
  <c r="BO51" i="22" s="1"/>
  <c r="AK134" i="22"/>
  <c r="BK75" i="22"/>
  <c r="BF83" i="22"/>
  <c r="BF57" i="23"/>
  <c r="BO57" i="23" s="1"/>
  <c r="BF81" i="23"/>
  <c r="BF87" i="24"/>
  <c r="J131" i="25"/>
  <c r="U131" i="25"/>
  <c r="U136" i="25" s="1"/>
  <c r="U138" i="25" s="1"/>
  <c r="H150" i="25"/>
  <c r="I150" i="25" s="1"/>
  <c r="K132" i="25"/>
  <c r="AB36" i="25"/>
  <c r="AA52" i="25"/>
  <c r="AC52" i="25" s="1"/>
  <c r="G134" i="25"/>
  <c r="X74" i="25"/>
  <c r="X75" i="25"/>
  <c r="AA81" i="25"/>
  <c r="AC81" i="25" s="1"/>
  <c r="G180" i="25"/>
  <c r="AO47" i="23"/>
  <c r="BH47" i="23" s="1"/>
  <c r="BF87" i="23"/>
  <c r="BF79" i="24"/>
  <c r="BF85" i="24"/>
  <c r="AJ135" i="24"/>
  <c r="AA75" i="25"/>
  <c r="AC75" i="25" s="1"/>
  <c r="AA80" i="25"/>
  <c r="AC80" i="25" s="1"/>
  <c r="BJ101" i="16"/>
  <c r="BJ101" i="2"/>
  <c r="BK18" i="21"/>
  <c r="BF20" i="21"/>
  <c r="BO20" i="21" s="1"/>
  <c r="BE25" i="21"/>
  <c r="BK30" i="21"/>
  <c r="BK29" i="21" s="1"/>
  <c r="BL33" i="21"/>
  <c r="BJ35" i="21"/>
  <c r="BF72" i="21"/>
  <c r="BL18" i="21"/>
  <c r="BJ26" i="21"/>
  <c r="AA133" i="21"/>
  <c r="AR42" i="21"/>
  <c r="AR133" i="21" s="1"/>
  <c r="BJ73" i="21"/>
  <c r="BF75" i="21"/>
  <c r="AP75" i="21"/>
  <c r="H160" i="21" s="1"/>
  <c r="BK75" i="21"/>
  <c r="BE42" i="21"/>
  <c r="AI131" i="21"/>
  <c r="BO17" i="21"/>
  <c r="BK19" i="21"/>
  <c r="BK21" i="21"/>
  <c r="BK46" i="21"/>
  <c r="BE48" i="21"/>
  <c r="BJ49" i="21"/>
  <c r="BE70" i="21"/>
  <c r="BJ77" i="21"/>
  <c r="BL82" i="21"/>
  <c r="AZ131" i="21"/>
  <c r="BJ22" i="21"/>
  <c r="K25" i="24"/>
  <c r="AS25" i="21"/>
  <c r="BK33" i="21"/>
  <c r="BE35" i="21"/>
  <c r="BJ80" i="21"/>
  <c r="BL81" i="21"/>
  <c r="AO42" i="21"/>
  <c r="BB131" i="21"/>
  <c r="BK37" i="21"/>
  <c r="H45" i="24"/>
  <c r="AP45" i="21"/>
  <c r="BI45" i="21" s="1"/>
  <c r="BJ72" i="21"/>
  <c r="BH73" i="21"/>
  <c r="BF76" i="21"/>
  <c r="AP76" i="21"/>
  <c r="BI76" i="21" s="1"/>
  <c r="BE83" i="21"/>
  <c r="BE101" i="21"/>
  <c r="BE121" i="21"/>
  <c r="BE112" i="21"/>
  <c r="BE5" i="21"/>
  <c r="BE29" i="21"/>
  <c r="BE114" i="21"/>
  <c r="BE51" i="21"/>
  <c r="BJ18" i="21"/>
  <c r="BL30" i="21"/>
  <c r="BL47" i="21"/>
  <c r="BJ53" i="21"/>
  <c r="AZ134" i="21"/>
  <c r="BJ75" i="21"/>
  <c r="BE90" i="21"/>
  <c r="AO90" i="21"/>
  <c r="BH90" i="21" s="1"/>
  <c r="BO17" i="22"/>
  <c r="AF133" i="21"/>
  <c r="AW42" i="21"/>
  <c r="AW133" i="21" s="1"/>
  <c r="BK22" i="21"/>
  <c r="BE54" i="21"/>
  <c r="BE67" i="21"/>
  <c r="BK73" i="21"/>
  <c r="BE109" i="21"/>
  <c r="BE110" i="21"/>
  <c r="AP30" i="21"/>
  <c r="BL31" i="21"/>
  <c r="BE32" i="21"/>
  <c r="AP32" i="21"/>
  <c r="BL34" i="21"/>
  <c r="BJ39" i="21"/>
  <c r="BL40" i="21"/>
  <c r="G47" i="24"/>
  <c r="AP49" i="21"/>
  <c r="BL68" i="21"/>
  <c r="BE73" i="21"/>
  <c r="BJ74" i="21"/>
  <c r="BE77" i="21"/>
  <c r="BE80" i="21"/>
  <c r="BE81" i="21"/>
  <c r="AP81" i="21"/>
  <c r="BF83" i="21"/>
  <c r="BJ86" i="21"/>
  <c r="BJ129" i="21"/>
  <c r="BH26" i="22"/>
  <c r="BI73" i="22"/>
  <c r="BL22" i="21"/>
  <c r="AV132" i="21"/>
  <c r="BD132" i="21"/>
  <c r="BL39" i="21"/>
  <c r="BJ52" i="21"/>
  <c r="BL54" i="21"/>
  <c r="BL72" i="21"/>
  <c r="BE75" i="21"/>
  <c r="BE76" i="21"/>
  <c r="BF77" i="21"/>
  <c r="BK77" i="21"/>
  <c r="BE79" i="21"/>
  <c r="BJ82" i="21"/>
  <c r="BJ85" i="21"/>
  <c r="BE106" i="21"/>
  <c r="BI72" i="22"/>
  <c r="AG132" i="21"/>
  <c r="AS28" i="21"/>
  <c r="AS34" i="21"/>
  <c r="BE39" i="21"/>
  <c r="BF48" i="21"/>
  <c r="BO48" i="21" s="1"/>
  <c r="BL51" i="21"/>
  <c r="S53" i="24"/>
  <c r="BJ69" i="21"/>
  <c r="AV134" i="21"/>
  <c r="AM134" i="21"/>
  <c r="BE71" i="21"/>
  <c r="BE72" i="21"/>
  <c r="BE74" i="21"/>
  <c r="AR74" i="21"/>
  <c r="AR134" i="21" s="1"/>
  <c r="BJ78" i="21"/>
  <c r="BK101" i="21"/>
  <c r="BE125" i="21"/>
  <c r="BJ22" i="22"/>
  <c r="AO25" i="21"/>
  <c r="BH25" i="21" s="1"/>
  <c r="AX132" i="21"/>
  <c r="BK34" i="21"/>
  <c r="BK35" i="21"/>
  <c r="BL36" i="21"/>
  <c r="BE38" i="21"/>
  <c r="BK39" i="21"/>
  <c r="BL44" i="21"/>
  <c r="BL43" i="21" s="1"/>
  <c r="BJ50" i="21"/>
  <c r="BJ54" i="21"/>
  <c r="X134" i="21"/>
  <c r="AF134" i="21"/>
  <c r="AO70" i="21"/>
  <c r="BF71" i="21"/>
  <c r="BO71" i="21" s="1"/>
  <c r="BF74" i="21"/>
  <c r="BO74" i="21" s="1"/>
  <c r="BK74" i="21"/>
  <c r="BE82" i="21"/>
  <c r="BJ83" i="21"/>
  <c r="BF84" i="21"/>
  <c r="BJ116" i="21"/>
  <c r="BJ123" i="21"/>
  <c r="AP22" i="22"/>
  <c r="BK22" i="22"/>
  <c r="BK24" i="22"/>
  <c r="M21" i="24"/>
  <c r="BK23" i="21"/>
  <c r="BK25" i="21"/>
  <c r="BF26" i="21"/>
  <c r="BA28" i="21"/>
  <c r="BA132" i="21" s="1"/>
  <c r="BJ30" i="21"/>
  <c r="BJ29" i="21" s="1"/>
  <c r="BJ33" i="21"/>
  <c r="L36" i="24"/>
  <c r="AT36" i="21"/>
  <c r="BJ36" i="21" s="1"/>
  <c r="BF38" i="21"/>
  <c r="BO38" i="21" s="1"/>
  <c r="BK47" i="21"/>
  <c r="BK43" i="21" s="1"/>
  <c r="BL50" i="21"/>
  <c r="BL67" i="21"/>
  <c r="AT70" i="21"/>
  <c r="AT134" i="21" s="1"/>
  <c r="BK72" i="21"/>
  <c r="BF73" i="21"/>
  <c r="BF80" i="21"/>
  <c r="BJ81" i="21"/>
  <c r="BE95" i="21"/>
  <c r="AO95" i="21"/>
  <c r="BE104" i="21"/>
  <c r="BJ26" i="22"/>
  <c r="BL19" i="21"/>
  <c r="BL21" i="21"/>
  <c r="BK24" i="21"/>
  <c r="BF28" i="21"/>
  <c r="AV133" i="21"/>
  <c r="BE43" i="21"/>
  <c r="BJ46" i="21"/>
  <c r="BL49" i="21"/>
  <c r="BF51" i="21"/>
  <c r="BO51" i="21" s="1"/>
  <c r="AW70" i="21"/>
  <c r="AW134" i="21" s="1"/>
  <c r="BJ76" i="21"/>
  <c r="BL77" i="21"/>
  <c r="BE78" i="21"/>
  <c r="BE88" i="21"/>
  <c r="AO88" i="21"/>
  <c r="BH88" i="21" s="1"/>
  <c r="AZ135" i="21"/>
  <c r="AM135" i="21"/>
  <c r="BJ106" i="21"/>
  <c r="BJ114" i="21"/>
  <c r="AE135" i="21"/>
  <c r="BL124" i="21"/>
  <c r="BI21" i="22"/>
  <c r="BJ90" i="21"/>
  <c r="BE127" i="21"/>
  <c r="BI116" i="24"/>
  <c r="P11" i="21"/>
  <c r="AG131" i="21"/>
  <c r="AX131" i="21"/>
  <c r="AO20" i="21"/>
  <c r="AP25" i="21"/>
  <c r="AH132" i="21"/>
  <c r="AQ28" i="21"/>
  <c r="AY28" i="21"/>
  <c r="AP29" i="21"/>
  <c r="AO39" i="21"/>
  <c r="AP42" i="21"/>
  <c r="AX42" i="21"/>
  <c r="BF42" i="21"/>
  <c r="AO43" i="21"/>
  <c r="AD134" i="21"/>
  <c r="AL134" i="21"/>
  <c r="AU70" i="21"/>
  <c r="AU134" i="21" s="1"/>
  <c r="BC70" i="21"/>
  <c r="BC134" i="21" s="1"/>
  <c r="AQ72" i="21"/>
  <c r="AP83" i="21"/>
  <c r="BE85" i="21"/>
  <c r="BE86" i="21"/>
  <c r="BF90" i="21"/>
  <c r="BO90" i="21" s="1"/>
  <c r="BK90" i="21"/>
  <c r="BE92" i="21"/>
  <c r="BJ93" i="21"/>
  <c r="BF95" i="21"/>
  <c r="BO95" i="21" s="1"/>
  <c r="AT101" i="21"/>
  <c r="BJ101" i="21" s="1"/>
  <c r="BF106" i="21"/>
  <c r="BE108" i="21"/>
  <c r="BE116" i="21"/>
  <c r="BI116" i="21"/>
  <c r="BJ117" i="21"/>
  <c r="BE119" i="21"/>
  <c r="BJ122" i="21"/>
  <c r="BE124" i="21"/>
  <c r="BF127" i="21"/>
  <c r="BE129" i="21"/>
  <c r="AE132" i="21"/>
  <c r="AE134" i="21"/>
  <c r="BE21" i="22"/>
  <c r="AT24" i="22"/>
  <c r="BJ24" i="22" s="1"/>
  <c r="AT32" i="22"/>
  <c r="BK33" i="22"/>
  <c r="AV47" i="22"/>
  <c r="BE54" i="22"/>
  <c r="BI54" i="22"/>
  <c r="BJ74" i="22"/>
  <c r="Z135" i="22"/>
  <c r="AQ94" i="22"/>
  <c r="AQ135" i="22" s="1"/>
  <c r="AH135" i="22"/>
  <c r="AY94" i="22"/>
  <c r="AY135" i="22" s="1"/>
  <c r="S11" i="21"/>
  <c r="AH131" i="21"/>
  <c r="AY131" i="21"/>
  <c r="AP20" i="21"/>
  <c r="AQ25" i="21"/>
  <c r="AZ28" i="21"/>
  <c r="AO35" i="21"/>
  <c r="BH35" i="21" s="1"/>
  <c r="AP36" i="21"/>
  <c r="AT37" i="21"/>
  <c r="BJ37" i="21" s="1"/>
  <c r="AP39" i="21"/>
  <c r="AQ42" i="21"/>
  <c r="AY42" i="21"/>
  <c r="AP43" i="21"/>
  <c r="AP50" i="21"/>
  <c r="BD70" i="21"/>
  <c r="BD134" i="21" s="1"/>
  <c r="AO76" i="21"/>
  <c r="BH76" i="21" s="1"/>
  <c r="AP82" i="21"/>
  <c r="BJ87" i="21"/>
  <c r="BE89" i="21"/>
  <c r="AF135" i="21"/>
  <c r="BD96" i="21"/>
  <c r="BD135" i="21" s="1"/>
  <c r="BE97" i="21"/>
  <c r="BJ98" i="21"/>
  <c r="BE100" i="21"/>
  <c r="BJ111" i="21"/>
  <c r="BE113" i="21"/>
  <c r="BL114" i="21"/>
  <c r="BL117" i="21"/>
  <c r="BF119" i="21"/>
  <c r="BF121" i="21"/>
  <c r="BE123" i="21"/>
  <c r="BF124" i="21"/>
  <c r="AI134" i="21"/>
  <c r="AG131" i="22"/>
  <c r="BK21" i="22"/>
  <c r="BE23" i="22"/>
  <c r="BE26" i="22"/>
  <c r="AD132" i="22"/>
  <c r="AL132" i="22"/>
  <c r="BE29" i="22"/>
  <c r="AP29" i="22"/>
  <c r="BE30" i="22"/>
  <c r="BK35" i="22"/>
  <c r="BL36" i="22"/>
  <c r="BL37" i="22"/>
  <c r="Y135" i="21"/>
  <c r="AG135" i="21"/>
  <c r="BJ97" i="21"/>
  <c r="BL98" i="21"/>
  <c r="BF100" i="21"/>
  <c r="BE102" i="21"/>
  <c r="AO104" i="21"/>
  <c r="BJ105" i="21"/>
  <c r="BE107" i="21"/>
  <c r="BF113" i="21"/>
  <c r="BE115" i="21"/>
  <c r="BJ126" i="21"/>
  <c r="BE128" i="21"/>
  <c r="AM132" i="21"/>
  <c r="AX131" i="22"/>
  <c r="BJ18" i="22"/>
  <c r="BK23" i="22"/>
  <c r="BK30" i="22"/>
  <c r="BK31" i="22"/>
  <c r="BL45" i="22"/>
  <c r="AR68" i="22"/>
  <c r="AR133" i="22" s="1"/>
  <c r="AJ131" i="21"/>
  <c r="BA131" i="21"/>
  <c r="AP22" i="21"/>
  <c r="AP26" i="21"/>
  <c r="AT28" i="21"/>
  <c r="BB28" i="21"/>
  <c r="AO40" i="21"/>
  <c r="AS42" i="21"/>
  <c r="BA42" i="21"/>
  <c r="AO44" i="21"/>
  <c r="BH44" i="21" s="1"/>
  <c r="AP51" i="21"/>
  <c r="BI51" i="21" s="1"/>
  <c r="AP54" i="21"/>
  <c r="BI54" i="21" s="1"/>
  <c r="AP68" i="21"/>
  <c r="Y134" i="21"/>
  <c r="AG134" i="21"/>
  <c r="AP70" i="21"/>
  <c r="AX70" i="21"/>
  <c r="AX134" i="21" s="1"/>
  <c r="BF70" i="21"/>
  <c r="AO71" i="21"/>
  <c r="AP73" i="21"/>
  <c r="AO77" i="21"/>
  <c r="BH77" i="21" s="1"/>
  <c r="AP80" i="21"/>
  <c r="BJ84" i="21"/>
  <c r="BF88" i="21"/>
  <c r="BO88" i="21" s="1"/>
  <c r="BK88" i="21"/>
  <c r="BJ91" i="21"/>
  <c r="BE93" i="21"/>
  <c r="Z135" i="21"/>
  <c r="AH135" i="21"/>
  <c r="AX94" i="21"/>
  <c r="AX135" i="21" s="1"/>
  <c r="BJ96" i="21"/>
  <c r="BF104" i="21"/>
  <c r="BO104" i="21" s="1"/>
  <c r="BF107" i="21"/>
  <c r="BE117" i="21"/>
  <c r="BL118" i="21"/>
  <c r="BE122" i="21"/>
  <c r="BL123" i="21"/>
  <c r="BF125" i="21"/>
  <c r="BF128" i="21"/>
  <c r="BE100" i="22"/>
  <c r="BE101" i="22"/>
  <c r="BE102" i="22"/>
  <c r="BE82" i="22"/>
  <c r="BE40" i="22"/>
  <c r="BB131" i="22"/>
  <c r="BL18" i="22"/>
  <c r="BL26" i="22"/>
  <c r="BK39" i="22"/>
  <c r="BF42" i="22"/>
  <c r="BE74" i="22"/>
  <c r="AS114" i="22"/>
  <c r="BF114" i="22"/>
  <c r="AD132" i="21"/>
  <c r="AL132" i="21"/>
  <c r="AU28" i="21"/>
  <c r="AU132" i="21" s="1"/>
  <c r="BC28" i="21"/>
  <c r="BC132" i="21" s="1"/>
  <c r="AP40" i="21"/>
  <c r="AT42" i="21"/>
  <c r="BB42" i="21"/>
  <c r="AP47" i="21"/>
  <c r="AO48" i="21"/>
  <c r="AP67" i="21"/>
  <c r="Z134" i="21"/>
  <c r="AH134" i="21"/>
  <c r="AQ70" i="21"/>
  <c r="AY70" i="21"/>
  <c r="AY134" i="21" s="1"/>
  <c r="AP71" i="21"/>
  <c r="AO74" i="21"/>
  <c r="BH74" i="21" s="1"/>
  <c r="AP77" i="21"/>
  <c r="BI77" i="21" s="1"/>
  <c r="AO78" i="21"/>
  <c r="BH78" i="21" s="1"/>
  <c r="AP79" i="21"/>
  <c r="BE87" i="21"/>
  <c r="BK93" i="21"/>
  <c r="BL96" i="21"/>
  <c r="BE98" i="21"/>
  <c r="BE103" i="21"/>
  <c r="BJ109" i="21"/>
  <c r="BE111" i="21"/>
  <c r="BF114" i="21"/>
  <c r="AE133" i="21"/>
  <c r="BL19" i="22"/>
  <c r="AU132" i="22"/>
  <c r="BJ33" i="22"/>
  <c r="BK36" i="22"/>
  <c r="BK37" i="22"/>
  <c r="AD133" i="22"/>
  <c r="AU42" i="22"/>
  <c r="AU133" i="22" s="1"/>
  <c r="AL133" i="22"/>
  <c r="BC42" i="22"/>
  <c r="BC133" i="22" s="1"/>
  <c r="BE80" i="22"/>
  <c r="AP24" i="21"/>
  <c r="AP37" i="21"/>
  <c r="BI37" i="21" s="1"/>
  <c r="AO38" i="21"/>
  <c r="AD133" i="21"/>
  <c r="AL133" i="21"/>
  <c r="AU42" i="21"/>
  <c r="AU133" i="21" s="1"/>
  <c r="BC42" i="21"/>
  <c r="BC133" i="21" s="1"/>
  <c r="AP46" i="21"/>
  <c r="AQ47" i="21"/>
  <c r="AP48" i="21"/>
  <c r="AP74" i="21"/>
  <c r="BI74" i="21" s="1"/>
  <c r="BA76" i="21"/>
  <c r="BK76" i="21" s="1"/>
  <c r="AP78" i="21"/>
  <c r="BI78" i="21" s="1"/>
  <c r="BF85" i="21"/>
  <c r="BF87" i="21"/>
  <c r="BL90" i="21"/>
  <c r="BF92" i="21"/>
  <c r="BO92" i="21" s="1"/>
  <c r="BK92" i="21"/>
  <c r="AS135" i="21"/>
  <c r="BF94" i="21"/>
  <c r="BF98" i="21"/>
  <c r="BL101" i="21"/>
  <c r="BJ103" i="21"/>
  <c r="BE105" i="21"/>
  <c r="BL106" i="21"/>
  <c r="BL104" i="21" s="1"/>
  <c r="BF108" i="21"/>
  <c r="BF111" i="21"/>
  <c r="BE118" i="21"/>
  <c r="BJ119" i="21"/>
  <c r="BJ124" i="21"/>
  <c r="BL127" i="21"/>
  <c r="BF129" i="21"/>
  <c r="AK131" i="22"/>
  <c r="BF20" i="22"/>
  <c r="BO20" i="22" s="1"/>
  <c r="BE27" i="22"/>
  <c r="AY28" i="22"/>
  <c r="BJ35" i="22"/>
  <c r="BK45" i="22"/>
  <c r="AA134" i="22"/>
  <c r="BF70" i="22"/>
  <c r="AR70" i="22"/>
  <c r="AI134" i="22"/>
  <c r="AZ70" i="22"/>
  <c r="AZ134" i="22" s="1"/>
  <c r="BK89" i="22"/>
  <c r="H11" i="21"/>
  <c r="BD131" i="21"/>
  <c r="O21" i="24"/>
  <c r="AP27" i="21"/>
  <c r="AF132" i="21"/>
  <c r="AO28" i="21"/>
  <c r="AW28" i="21"/>
  <c r="AW132" i="21" s="1"/>
  <c r="BE28" i="21"/>
  <c r="AO32" i="21"/>
  <c r="AP38" i="21"/>
  <c r="BD42" i="21"/>
  <c r="BD133" i="21" s="1"/>
  <c r="AB134" i="21"/>
  <c r="AJ134" i="21"/>
  <c r="AS70" i="21"/>
  <c r="BA70" i="21"/>
  <c r="AO72" i="21"/>
  <c r="AO75" i="21"/>
  <c r="BE84" i="21"/>
  <c r="BL86" i="21"/>
  <c r="BJ89" i="21"/>
  <c r="BE91" i="21"/>
  <c r="AC135" i="21"/>
  <c r="AK135" i="21"/>
  <c r="BE96" i="21"/>
  <c r="BE99" i="21"/>
  <c r="BJ100" i="21"/>
  <c r="BF105" i="21"/>
  <c r="BJ113" i="21"/>
  <c r="BL116" i="21"/>
  <c r="BL119" i="21"/>
  <c r="BE120" i="21"/>
  <c r="BL121" i="21"/>
  <c r="BF126" i="21"/>
  <c r="BK18" i="22"/>
  <c r="BK17" i="22" s="1"/>
  <c r="BL21" i="22"/>
  <c r="BE22" i="22"/>
  <c r="BK26" i="22"/>
  <c r="BK27" i="22"/>
  <c r="BC132" i="22"/>
  <c r="BJ30" i="22"/>
  <c r="BJ31" i="22"/>
  <c r="BL34" i="22"/>
  <c r="BJ40" i="22"/>
  <c r="BJ38" i="22" s="1"/>
  <c r="BE69" i="22"/>
  <c r="BE71" i="22"/>
  <c r="BE78" i="22"/>
  <c r="AP79" i="22"/>
  <c r="BF79" i="22"/>
  <c r="BJ92" i="22"/>
  <c r="AP93" i="22"/>
  <c r="BI93" i="22" s="1"/>
  <c r="BF93" i="22"/>
  <c r="BO93" i="22" s="1"/>
  <c r="BK93" i="22"/>
  <c r="AP85" i="21"/>
  <c r="AP88" i="21"/>
  <c r="BI88" i="21" s="1"/>
  <c r="AP92" i="21"/>
  <c r="BI92" i="21" s="1"/>
  <c r="AU94" i="21"/>
  <c r="AU135" i="21" s="1"/>
  <c r="BC94" i="21"/>
  <c r="BC135" i="21" s="1"/>
  <c r="AO115" i="21"/>
  <c r="AB135" i="21"/>
  <c r="AJ135" i="21"/>
  <c r="AH131" i="22"/>
  <c r="AQ16" i="22"/>
  <c r="AY16" i="22"/>
  <c r="AY131" i="22" s="1"/>
  <c r="AP17" i="22"/>
  <c r="AR28" i="22"/>
  <c r="AZ28" i="22"/>
  <c r="BJ72" i="22"/>
  <c r="BF74" i="22"/>
  <c r="BO74" i="22" s="1"/>
  <c r="BK74" i="22"/>
  <c r="BJ82" i="22"/>
  <c r="BE95" i="22"/>
  <c r="AP84" i="21"/>
  <c r="AO89" i="21"/>
  <c r="BH89" i="21" s="1"/>
  <c r="AO93" i="21"/>
  <c r="BH93" i="21" s="1"/>
  <c r="BM93" i="21" s="1"/>
  <c r="AP115" i="21"/>
  <c r="AP11" i="22"/>
  <c r="AI131" i="22"/>
  <c r="AR16" i="22"/>
  <c r="AZ16" i="22"/>
  <c r="AZ131" i="22" s="1"/>
  <c r="AP18" i="22"/>
  <c r="AP25" i="22"/>
  <c r="AS28" i="22"/>
  <c r="BA28" i="22"/>
  <c r="BA132" i="22" s="1"/>
  <c r="AO30" i="22"/>
  <c r="AO33" i="22"/>
  <c r="AP36" i="22"/>
  <c r="BF54" i="22"/>
  <c r="BO54" i="22" s="1"/>
  <c r="Y134" i="22"/>
  <c r="BL72" i="22"/>
  <c r="BJ83" i="22"/>
  <c r="AP89" i="21"/>
  <c r="BI89" i="21" s="1"/>
  <c r="AP93" i="21"/>
  <c r="BI93" i="21" s="1"/>
  <c r="AO94" i="21"/>
  <c r="AW94" i="21"/>
  <c r="AW135" i="21" s="1"/>
  <c r="BE94" i="21"/>
  <c r="AO116" i="21"/>
  <c r="X11" i="22"/>
  <c r="AT11" i="22"/>
  <c r="AJ131" i="22"/>
  <c r="AS16" i="22"/>
  <c r="BA16" i="22"/>
  <c r="BA131" i="22" s="1"/>
  <c r="AT28" i="22"/>
  <c r="BB28" i="22"/>
  <c r="AP33" i="22"/>
  <c r="AP35" i="22"/>
  <c r="BL39" i="22"/>
  <c r="BL38" i="22" s="1"/>
  <c r="BL44" i="22"/>
  <c r="BK46" i="22"/>
  <c r="BF48" i="22"/>
  <c r="BO48" i="22" s="1"/>
  <c r="BL50" i="22"/>
  <c r="AT70" i="22"/>
  <c r="AT134" i="22" s="1"/>
  <c r="BF71" i="22"/>
  <c r="BO71" i="22" s="1"/>
  <c r="BL77" i="22"/>
  <c r="AP81" i="22"/>
  <c r="BF81" i="22"/>
  <c r="BJ84" i="22"/>
  <c r="AP90" i="21"/>
  <c r="BI90" i="21" s="1"/>
  <c r="AQ94" i="21"/>
  <c r="AQ135" i="21" s="1"/>
  <c r="AY94" i="21"/>
  <c r="AY135" i="21" s="1"/>
  <c r="AP95" i="21"/>
  <c r="AO96" i="21"/>
  <c r="AP104" i="21"/>
  <c r="AC11" i="22"/>
  <c r="AU16" i="22"/>
  <c r="BC16" i="22"/>
  <c r="AP26" i="22"/>
  <c r="AE132" i="22"/>
  <c r="AM132" i="22"/>
  <c r="AV28" i="22"/>
  <c r="AV132" i="22" s="1"/>
  <c r="BD28" i="22"/>
  <c r="BD132" i="22" s="1"/>
  <c r="AA133" i="22"/>
  <c r="AI133" i="22"/>
  <c r="BE51" i="22"/>
  <c r="BF75" i="22"/>
  <c r="AP76" i="22"/>
  <c r="BI76" i="22" s="1"/>
  <c r="BF76" i="22"/>
  <c r="BK76" i="22"/>
  <c r="BE77" i="22"/>
  <c r="AO77" i="22"/>
  <c r="BH77" i="22" s="1"/>
  <c r="BJ86" i="22"/>
  <c r="BF88" i="22"/>
  <c r="BO88" i="22" s="1"/>
  <c r="BK88" i="22"/>
  <c r="BE96" i="22"/>
  <c r="AO96" i="22"/>
  <c r="AO91" i="21"/>
  <c r="BH91" i="21" s="1"/>
  <c r="AP96" i="21"/>
  <c r="AO120" i="21"/>
  <c r="AM131" i="22"/>
  <c r="AV16" i="22"/>
  <c r="BD16" i="22"/>
  <c r="BD131" i="22" s="1"/>
  <c r="AO20" i="22"/>
  <c r="AP23" i="22"/>
  <c r="AO27" i="22"/>
  <c r="BH27" i="22" s="1"/>
  <c r="AF132" i="22"/>
  <c r="AO28" i="22"/>
  <c r="AW28" i="22"/>
  <c r="AW132" i="22" s="1"/>
  <c r="BE28" i="22"/>
  <c r="AO31" i="22"/>
  <c r="BH31" i="22" s="1"/>
  <c r="AP37" i="22"/>
  <c r="BI37" i="22" s="1"/>
  <c r="AO43" i="22"/>
  <c r="BE45" i="22"/>
  <c r="BJ54" i="22"/>
  <c r="BB70" i="22"/>
  <c r="BE73" i="22"/>
  <c r="BL74" i="22"/>
  <c r="BE84" i="22"/>
  <c r="BE94" i="22"/>
  <c r="AF135" i="22"/>
  <c r="AW94" i="22"/>
  <c r="AW135" i="22" s="1"/>
  <c r="AO94" i="22"/>
  <c r="BJ98" i="22"/>
  <c r="AP87" i="21"/>
  <c r="AP91" i="21"/>
  <c r="BI91" i="21" s="1"/>
  <c r="AO101" i="21"/>
  <c r="BH101" i="21" s="1"/>
  <c r="AP120" i="21"/>
  <c r="AO16" i="22"/>
  <c r="AW16" i="22"/>
  <c r="BE16" i="22"/>
  <c r="AP20" i="22"/>
  <c r="AO22" i="22"/>
  <c r="AP27" i="22"/>
  <c r="AG132" i="22"/>
  <c r="AP28" i="22"/>
  <c r="AX28" i="22"/>
  <c r="AX132" i="22" s="1"/>
  <c r="BF28" i="22"/>
  <c r="AO29" i="22"/>
  <c r="AO32" i="22"/>
  <c r="BF38" i="22"/>
  <c r="BO38" i="22" s="1"/>
  <c r="AP38" i="22"/>
  <c r="BF41" i="22"/>
  <c r="AZ133" i="22"/>
  <c r="BF43" i="22"/>
  <c r="BO43" i="22" s="1"/>
  <c r="BJ44" i="22"/>
  <c r="BL47" i="22"/>
  <c r="BL68" i="22"/>
  <c r="BK72" i="22"/>
  <c r="BJ73" i="22"/>
  <c r="BL75" i="22"/>
  <c r="BE85" i="22"/>
  <c r="BE89" i="22"/>
  <c r="BJ91" i="22"/>
  <c r="AS135" i="22"/>
  <c r="BE99" i="22"/>
  <c r="BE108" i="22"/>
  <c r="AP46" i="22"/>
  <c r="AP48" i="22"/>
  <c r="AD134" i="22"/>
  <c r="AL134" i="22"/>
  <c r="AU70" i="22"/>
  <c r="AU134" i="22" s="1"/>
  <c r="BC70" i="22"/>
  <c r="BC134" i="22" s="1"/>
  <c r="AO74" i="22"/>
  <c r="BH74" i="22" s="1"/>
  <c r="BE75" i="22"/>
  <c r="AP77" i="22"/>
  <c r="BJ80" i="22"/>
  <c r="BL81" i="22"/>
  <c r="BE83" i="22"/>
  <c r="BF84" i="22"/>
  <c r="BL87" i="22"/>
  <c r="BF87" i="22"/>
  <c r="BF96" i="22"/>
  <c r="BO96" i="22" s="1"/>
  <c r="BK96" i="22"/>
  <c r="BF99" i="22"/>
  <c r="BE107" i="22"/>
  <c r="AP116" i="22"/>
  <c r="BF116" i="22"/>
  <c r="BO116" i="22" s="1"/>
  <c r="BK116" i="22"/>
  <c r="BO17" i="23"/>
  <c r="AE133" i="22"/>
  <c r="AM133" i="22"/>
  <c r="AV42" i="22"/>
  <c r="AV133" i="22" s="1"/>
  <c r="BD42" i="22"/>
  <c r="BD133" i="22" s="1"/>
  <c r="AE134" i="22"/>
  <c r="AM134" i="22"/>
  <c r="AV70" i="22"/>
  <c r="AV134" i="22" s="1"/>
  <c r="BD70" i="22"/>
  <c r="BD134" i="22" s="1"/>
  <c r="AP74" i="22"/>
  <c r="BI74" i="22" s="1"/>
  <c r="AR83" i="22"/>
  <c r="BE86" i="22"/>
  <c r="BE91" i="22"/>
  <c r="BI91" i="22"/>
  <c r="BL92" i="22"/>
  <c r="AB135" i="22"/>
  <c r="BJ102" i="22"/>
  <c r="BE106" i="22"/>
  <c r="BF107" i="22"/>
  <c r="BF111" i="22"/>
  <c r="AP41" i="22"/>
  <c r="AF133" i="22"/>
  <c r="AO42" i="22"/>
  <c r="AW42" i="22"/>
  <c r="AW133" i="22" s="1"/>
  <c r="BE42" i="22"/>
  <c r="AP49" i="22"/>
  <c r="AP53" i="22"/>
  <c r="AO54" i="22"/>
  <c r="BH54" i="22" s="1"/>
  <c r="AP69" i="22"/>
  <c r="X134" i="22"/>
  <c r="AF134" i="22"/>
  <c r="AO70" i="22"/>
  <c r="AW70" i="22"/>
  <c r="AW134" i="22" s="1"/>
  <c r="BE70" i="22"/>
  <c r="AS75" i="22"/>
  <c r="BL79" i="22"/>
  <c r="BE81" i="22"/>
  <c r="BF82" i="22"/>
  <c r="BE87" i="22"/>
  <c r="BL88" i="22"/>
  <c r="BL93" i="22"/>
  <c r="BA94" i="22"/>
  <c r="BF101" i="22"/>
  <c r="BK101" i="22"/>
  <c r="BL102" i="22"/>
  <c r="BL95" i="22" s="1"/>
  <c r="BE104" i="22"/>
  <c r="AP104" i="22"/>
  <c r="BE105" i="22"/>
  <c r="BF106" i="22"/>
  <c r="BJ111" i="22"/>
  <c r="BL85" i="22"/>
  <c r="BE92" i="22"/>
  <c r="BE97" i="22"/>
  <c r="BF105" i="22"/>
  <c r="BJ112" i="22"/>
  <c r="AQ42" i="22"/>
  <c r="AY42" i="22"/>
  <c r="AY133" i="22" s="1"/>
  <c r="AP43" i="22"/>
  <c r="AO45" i="22"/>
  <c r="BH45" i="22" s="1"/>
  <c r="AP50" i="22"/>
  <c r="AH134" i="22"/>
  <c r="AQ70" i="22"/>
  <c r="AY70" i="22"/>
  <c r="AY134" i="22" s="1"/>
  <c r="AP71" i="22"/>
  <c r="AO72" i="22"/>
  <c r="BE76" i="22"/>
  <c r="BE79" i="22"/>
  <c r="BF80" i="22"/>
  <c r="BF86" i="22"/>
  <c r="BE88" i="22"/>
  <c r="BJ90" i="22"/>
  <c r="BF92" i="22"/>
  <c r="BO92" i="22" s="1"/>
  <c r="BE93" i="22"/>
  <c r="AE135" i="22"/>
  <c r="BD135" i="22"/>
  <c r="BJ96" i="22"/>
  <c r="BF97" i="22"/>
  <c r="BJ99" i="22"/>
  <c r="BJ103" i="22"/>
  <c r="BJ108" i="22"/>
  <c r="BJ109" i="22"/>
  <c r="BL110" i="22"/>
  <c r="BE121" i="22"/>
  <c r="BL127" i="22"/>
  <c r="BE98" i="22"/>
  <c r="BJ107" i="22"/>
  <c r="BE111" i="22"/>
  <c r="BJ126" i="22"/>
  <c r="BE128" i="22"/>
  <c r="AS42" i="22"/>
  <c r="BA42" i="22"/>
  <c r="AO44" i="22"/>
  <c r="BH44" i="22" s="1"/>
  <c r="AO47" i="22"/>
  <c r="BH47" i="22" s="1"/>
  <c r="AP51" i="22"/>
  <c r="BI51" i="22" s="1"/>
  <c r="BM51" i="22" s="1"/>
  <c r="AB134" i="22"/>
  <c r="AJ134" i="22"/>
  <c r="AS70" i="22"/>
  <c r="BA70" i="22"/>
  <c r="AO73" i="22"/>
  <c r="BF78" i="22"/>
  <c r="BO78" i="22" s="1"/>
  <c r="BK78" i="22"/>
  <c r="BL83" i="22"/>
  <c r="BJ85" i="22"/>
  <c r="BJ93" i="22"/>
  <c r="BF98" i="22"/>
  <c r="BJ101" i="22"/>
  <c r="BL107" i="22"/>
  <c r="BE110" i="22"/>
  <c r="BE112" i="22"/>
  <c r="BJ129" i="22"/>
  <c r="AP80" i="22"/>
  <c r="AO91" i="22"/>
  <c r="BH91" i="22" s="1"/>
  <c r="BM91" i="22" s="1"/>
  <c r="AA135" i="22"/>
  <c r="AI135" i="22"/>
  <c r="AR94" i="22"/>
  <c r="AR135" i="22" s="1"/>
  <c r="AZ94" i="22"/>
  <c r="AZ135" i="22" s="1"/>
  <c r="AP96" i="22"/>
  <c r="BL118" i="22"/>
  <c r="BE118" i="22"/>
  <c r="BE119" i="22"/>
  <c r="BF121" i="22"/>
  <c r="BL123" i="22"/>
  <c r="BF123" i="22"/>
  <c r="BE124" i="22"/>
  <c r="AM135" i="22"/>
  <c r="BE128" i="23"/>
  <c r="BE116" i="23"/>
  <c r="BE92" i="23"/>
  <c r="BE110" i="23"/>
  <c r="BE123" i="23"/>
  <c r="BE85" i="23"/>
  <c r="BE88" i="23"/>
  <c r="BE53" i="23"/>
  <c r="BL19" i="23"/>
  <c r="BE20" i="23"/>
  <c r="BE29" i="23"/>
  <c r="BL114" i="22"/>
  <c r="BJ117" i="22"/>
  <c r="BJ115" i="22" s="1"/>
  <c r="BF119" i="22"/>
  <c r="BE120" i="22"/>
  <c r="BJ121" i="22"/>
  <c r="BE127" i="22"/>
  <c r="BK18" i="23"/>
  <c r="AT23" i="23"/>
  <c r="BK26" i="23"/>
  <c r="BF105" i="23"/>
  <c r="AP78" i="22"/>
  <c r="BI78" i="22" s="1"/>
  <c r="AP86" i="22"/>
  <c r="AO88" i="22"/>
  <c r="BH88" i="22" s="1"/>
  <c r="AO92" i="22"/>
  <c r="BH92" i="22" s="1"/>
  <c r="AC135" i="22"/>
  <c r="AK135" i="22"/>
  <c r="AT94" i="22"/>
  <c r="AT135" i="22" s="1"/>
  <c r="BB94" i="22"/>
  <c r="AP101" i="22"/>
  <c r="BI101" i="22" s="1"/>
  <c r="BE115" i="22"/>
  <c r="BE117" i="22"/>
  <c r="BE123" i="22"/>
  <c r="BL126" i="22"/>
  <c r="BE17" i="23"/>
  <c r="AP17" i="23"/>
  <c r="BK22" i="23"/>
  <c r="BK25" i="23"/>
  <c r="AE133" i="23"/>
  <c r="AV42" i="23"/>
  <c r="AV133" i="23" s="1"/>
  <c r="AM133" i="23"/>
  <c r="BD42" i="23"/>
  <c r="BD133" i="23" s="1"/>
  <c r="AO75" i="22"/>
  <c r="AP85" i="22"/>
  <c r="AP88" i="22"/>
  <c r="BI88" i="22" s="1"/>
  <c r="AP92" i="22"/>
  <c r="BI92" i="22" s="1"/>
  <c r="AD135" i="22"/>
  <c r="AL135" i="22"/>
  <c r="AU94" i="22"/>
  <c r="AU135" i="22" s="1"/>
  <c r="BC94" i="22"/>
  <c r="BC135" i="22" s="1"/>
  <c r="BE114" i="22"/>
  <c r="BF118" i="22"/>
  <c r="BL122" i="22"/>
  <c r="BE129" i="22"/>
  <c r="BK19" i="23"/>
  <c r="BK35" i="23"/>
  <c r="BE45" i="23"/>
  <c r="AP84" i="22"/>
  <c r="AO89" i="22"/>
  <c r="BH89" i="22" s="1"/>
  <c r="BM89" i="22" s="1"/>
  <c r="AO93" i="22"/>
  <c r="BH93" i="22" s="1"/>
  <c r="BM93" i="22" s="1"/>
  <c r="AV94" i="22"/>
  <c r="AV135" i="22" s="1"/>
  <c r="BL113" i="22"/>
  <c r="BL125" i="22"/>
  <c r="BE125" i="22"/>
  <c r="BE126" i="22"/>
  <c r="BJ128" i="22"/>
  <c r="AQ16" i="23"/>
  <c r="AP38" i="23"/>
  <c r="BF38" i="23"/>
  <c r="BO38" i="23" s="1"/>
  <c r="BK45" i="23"/>
  <c r="BF115" i="22"/>
  <c r="BO115" i="22" s="1"/>
  <c r="BF117" i="22"/>
  <c r="BE122" i="22"/>
  <c r="BJ124" i="22"/>
  <c r="BF126" i="22"/>
  <c r="AT16" i="23"/>
  <c r="BJ18" i="23"/>
  <c r="BK23" i="23"/>
  <c r="AO76" i="22"/>
  <c r="BH76" i="22" s="1"/>
  <c r="AP82" i="22"/>
  <c r="AO90" i="22"/>
  <c r="BH90" i="22" s="1"/>
  <c r="Y135" i="22"/>
  <c r="AG135" i="22"/>
  <c r="AP94" i="22"/>
  <c r="AX94" i="22"/>
  <c r="AX135" i="22" s="1"/>
  <c r="BF94" i="22"/>
  <c r="AO95" i="22"/>
  <c r="AO104" i="22"/>
  <c r="BL112" i="22"/>
  <c r="BE113" i="22"/>
  <c r="BE116" i="22"/>
  <c r="BL119" i="22"/>
  <c r="BF122" i="22"/>
  <c r="BJ122" i="22"/>
  <c r="BF129" i="22"/>
  <c r="AY16" i="23"/>
  <c r="AY131" i="23" s="1"/>
  <c r="BL18" i="23"/>
  <c r="BL24" i="23"/>
  <c r="BJ35" i="23"/>
  <c r="AC11" i="23"/>
  <c r="BA11" i="23"/>
  <c r="AU16" i="23"/>
  <c r="BC16" i="23"/>
  <c r="BJ22" i="23"/>
  <c r="BK27" i="23"/>
  <c r="BF29" i="23"/>
  <c r="BO29" i="23" s="1"/>
  <c r="BJ30" i="23"/>
  <c r="BE34" i="23"/>
  <c r="BE51" i="23"/>
  <c r="BJ52" i="23"/>
  <c r="BL56" i="23"/>
  <c r="BE75" i="23"/>
  <c r="AO120" i="22"/>
  <c r="AG11" i="23"/>
  <c r="BC11" i="23"/>
  <c r="AM131" i="23"/>
  <c r="AV16" i="23"/>
  <c r="BD16" i="23"/>
  <c r="BD131" i="23" s="1"/>
  <c r="AO20" i="23"/>
  <c r="BK24" i="23"/>
  <c r="AG132" i="23"/>
  <c r="BJ31" i="23"/>
  <c r="BK36" i="23"/>
  <c r="BK37" i="23"/>
  <c r="BJ41" i="23"/>
  <c r="BF44" i="23"/>
  <c r="BK44" i="23"/>
  <c r="BJ46" i="23"/>
  <c r="BL47" i="23"/>
  <c r="BF51" i="23"/>
  <c r="BO51" i="23" s="1"/>
  <c r="BK51" i="23"/>
  <c r="BL52" i="23"/>
  <c r="BE69" i="23"/>
  <c r="AP78" i="23"/>
  <c r="BI78" i="23" s="1"/>
  <c r="BF78" i="23"/>
  <c r="BO78" i="23" s="1"/>
  <c r="BK78" i="23"/>
  <c r="BJ82" i="23"/>
  <c r="BI88" i="23"/>
  <c r="AO16" i="23"/>
  <c r="AW16" i="23"/>
  <c r="BE16" i="23"/>
  <c r="AP20" i="23"/>
  <c r="BE32" i="23"/>
  <c r="BK49" i="23"/>
  <c r="BJ50" i="23"/>
  <c r="BE54" i="23"/>
  <c r="BE57" i="23"/>
  <c r="BE84" i="23"/>
  <c r="BE124" i="23"/>
  <c r="AG131" i="23"/>
  <c r="AP16" i="23"/>
  <c r="AX16" i="23"/>
  <c r="AX131" i="23" s="1"/>
  <c r="AO17" i="23"/>
  <c r="AX132" i="23"/>
  <c r="BE30" i="23"/>
  <c r="BK33" i="23"/>
  <c r="BJ39" i="23"/>
  <c r="BL40" i="23"/>
  <c r="BL38" i="23" s="1"/>
  <c r="BE43" i="23"/>
  <c r="BE47" i="23"/>
  <c r="BE52" i="23"/>
  <c r="BJ53" i="23"/>
  <c r="BK54" i="23"/>
  <c r="AW57" i="23"/>
  <c r="BJ57" i="23" s="1"/>
  <c r="BK30" i="23"/>
  <c r="BE31" i="23"/>
  <c r="BK47" i="23"/>
  <c r="BJ72" i="23"/>
  <c r="BF93" i="23"/>
  <c r="BO93" i="23" s="1"/>
  <c r="AP93" i="23"/>
  <c r="BI93" i="23" s="1"/>
  <c r="AU102" i="23"/>
  <c r="BF102" i="23"/>
  <c r="AP115" i="22"/>
  <c r="AI131" i="23"/>
  <c r="AR16" i="23"/>
  <c r="AZ16" i="23"/>
  <c r="AZ131" i="23" s="1"/>
  <c r="BJ24" i="23"/>
  <c r="AK132" i="23"/>
  <c r="BB28" i="23"/>
  <c r="BB132" i="23" s="1"/>
  <c r="BK31" i="23"/>
  <c r="BJ44" i="23"/>
  <c r="BK46" i="23"/>
  <c r="BJ60" i="23"/>
  <c r="AO116" i="22"/>
  <c r="X11" i="23"/>
  <c r="AJ131" i="23"/>
  <c r="AS16" i="23"/>
  <c r="BA16" i="23"/>
  <c r="BA131" i="23" s="1"/>
  <c r="BL21" i="23"/>
  <c r="BF28" i="23"/>
  <c r="BL37" i="23"/>
  <c r="BL32" i="23" s="1"/>
  <c r="BE38" i="23"/>
  <c r="BK40" i="23"/>
  <c r="BL44" i="23"/>
  <c r="BL43" i="23" s="1"/>
  <c r="BE48" i="23"/>
  <c r="BJ49" i="23"/>
  <c r="BL51" i="23"/>
  <c r="AF133" i="23"/>
  <c r="AO42" i="23"/>
  <c r="AW42" i="23"/>
  <c r="AW133" i="23" s="1"/>
  <c r="BE42" i="23"/>
  <c r="AP49" i="23"/>
  <c r="AP53" i="23"/>
  <c r="AO54" i="23"/>
  <c r="BH54" i="23" s="1"/>
  <c r="BJ59" i="23"/>
  <c r="BJ68" i="23"/>
  <c r="AE134" i="23"/>
  <c r="AM134" i="23"/>
  <c r="BE71" i="23"/>
  <c r="BL75" i="23"/>
  <c r="BE77" i="23"/>
  <c r="BE81" i="23"/>
  <c r="BE112" i="23"/>
  <c r="BF124" i="23"/>
  <c r="AR28" i="23"/>
  <c r="AZ28" i="23"/>
  <c r="AO30" i="23"/>
  <c r="AO39" i="23"/>
  <c r="AP42" i="23"/>
  <c r="AX42" i="23"/>
  <c r="BF42" i="23"/>
  <c r="AO43" i="23"/>
  <c r="AT45" i="23"/>
  <c r="BJ45" i="23" s="1"/>
  <c r="AP54" i="23"/>
  <c r="BI54" i="23" s="1"/>
  <c r="AP56" i="23"/>
  <c r="BL68" i="23"/>
  <c r="BE68" i="23"/>
  <c r="AO70" i="23"/>
  <c r="BF71" i="23"/>
  <c r="BO71" i="23" s="1"/>
  <c r="BJ88" i="23"/>
  <c r="BF88" i="23"/>
  <c r="BO88" i="23" s="1"/>
  <c r="BJ89" i="23"/>
  <c r="BK91" i="23"/>
  <c r="BF100" i="23"/>
  <c r="BE103" i="23"/>
  <c r="BE120" i="23"/>
  <c r="AO120" i="23"/>
  <c r="AJ132" i="23"/>
  <c r="AS28" i="23"/>
  <c r="BA28" i="23"/>
  <c r="BA132" i="23" s="1"/>
  <c r="AP30" i="23"/>
  <c r="AP36" i="23"/>
  <c r="AP39" i="23"/>
  <c r="AQ42" i="23"/>
  <c r="AY42" i="23"/>
  <c r="AP43" i="23"/>
  <c r="AP50" i="23"/>
  <c r="BL58" i="23"/>
  <c r="AV70" i="23"/>
  <c r="AV134" i="23" s="1"/>
  <c r="AO75" i="23"/>
  <c r="BE76" i="23"/>
  <c r="BE79" i="23"/>
  <c r="BF84" i="23"/>
  <c r="BJ85" i="23"/>
  <c r="BE86" i="23"/>
  <c r="AP86" i="23"/>
  <c r="BL88" i="23"/>
  <c r="BE90" i="23"/>
  <c r="BE94" i="23"/>
  <c r="X135" i="23"/>
  <c r="AF135" i="23"/>
  <c r="AW94" i="23"/>
  <c r="AW135" i="23" s="1"/>
  <c r="AO94" i="23"/>
  <c r="BL97" i="23"/>
  <c r="BF121" i="23"/>
  <c r="BF128" i="23"/>
  <c r="AP35" i="23"/>
  <c r="AA133" i="23"/>
  <c r="AR42" i="23"/>
  <c r="AR133" i="23" s="1"/>
  <c r="AZ42" i="23"/>
  <c r="AO51" i="23"/>
  <c r="BH51" i="23" s="1"/>
  <c r="AW134" i="23"/>
  <c r="BE74" i="23"/>
  <c r="BI74" i="23"/>
  <c r="BK75" i="23"/>
  <c r="BF76" i="23"/>
  <c r="BE82" i="23"/>
  <c r="BJ83" i="23"/>
  <c r="BF90" i="23"/>
  <c r="BO90" i="23" s="1"/>
  <c r="BK90" i="23"/>
  <c r="AS99" i="23"/>
  <c r="BF99" i="23"/>
  <c r="AD132" i="23"/>
  <c r="AL132" i="23"/>
  <c r="AU28" i="23"/>
  <c r="AU132" i="23" s="1"/>
  <c r="BC28" i="23"/>
  <c r="BC132" i="23" s="1"/>
  <c r="AO40" i="23"/>
  <c r="AS42" i="23"/>
  <c r="BA42" i="23"/>
  <c r="AP51" i="23"/>
  <c r="BI51" i="23" s="1"/>
  <c r="BD70" i="23"/>
  <c r="BD134" i="23" s="1"/>
  <c r="BL78" i="23"/>
  <c r="BF82" i="23"/>
  <c r="BL87" i="23"/>
  <c r="BE89" i="23"/>
  <c r="BJ113" i="23"/>
  <c r="BJ114" i="23"/>
  <c r="BE119" i="23"/>
  <c r="BJ124" i="23"/>
  <c r="AE132" i="23"/>
  <c r="AM132" i="23"/>
  <c r="AV28" i="23"/>
  <c r="AV132" i="23" s="1"/>
  <c r="BD28" i="23"/>
  <c r="BD132" i="23" s="1"/>
  <c r="AO31" i="23"/>
  <c r="BH31" i="23" s="1"/>
  <c r="AP40" i="23"/>
  <c r="AT42" i="23"/>
  <c r="BB42" i="23"/>
  <c r="AP44" i="23"/>
  <c r="BI44" i="23" s="1"/>
  <c r="AP47" i="23"/>
  <c r="AO48" i="23"/>
  <c r="AO52" i="23"/>
  <c r="BE70" i="23"/>
  <c r="BE73" i="23"/>
  <c r="BJ77" i="23"/>
  <c r="BE80" i="23"/>
  <c r="BF89" i="23"/>
  <c r="BO89" i="23" s="1"/>
  <c r="BK89" i="23"/>
  <c r="BJ91" i="23"/>
  <c r="AR135" i="23"/>
  <c r="BI96" i="23"/>
  <c r="BK96" i="23"/>
  <c r="BE98" i="23"/>
  <c r="BH116" i="23"/>
  <c r="BJ125" i="23"/>
  <c r="AP22" i="23"/>
  <c r="AP24" i="23"/>
  <c r="AP27" i="23"/>
  <c r="AF132" i="23"/>
  <c r="AO28" i="23"/>
  <c r="AW28" i="23"/>
  <c r="AW132" i="23" s="1"/>
  <c r="BE28" i="23"/>
  <c r="AO32" i="23"/>
  <c r="AP37" i="23"/>
  <c r="BI37" i="23" s="1"/>
  <c r="AO38" i="23"/>
  <c r="AD133" i="23"/>
  <c r="AL133" i="23"/>
  <c r="AU42" i="23"/>
  <c r="AU133" i="23" s="1"/>
  <c r="BC42" i="23"/>
  <c r="BC133" i="23" s="1"/>
  <c r="AP46" i="23"/>
  <c r="AP48" i="23"/>
  <c r="AP52" i="23"/>
  <c r="BE72" i="23"/>
  <c r="BF73" i="23"/>
  <c r="BL77" i="23"/>
  <c r="BE78" i="23"/>
  <c r="BL81" i="23"/>
  <c r="BE83" i="23"/>
  <c r="BJ84" i="23"/>
  <c r="BE87" i="23"/>
  <c r="BE93" i="23"/>
  <c r="BJ98" i="23"/>
  <c r="AS101" i="23"/>
  <c r="BF101" i="23"/>
  <c r="BJ102" i="23"/>
  <c r="BE105" i="23"/>
  <c r="BF109" i="23"/>
  <c r="BK116" i="23"/>
  <c r="BF118" i="23"/>
  <c r="BJ121" i="23"/>
  <c r="AP68" i="23"/>
  <c r="Y134" i="23"/>
  <c r="AP70" i="23"/>
  <c r="AX70" i="23"/>
  <c r="BF70" i="23"/>
  <c r="AO71" i="23"/>
  <c r="AP75" i="23"/>
  <c r="AP84" i="23"/>
  <c r="AO89" i="23"/>
  <c r="BH89" i="23" s="1"/>
  <c r="BL91" i="23"/>
  <c r="BE91" i="23"/>
  <c r="BF96" i="23"/>
  <c r="BO96" i="23" s="1"/>
  <c r="BF103" i="23"/>
  <c r="BL107" i="23"/>
  <c r="BE107" i="23"/>
  <c r="BE108" i="23"/>
  <c r="BJ110" i="23"/>
  <c r="BF112" i="23"/>
  <c r="BE114" i="23"/>
  <c r="BE118" i="23"/>
  <c r="BF120" i="23"/>
  <c r="BO120" i="23" s="1"/>
  <c r="BF127" i="23"/>
  <c r="BJ129" i="23"/>
  <c r="AX11" i="24"/>
  <c r="Y11" i="24"/>
  <c r="AT11" i="24"/>
  <c r="X11" i="24"/>
  <c r="AP11" i="24"/>
  <c r="U11" i="24"/>
  <c r="AO11" i="24"/>
  <c r="S11" i="24"/>
  <c r="AL11" i="24"/>
  <c r="P11" i="24"/>
  <c r="AJ11" i="24"/>
  <c r="L11" i="24"/>
  <c r="BC11" i="24"/>
  <c r="AG11" i="24"/>
  <c r="H11" i="24"/>
  <c r="BA11" i="24"/>
  <c r="AC11" i="24"/>
  <c r="Z134" i="23"/>
  <c r="AH134" i="23"/>
  <c r="AQ70" i="23"/>
  <c r="AY70" i="23"/>
  <c r="AY134" i="23" s="1"/>
  <c r="AP71" i="23"/>
  <c r="AO72" i="23"/>
  <c r="AP83" i="23"/>
  <c r="AP89" i="23"/>
  <c r="BI89" i="23" s="1"/>
  <c r="BJ92" i="23"/>
  <c r="AT135" i="23"/>
  <c r="BE95" i="23"/>
  <c r="BL99" i="23"/>
  <c r="BE100" i="23"/>
  <c r="BL101" i="23"/>
  <c r="BE102" i="23"/>
  <c r="BJ103" i="23"/>
  <c r="BE104" i="23"/>
  <c r="BJ106" i="23"/>
  <c r="BF108" i="23"/>
  <c r="BL117" i="23"/>
  <c r="BF123" i="23"/>
  <c r="BE126" i="23"/>
  <c r="BL129" i="23"/>
  <c r="BJ22" i="24"/>
  <c r="AA134" i="23"/>
  <c r="AI134" i="23"/>
  <c r="AR70" i="23"/>
  <c r="AR134" i="23" s="1"/>
  <c r="AZ70" i="23"/>
  <c r="AZ134" i="23" s="1"/>
  <c r="AP72" i="23"/>
  <c r="AO76" i="23"/>
  <c r="BH76" i="23" s="1"/>
  <c r="AP82" i="23"/>
  <c r="AO90" i="23"/>
  <c r="BH90" i="23" s="1"/>
  <c r="AA135" i="23"/>
  <c r="AI135" i="23"/>
  <c r="BF95" i="23"/>
  <c r="BO95" i="23" s="1"/>
  <c r="BE96" i="23"/>
  <c r="BJ97" i="23"/>
  <c r="BF104" i="23"/>
  <c r="BO104" i="23" s="1"/>
  <c r="BE122" i="23"/>
  <c r="BL125" i="23"/>
  <c r="AJ134" i="23"/>
  <c r="AS70" i="23"/>
  <c r="BA70" i="23"/>
  <c r="AO73" i="23"/>
  <c r="AP76" i="23"/>
  <c r="BI76" i="23" s="1"/>
  <c r="AP81" i="23"/>
  <c r="AP90" i="23"/>
  <c r="BI90" i="23" s="1"/>
  <c r="BF91" i="23"/>
  <c r="BO91" i="23" s="1"/>
  <c r="AP91" i="23"/>
  <c r="BI91" i="23" s="1"/>
  <c r="AZ135" i="23"/>
  <c r="BE99" i="23"/>
  <c r="BE101" i="23"/>
  <c r="BI101" i="23"/>
  <c r="BF114" i="23"/>
  <c r="BE117" i="23"/>
  <c r="BJ119" i="23"/>
  <c r="BL121" i="23"/>
  <c r="BE129" i="23"/>
  <c r="BA132" i="24"/>
  <c r="AP60" i="23"/>
  <c r="AC134" i="23"/>
  <c r="AK134" i="23"/>
  <c r="AT70" i="23"/>
  <c r="AT134" i="23" s="1"/>
  <c r="BB70" i="23"/>
  <c r="AP73" i="23"/>
  <c r="AO77" i="23"/>
  <c r="BH77" i="23" s="1"/>
  <c r="AP80" i="23"/>
  <c r="AC135" i="23"/>
  <c r="BB94" i="23"/>
  <c r="BL98" i="23"/>
  <c r="BF110" i="23"/>
  <c r="BE113" i="23"/>
  <c r="BE115" i="23"/>
  <c r="BF117" i="23"/>
  <c r="BE125" i="23"/>
  <c r="BJ127" i="23"/>
  <c r="BF129" i="23"/>
  <c r="AZ131" i="24"/>
  <c r="AP59" i="23"/>
  <c r="AD134" i="23"/>
  <c r="AL134" i="23"/>
  <c r="AU70" i="23"/>
  <c r="AU134" i="23" s="1"/>
  <c r="BC70" i="23"/>
  <c r="BC134" i="23" s="1"/>
  <c r="AO74" i="23"/>
  <c r="BH74" i="23" s="1"/>
  <c r="AP77" i="23"/>
  <c r="AO78" i="23"/>
  <c r="BH78" i="23" s="1"/>
  <c r="BM78" i="23" s="1"/>
  <c r="AP79" i="23"/>
  <c r="AP87" i="23"/>
  <c r="BF92" i="23"/>
  <c r="BO92" i="23" s="1"/>
  <c r="BK92" i="23"/>
  <c r="BL103" i="23"/>
  <c r="BF106" i="23"/>
  <c r="BE109" i="23"/>
  <c r="BL112" i="23"/>
  <c r="BF115" i="23"/>
  <c r="BO115" i="23" s="1"/>
  <c r="BE121" i="23"/>
  <c r="BJ123" i="23"/>
  <c r="BF125" i="23"/>
  <c r="AU132" i="24"/>
  <c r="AP92" i="23"/>
  <c r="BI92" i="23" s="1"/>
  <c r="AD135" i="23"/>
  <c r="AL135" i="23"/>
  <c r="AU94" i="23"/>
  <c r="AU135" i="23" s="1"/>
  <c r="BC94" i="23"/>
  <c r="BC135" i="23" s="1"/>
  <c r="AO115" i="23"/>
  <c r="BJ24" i="24"/>
  <c r="BJ26" i="24"/>
  <c r="AV132" i="24"/>
  <c r="BD132" i="24"/>
  <c r="BF32" i="24"/>
  <c r="BO32" i="24" s="1"/>
  <c r="BJ33" i="24"/>
  <c r="BJ39" i="24"/>
  <c r="AO93" i="23"/>
  <c r="BH93" i="23" s="1"/>
  <c r="AE135" i="23"/>
  <c r="AM135" i="23"/>
  <c r="AV94" i="23"/>
  <c r="AV135" i="23" s="1"/>
  <c r="BD94" i="23"/>
  <c r="BD135" i="23" s="1"/>
  <c r="AP115" i="23"/>
  <c r="BD131" i="24"/>
  <c r="BK18" i="24"/>
  <c r="BF18" i="24"/>
  <c r="BK23" i="24"/>
  <c r="AW132" i="24"/>
  <c r="BJ31" i="24"/>
  <c r="BL33" i="24"/>
  <c r="BK35" i="24"/>
  <c r="BL39" i="24"/>
  <c r="BD133" i="24"/>
  <c r="BK46" i="24"/>
  <c r="BK25" i="24"/>
  <c r="AX132" i="24"/>
  <c r="BL34" i="24"/>
  <c r="AW133" i="24"/>
  <c r="BK44" i="24"/>
  <c r="Y135" i="23"/>
  <c r="AG135" i="23"/>
  <c r="AP94" i="23"/>
  <c r="AX94" i="23"/>
  <c r="AX135" i="23" s="1"/>
  <c r="BF94" i="23"/>
  <c r="AO95" i="23"/>
  <c r="AO104" i="23"/>
  <c r="AP116" i="23"/>
  <c r="BF16" i="24"/>
  <c r="BO16" i="24" s="1"/>
  <c r="AX131" i="24"/>
  <c r="BK19" i="24"/>
  <c r="BL21" i="24"/>
  <c r="Z135" i="23"/>
  <c r="AH135" i="23"/>
  <c r="AQ94" i="23"/>
  <c r="AQ135" i="23" s="1"/>
  <c r="AY94" i="23"/>
  <c r="AY135" i="23" s="1"/>
  <c r="AP95" i="23"/>
  <c r="AO96" i="23"/>
  <c r="AP104" i="23"/>
  <c r="AY131" i="24"/>
  <c r="BK26" i="24"/>
  <c r="BL27" i="24"/>
  <c r="BK33" i="24"/>
  <c r="BF33" i="24"/>
  <c r="BK39" i="24"/>
  <c r="BJ40" i="24"/>
  <c r="BJ49" i="24"/>
  <c r="BL52" i="24"/>
  <c r="BF29" i="24"/>
  <c r="BO29" i="24" s="1"/>
  <c r="BJ30" i="24"/>
  <c r="BJ29" i="24" s="1"/>
  <c r="BK31" i="24"/>
  <c r="BK29" i="24" s="1"/>
  <c r="BK34" i="24"/>
  <c r="BK37" i="24"/>
  <c r="BL40" i="24"/>
  <c r="Y134" i="24"/>
  <c r="BF70" i="24"/>
  <c r="AB135" i="23"/>
  <c r="AJ135" i="23"/>
  <c r="AS94" i="23"/>
  <c r="BA94" i="23"/>
  <c r="AO101" i="23"/>
  <c r="BH101" i="23" s="1"/>
  <c r="AP120" i="23"/>
  <c r="BA131" i="24"/>
  <c r="BF17" i="24"/>
  <c r="BL18" i="24"/>
  <c r="BL17" i="24" s="1"/>
  <c r="BK21" i="24"/>
  <c r="BL22" i="24"/>
  <c r="BL23" i="24"/>
  <c r="BL30" i="24"/>
  <c r="BL35" i="24"/>
  <c r="BL36" i="24"/>
  <c r="BI37" i="24"/>
  <c r="AM131" i="24"/>
  <c r="BE40" i="24"/>
  <c r="BE16" i="24"/>
  <c r="AD132" i="24"/>
  <c r="AL132" i="24"/>
  <c r="BK47" i="24"/>
  <c r="BE52" i="24"/>
  <c r="AR134" i="24"/>
  <c r="BE105" i="24"/>
  <c r="AG131" i="24"/>
  <c r="AP26" i="24"/>
  <c r="AE132" i="24"/>
  <c r="AM132" i="24"/>
  <c r="AR133" i="24"/>
  <c r="BJ44" i="24"/>
  <c r="BL50" i="24"/>
  <c r="BE51" i="24"/>
  <c r="AP69" i="24"/>
  <c r="AH131" i="24"/>
  <c r="AP27" i="24"/>
  <c r="AF132" i="24"/>
  <c r="BE28" i="24"/>
  <c r="AI131" i="24"/>
  <c r="AG132" i="24"/>
  <c r="BF28" i="24"/>
  <c r="BK45" i="24"/>
  <c r="BL49" i="24"/>
  <c r="BL53" i="24"/>
  <c r="AJ131" i="24"/>
  <c r="AH132" i="24"/>
  <c r="BJ41" i="24"/>
  <c r="AU133" i="24"/>
  <c r="BC133" i="24"/>
  <c r="BE43" i="24"/>
  <c r="BF50" i="24"/>
  <c r="BI73" i="24"/>
  <c r="BE74" i="24"/>
  <c r="BE80" i="24"/>
  <c r="BE121" i="24"/>
  <c r="BE75" i="24"/>
  <c r="AK131" i="24"/>
  <c r="AE133" i="24"/>
  <c r="AM133" i="24"/>
  <c r="BL47" i="24"/>
  <c r="BE49" i="24"/>
  <c r="BJ52" i="24"/>
  <c r="BE53" i="24"/>
  <c r="BJ53" i="24"/>
  <c r="BE70" i="24"/>
  <c r="BJ77" i="24"/>
  <c r="AD133" i="24"/>
  <c r="AL133" i="24"/>
  <c r="AY134" i="24"/>
  <c r="AW134" i="24"/>
  <c r="BF76" i="24"/>
  <c r="BL77" i="24"/>
  <c r="BL71" i="24" s="1"/>
  <c r="AP82" i="24"/>
  <c r="AF133" i="24"/>
  <c r="BE42" i="24"/>
  <c r="BE72" i="24"/>
  <c r="BK74" i="24"/>
  <c r="BF74" i="24"/>
  <c r="BO74" i="24" s="1"/>
  <c r="BE77" i="24"/>
  <c r="BJ78" i="24"/>
  <c r="BE92" i="24"/>
  <c r="BJ92" i="24"/>
  <c r="BF42" i="24"/>
  <c r="AT134" i="24"/>
  <c r="BK72" i="24"/>
  <c r="BF72" i="24"/>
  <c r="AU134" i="24"/>
  <c r="BC134" i="24"/>
  <c r="AA133" i="24"/>
  <c r="AV134" i="24"/>
  <c r="BD134" i="24"/>
  <c r="BE73" i="24"/>
  <c r="BI75" i="24"/>
  <c r="BK75" i="24"/>
  <c r="BJ76" i="24"/>
  <c r="BE78" i="24"/>
  <c r="BI93" i="24"/>
  <c r="BJ69" i="24"/>
  <c r="BL69" i="24"/>
  <c r="X134" i="24"/>
  <c r="AF134" i="24"/>
  <c r="BF71" i="24"/>
  <c r="BO71" i="24" s="1"/>
  <c r="BF73" i="24"/>
  <c r="BJ74" i="24"/>
  <c r="BK78" i="24"/>
  <c r="BF78" i="24"/>
  <c r="BO78" i="24" s="1"/>
  <c r="AX82" i="24"/>
  <c r="BE87" i="24"/>
  <c r="BJ83" i="24"/>
  <c r="BE86" i="24"/>
  <c r="BE90" i="24"/>
  <c r="AZ135" i="24"/>
  <c r="BE95" i="24"/>
  <c r="Z134" i="24"/>
  <c r="AH134" i="24"/>
  <c r="BL79" i="24"/>
  <c r="BE83" i="24"/>
  <c r="BJ85" i="24"/>
  <c r="BJ91" i="24"/>
  <c r="BE100" i="24"/>
  <c r="AA134" i="24"/>
  <c r="AI134" i="24"/>
  <c r="BJ79" i="24"/>
  <c r="BF80" i="24"/>
  <c r="BJ81" i="24"/>
  <c r="BF83" i="24"/>
  <c r="BL84" i="24"/>
  <c r="BE85" i="24"/>
  <c r="BE88" i="24"/>
  <c r="BJ89" i="24"/>
  <c r="BL91" i="24"/>
  <c r="BE93" i="24"/>
  <c r="AB134" i="24"/>
  <c r="AJ134" i="24"/>
  <c r="BE79" i="24"/>
  <c r="BE81" i="24"/>
  <c r="BF88" i="24"/>
  <c r="BO88" i="24" s="1"/>
  <c r="BK93" i="24"/>
  <c r="BH96" i="24"/>
  <c r="BE96" i="24"/>
  <c r="BE99" i="24"/>
  <c r="AC134" i="24"/>
  <c r="AK134" i="24"/>
  <c r="BE84" i="24"/>
  <c r="BJ84" i="24"/>
  <c r="BE91" i="24"/>
  <c r="AV135" i="24"/>
  <c r="BD135" i="24"/>
  <c r="AD134" i="24"/>
  <c r="AL134" i="24"/>
  <c r="BL87" i="24"/>
  <c r="BE89" i="24"/>
  <c r="BJ90" i="24"/>
  <c r="BI91" i="24"/>
  <c r="BK91" i="24"/>
  <c r="BF91" i="24"/>
  <c r="BO91" i="24" s="1"/>
  <c r="AE134" i="24"/>
  <c r="AM134" i="24"/>
  <c r="BE82" i="24"/>
  <c r="BL86" i="24"/>
  <c r="BJ87" i="24"/>
  <c r="BK89" i="24"/>
  <c r="BF89" i="24"/>
  <c r="BO89" i="24" s="1"/>
  <c r="BL90" i="24"/>
  <c r="AX135" i="24"/>
  <c r="BJ96" i="24"/>
  <c r="BE97" i="24"/>
  <c r="BE98" i="24"/>
  <c r="BJ98" i="24"/>
  <c r="BJ101" i="24"/>
  <c r="BE125" i="24"/>
  <c r="BF97" i="24"/>
  <c r="BF98" i="24"/>
  <c r="BL101" i="24"/>
  <c r="BL102" i="24"/>
  <c r="BJ103" i="24"/>
  <c r="BE112" i="24"/>
  <c r="BE120" i="24"/>
  <c r="BE124" i="24"/>
  <c r="BE103" i="24"/>
  <c r="BE101" i="24"/>
  <c r="BE102" i="24"/>
  <c r="BF103" i="24"/>
  <c r="BL107" i="24"/>
  <c r="BJ108" i="24"/>
  <c r="BE111" i="24"/>
  <c r="AW124" i="24"/>
  <c r="BJ124" i="24" s="1"/>
  <c r="AE135" i="24"/>
  <c r="AM135" i="24"/>
  <c r="BI101" i="24"/>
  <c r="BK101" i="24"/>
  <c r="BF101" i="24"/>
  <c r="BF102" i="24"/>
  <c r="BJ105" i="24"/>
  <c r="BJ106" i="24"/>
  <c r="BE108" i="24"/>
  <c r="BE109" i="24"/>
  <c r="BE94" i="24"/>
  <c r="BE104" i="24"/>
  <c r="BE106" i="24"/>
  <c r="BE107" i="24"/>
  <c r="AT122" i="24"/>
  <c r="BJ122" i="24" s="1"/>
  <c r="AG135" i="24"/>
  <c r="BF94" i="24"/>
  <c r="BL97" i="24"/>
  <c r="BL98" i="24"/>
  <c r="BJ99" i="24"/>
  <c r="BJ100" i="24"/>
  <c r="BF104" i="24"/>
  <c r="BO104" i="24" s="1"/>
  <c r="BF105" i="24"/>
  <c r="BF106" i="24"/>
  <c r="BF107" i="24"/>
  <c r="AW109" i="24"/>
  <c r="BH116" i="24"/>
  <c r="BE116" i="24"/>
  <c r="BF109" i="24"/>
  <c r="BL119" i="24"/>
  <c r="BE123" i="24"/>
  <c r="BJ126" i="24"/>
  <c r="BE129" i="24"/>
  <c r="BJ119" i="24"/>
  <c r="BF123" i="24"/>
  <c r="AW125" i="24"/>
  <c r="BE128" i="24"/>
  <c r="AA119" i="25"/>
  <c r="AC119" i="25" s="1"/>
  <c r="X119" i="25"/>
  <c r="H163" i="25"/>
  <c r="I163" i="25" s="1"/>
  <c r="BL111" i="24"/>
  <c r="BE114" i="24"/>
  <c r="BJ116" i="24"/>
  <c r="BL118" i="24"/>
  <c r="BE119" i="24"/>
  <c r="BJ121" i="24"/>
  <c r="BF126" i="24"/>
  <c r="BL110" i="24"/>
  <c r="BJ111" i="24"/>
  <c r="BJ112" i="24"/>
  <c r="BF114" i="24"/>
  <c r="BE115" i="24"/>
  <c r="BL116" i="24"/>
  <c r="BF122" i="24"/>
  <c r="BF127" i="24"/>
  <c r="BE113" i="24"/>
  <c r="BE118" i="24"/>
  <c r="BE110" i="24"/>
  <c r="BE117" i="24"/>
  <c r="BJ117" i="24"/>
  <c r="BF118" i="24"/>
  <c r="L133" i="25"/>
  <c r="AB45" i="25"/>
  <c r="AB43" i="25" s="1"/>
  <c r="BF110" i="24"/>
  <c r="BF117" i="24"/>
  <c r="BL123" i="24"/>
  <c r="BJ125" i="24"/>
  <c r="AR126" i="24"/>
  <c r="H146" i="25"/>
  <c r="I146" i="25" s="1"/>
  <c r="X24" i="25"/>
  <c r="AA24" i="25"/>
  <c r="AC24" i="25" s="1"/>
  <c r="BF125" i="24"/>
  <c r="BL128" i="24"/>
  <c r="W76" i="25"/>
  <c r="W84" i="25"/>
  <c r="BE122" i="24"/>
  <c r="BL127" i="24"/>
  <c r="BJ128" i="24"/>
  <c r="AA31" i="25"/>
  <c r="AC31" i="25" s="1"/>
  <c r="X31" i="25"/>
  <c r="W51" i="25"/>
  <c r="BE127" i="24"/>
  <c r="BF128" i="24"/>
  <c r="BF129" i="24"/>
  <c r="W117" i="25"/>
  <c r="W98" i="25"/>
  <c r="W80" i="25"/>
  <c r="W127" i="25"/>
  <c r="W123" i="25"/>
  <c r="W114" i="25"/>
  <c r="W110" i="25"/>
  <c r="W106" i="25"/>
  <c r="W90" i="25"/>
  <c r="W85" i="25"/>
  <c r="W75" i="25"/>
  <c r="W71" i="25"/>
  <c r="W64" i="25"/>
  <c r="W58" i="25"/>
  <c r="W49" i="25"/>
  <c r="W47" i="25"/>
  <c r="W43" i="25"/>
  <c r="W116" i="25"/>
  <c r="W103" i="25"/>
  <c r="W97" i="25"/>
  <c r="W94" i="25"/>
  <c r="W39" i="25"/>
  <c r="W33" i="25"/>
  <c r="W20" i="25"/>
  <c r="W91" i="25"/>
  <c r="W74" i="25"/>
  <c r="W54" i="25"/>
  <c r="W32" i="25"/>
  <c r="W27" i="25"/>
  <c r="W115" i="25"/>
  <c r="W48" i="25"/>
  <c r="W104" i="25"/>
  <c r="W95" i="25"/>
  <c r="W92" i="25"/>
  <c r="W88" i="25"/>
  <c r="W38" i="25"/>
  <c r="W101" i="25"/>
  <c r="W78" i="25"/>
  <c r="W70" i="25"/>
  <c r="W42" i="25"/>
  <c r="W40" i="25"/>
  <c r="W28" i="25"/>
  <c r="W23" i="25"/>
  <c r="W68" i="25"/>
  <c r="W19" i="25"/>
  <c r="W124" i="25"/>
  <c r="W56" i="25"/>
  <c r="W111" i="25"/>
  <c r="W16" i="25"/>
  <c r="W120" i="25"/>
  <c r="W93" i="25"/>
  <c r="W61" i="25"/>
  <c r="W53" i="25"/>
  <c r="W44" i="25"/>
  <c r="W34" i="25"/>
  <c r="W29" i="25"/>
  <c r="W17" i="25"/>
  <c r="W83" i="25"/>
  <c r="W72" i="25"/>
  <c r="W31" i="25"/>
  <c r="W30" i="25"/>
  <c r="M131" i="25"/>
  <c r="M136" i="25" s="1"/>
  <c r="M138" i="25" s="1"/>
  <c r="H149" i="25"/>
  <c r="I149" i="25" s="1"/>
  <c r="AB23" i="25"/>
  <c r="AA102" i="25"/>
  <c r="AC102" i="25" s="1"/>
  <c r="X102" i="25"/>
  <c r="W125" i="25"/>
  <c r="W128" i="25"/>
  <c r="BE126" i="24"/>
  <c r="AC30" i="25"/>
  <c r="W37" i="25"/>
  <c r="AB48" i="25"/>
  <c r="W59" i="25"/>
  <c r="W87" i="25"/>
  <c r="U11" i="25"/>
  <c r="S11" i="25"/>
  <c r="AB34" i="25"/>
  <c r="L132" i="25"/>
  <c r="AA51" i="25"/>
  <c r="AC51" i="25" s="1"/>
  <c r="X51" i="25"/>
  <c r="AA57" i="25"/>
  <c r="AC57" i="25" s="1"/>
  <c r="X57" i="25"/>
  <c r="W69" i="25"/>
  <c r="AA79" i="25"/>
  <c r="AC79" i="25" s="1"/>
  <c r="X79" i="25"/>
  <c r="AA87" i="25"/>
  <c r="AC87" i="25" s="1"/>
  <c r="X87" i="25"/>
  <c r="G135" i="25"/>
  <c r="W100" i="25"/>
  <c r="W46" i="25"/>
  <c r="W50" i="25"/>
  <c r="W67" i="25"/>
  <c r="AA69" i="25"/>
  <c r="AC69" i="25" s="1"/>
  <c r="AB70" i="25"/>
  <c r="AB134" i="25" s="1"/>
  <c r="AC82" i="25"/>
  <c r="W86" i="25"/>
  <c r="AA96" i="25"/>
  <c r="H135" i="25"/>
  <c r="X96" i="25"/>
  <c r="AA100" i="25"/>
  <c r="AC100" i="25" s="1"/>
  <c r="X100" i="25"/>
  <c r="W102" i="25"/>
  <c r="W109" i="25"/>
  <c r="W118" i="25"/>
  <c r="W129" i="25"/>
  <c r="R136" i="25"/>
  <c r="R138" i="25" s="1"/>
  <c r="P11" i="25"/>
  <c r="AC33" i="25"/>
  <c r="K133" i="25"/>
  <c r="W65" i="25"/>
  <c r="W73" i="25"/>
  <c r="W82" i="25"/>
  <c r="AA84" i="25"/>
  <c r="AC84" i="25" s="1"/>
  <c r="AC97" i="25"/>
  <c r="W99" i="25"/>
  <c r="W113" i="25"/>
  <c r="AA19" i="25"/>
  <c r="X19" i="25"/>
  <c r="W35" i="25"/>
  <c r="S133" i="25"/>
  <c r="W52" i="25"/>
  <c r="W63" i="25"/>
  <c r="AA73" i="25"/>
  <c r="AC73" i="25" s="1"/>
  <c r="AB95" i="25"/>
  <c r="AB94" i="25" s="1"/>
  <c r="AB135" i="25" s="1"/>
  <c r="W108" i="25"/>
  <c r="W126" i="25"/>
  <c r="G131" i="25"/>
  <c r="L131" i="25"/>
  <c r="AB19" i="25"/>
  <c r="AB17" i="25" s="1"/>
  <c r="H148" i="25"/>
  <c r="I132" i="25"/>
  <c r="AA35" i="25"/>
  <c r="AC35" i="25" s="1"/>
  <c r="X35" i="25"/>
  <c r="W45" i="25"/>
  <c r="T133" i="25"/>
  <c r="W60" i="25"/>
  <c r="W77" i="25"/>
  <c r="W81" i="25"/>
  <c r="S135" i="25"/>
  <c r="W121" i="25"/>
  <c r="H144" i="25"/>
  <c r="AA18" i="25"/>
  <c r="W24" i="25"/>
  <c r="W25" i="25"/>
  <c r="G132" i="25"/>
  <c r="AA45" i="25"/>
  <c r="X45" i="25"/>
  <c r="AA60" i="25"/>
  <c r="AC60" i="25" s="1"/>
  <c r="X60" i="25"/>
  <c r="S134" i="25"/>
  <c r="AA77" i="25"/>
  <c r="AC77" i="25" s="1"/>
  <c r="X77" i="25"/>
  <c r="W112" i="25"/>
  <c r="W119" i="25"/>
  <c r="AC121" i="25"/>
  <c r="H131" i="25"/>
  <c r="AA44" i="25"/>
  <c r="X56" i="25"/>
  <c r="X68" i="25"/>
  <c r="X72" i="25"/>
  <c r="X83" i="25"/>
  <c r="X107" i="25"/>
  <c r="X111" i="25"/>
  <c r="AC116" i="25"/>
  <c r="X124" i="25"/>
  <c r="X128" i="25"/>
  <c r="I131" i="25"/>
  <c r="X23" i="25"/>
  <c r="X40" i="25"/>
  <c r="X50" i="25"/>
  <c r="X59" i="25"/>
  <c r="AA72" i="25"/>
  <c r="X99" i="25"/>
  <c r="X118" i="25"/>
  <c r="I156" i="25"/>
  <c r="I160" i="25"/>
  <c r="H164" i="25"/>
  <c r="I164" i="25" s="1"/>
  <c r="X25" i="25"/>
  <c r="AA40" i="25"/>
  <c r="AC40" i="25" s="1"/>
  <c r="X81" i="25"/>
  <c r="W96" i="25"/>
  <c r="X108" i="25"/>
  <c r="X112" i="25"/>
  <c r="X121" i="25"/>
  <c r="X125" i="25"/>
  <c r="X129" i="25"/>
  <c r="K131" i="25"/>
  <c r="I133" i="25"/>
  <c r="X46" i="25"/>
  <c r="X63" i="25"/>
  <c r="X73" i="25"/>
  <c r="X84" i="25"/>
  <c r="X69" i="25"/>
  <c r="H132" i="25"/>
  <c r="AS101" i="2"/>
  <c r="BJ101" i="8"/>
  <c r="B103" i="3"/>
  <c r="B105" i="3" s="1"/>
  <c r="B106" i="3" s="1"/>
  <c r="B107" i="3" s="1"/>
  <c r="B108" i="3" s="1"/>
  <c r="B109" i="3" s="1"/>
  <c r="B110" i="3" s="1"/>
  <c r="B111" i="3" s="1"/>
  <c r="B112" i="3" s="1"/>
  <c r="B113" i="3" s="1"/>
  <c r="B114" i="3" s="1"/>
  <c r="B116" i="3" s="1"/>
  <c r="B117" i="3" s="1"/>
  <c r="B118" i="3" s="1"/>
  <c r="B119" i="3" s="1"/>
  <c r="B121" i="3" s="1"/>
  <c r="B122" i="3" s="1"/>
  <c r="B123" i="3" s="1"/>
  <c r="B124" i="3" s="1"/>
  <c r="B125" i="3" s="1"/>
  <c r="B126" i="3" s="1"/>
  <c r="B127" i="3" s="1"/>
  <c r="B128" i="3" s="1"/>
  <c r="B129" i="3" s="1"/>
  <c r="B103" i="16"/>
  <c r="B105" i="16" s="1"/>
  <c r="B106" i="16" s="1"/>
  <c r="B107" i="16" s="1"/>
  <c r="B108" i="16" s="1"/>
  <c r="B109" i="16" s="1"/>
  <c r="B110" i="16" s="1"/>
  <c r="B111" i="16" s="1"/>
  <c r="B112" i="16" s="1"/>
  <c r="B113" i="16" s="1"/>
  <c r="B114" i="16" s="1"/>
  <c r="B116" i="16" s="1"/>
  <c r="B117" i="16" s="1"/>
  <c r="B118" i="16" s="1"/>
  <c r="B119" i="16" s="1"/>
  <c r="B121" i="16" s="1"/>
  <c r="B122" i="16" s="1"/>
  <c r="B123" i="16" s="1"/>
  <c r="B124" i="16" s="1"/>
  <c r="B125" i="16" s="1"/>
  <c r="B126" i="16" s="1"/>
  <c r="B127" i="16" s="1"/>
  <c r="B128" i="16" s="1"/>
  <c r="B129" i="16" s="1"/>
  <c r="B103" i="9"/>
  <c r="B105" i="9" s="1"/>
  <c r="B106" i="9" s="1"/>
  <c r="B107" i="9" s="1"/>
  <c r="B108" i="9" s="1"/>
  <c r="B109" i="9" s="1"/>
  <c r="B110" i="9" s="1"/>
  <c r="B111" i="9" s="1"/>
  <c r="B112" i="9" s="1"/>
  <c r="B113" i="9" s="1"/>
  <c r="B114" i="9" s="1"/>
  <c r="B116" i="9" s="1"/>
  <c r="B117" i="9" s="1"/>
  <c r="B118" i="9" s="1"/>
  <c r="B119" i="9" s="1"/>
  <c r="B121" i="9" s="1"/>
  <c r="B122" i="9" s="1"/>
  <c r="B123" i="9" s="1"/>
  <c r="B124" i="9" s="1"/>
  <c r="B125" i="9" s="1"/>
  <c r="B126" i="9" s="1"/>
  <c r="B127" i="9" s="1"/>
  <c r="B128" i="9" s="1"/>
  <c r="B129" i="9" s="1"/>
  <c r="B103" i="8"/>
  <c r="B105" i="8" s="1"/>
  <c r="B106" i="8" s="1"/>
  <c r="B107" i="8" s="1"/>
  <c r="B108" i="8" s="1"/>
  <c r="B109" i="8" s="1"/>
  <c r="B110" i="8" s="1"/>
  <c r="B111" i="8" s="1"/>
  <c r="B112" i="8" s="1"/>
  <c r="B113" i="8" s="1"/>
  <c r="B114" i="8" s="1"/>
  <c r="B116" i="8" s="1"/>
  <c r="B117" i="8" s="1"/>
  <c r="B118" i="8" s="1"/>
  <c r="B119" i="8" s="1"/>
  <c r="B121" i="8" s="1"/>
  <c r="B122" i="8" s="1"/>
  <c r="B123" i="8" s="1"/>
  <c r="B124" i="8" s="1"/>
  <c r="B125" i="8" s="1"/>
  <c r="B126" i="8" s="1"/>
  <c r="B127" i="8" s="1"/>
  <c r="B128" i="8" s="1"/>
  <c r="B129" i="8" s="1"/>
  <c r="B103" i="2"/>
  <c r="B105" i="2" s="1"/>
  <c r="B106" i="2" s="1"/>
  <c r="B107" i="2" s="1"/>
  <c r="B108" i="2" s="1"/>
  <c r="B109" i="2" s="1"/>
  <c r="B110" i="2" s="1"/>
  <c r="B111" i="2" s="1"/>
  <c r="B112" i="2" s="1"/>
  <c r="B113" i="2" s="1"/>
  <c r="B114" i="2" s="1"/>
  <c r="B116" i="2" s="1"/>
  <c r="B117" i="2" s="1"/>
  <c r="B118" i="2" s="1"/>
  <c r="B119" i="2" s="1"/>
  <c r="B121" i="2" s="1"/>
  <c r="B122" i="2" s="1"/>
  <c r="B123" i="2" s="1"/>
  <c r="B124" i="2" s="1"/>
  <c r="B125" i="2" s="1"/>
  <c r="B126" i="2" s="1"/>
  <c r="B127" i="2" s="1"/>
  <c r="B128" i="2" s="1"/>
  <c r="B129" i="2" s="1"/>
  <c r="G159" i="22" l="1"/>
  <c r="AB20" i="25"/>
  <c r="AH132" i="22"/>
  <c r="BK55" i="22"/>
  <c r="BF63" i="24"/>
  <c r="AR132" i="23"/>
  <c r="AO18" i="22"/>
  <c r="AO45" i="21"/>
  <c r="BH45" i="21" s="1"/>
  <c r="BM45" i="21" s="1"/>
  <c r="AO30" i="21"/>
  <c r="BF35" i="21"/>
  <c r="BJ21" i="23"/>
  <c r="AA132" i="23"/>
  <c r="AP44" i="22"/>
  <c r="BI44" i="22" s="1"/>
  <c r="BM44" i="22" s="1"/>
  <c r="BO44" i="22" s="1"/>
  <c r="BE50" i="23"/>
  <c r="AI132" i="24"/>
  <c r="AO41" i="23"/>
  <c r="BH41" i="23" s="1"/>
  <c r="AO23" i="21"/>
  <c r="BH23" i="21" s="1"/>
  <c r="AP31" i="22"/>
  <c r="BI31" i="22" s="1"/>
  <c r="AO33" i="23"/>
  <c r="BE49" i="23"/>
  <c r="BF62" i="24"/>
  <c r="BF19" i="23"/>
  <c r="BE36" i="23"/>
  <c r="Z131" i="24"/>
  <c r="AC133" i="24"/>
  <c r="BF68" i="23"/>
  <c r="AS26" i="24"/>
  <c r="AR26" i="21"/>
  <c r="I27" i="16"/>
  <c r="I27" i="21"/>
  <c r="I27" i="24" s="1"/>
  <c r="AQ27" i="24" s="1"/>
  <c r="AS26" i="21"/>
  <c r="AR26" i="24"/>
  <c r="BF41" i="23"/>
  <c r="Y131" i="24"/>
  <c r="AZ133" i="23"/>
  <c r="AO33" i="21"/>
  <c r="AQ53" i="24"/>
  <c r="H157" i="24" s="1"/>
  <c r="AK132" i="24"/>
  <c r="BE35" i="22"/>
  <c r="AI133" i="23"/>
  <c r="AD131" i="23"/>
  <c r="BF35" i="22"/>
  <c r="BF45" i="24"/>
  <c r="BO45" i="24" s="1"/>
  <c r="AC132" i="23"/>
  <c r="AQ25" i="24"/>
  <c r="BK55" i="24"/>
  <c r="BI35" i="22"/>
  <c r="BK66" i="23"/>
  <c r="AB131" i="22"/>
  <c r="BF61" i="24"/>
  <c r="BK52" i="23"/>
  <c r="BK53" i="23"/>
  <c r="BE24" i="23"/>
  <c r="BK62" i="24"/>
  <c r="BK66" i="24"/>
  <c r="BF67" i="24"/>
  <c r="AO66" i="24"/>
  <c r="BH66" i="24" s="1"/>
  <c r="BF35" i="24"/>
  <c r="H160" i="23"/>
  <c r="AO44" i="23"/>
  <c r="BH44" i="23" s="1"/>
  <c r="AH133" i="23"/>
  <c r="AP18" i="23"/>
  <c r="AC133" i="22"/>
  <c r="AO52" i="21"/>
  <c r="BH52" i="21" s="1"/>
  <c r="AO53" i="21"/>
  <c r="BH53" i="21" s="1"/>
  <c r="AP45" i="24"/>
  <c r="BI45" i="24" s="1"/>
  <c r="AP41" i="21"/>
  <c r="H154" i="21" s="1"/>
  <c r="AI132" i="21"/>
  <c r="BF22" i="21"/>
  <c r="AY52" i="24"/>
  <c r="AY133" i="24" s="1"/>
  <c r="AL131" i="21"/>
  <c r="BF55" i="24"/>
  <c r="AI133" i="24"/>
  <c r="Z132" i="24"/>
  <c r="BF40" i="23"/>
  <c r="BF34" i="23"/>
  <c r="BC131" i="23"/>
  <c r="BC136" i="23" s="1"/>
  <c r="BA53" i="24"/>
  <c r="BK53" i="24" s="1"/>
  <c r="BE37" i="22"/>
  <c r="AO36" i="24"/>
  <c r="BH36" i="24" s="1"/>
  <c r="AO37" i="23"/>
  <c r="BH37" i="23" s="1"/>
  <c r="BF69" i="24"/>
  <c r="BF60" i="24"/>
  <c r="G159" i="23"/>
  <c r="AO24" i="22"/>
  <c r="AO131" i="22" s="1"/>
  <c r="AL131" i="22"/>
  <c r="AK132" i="22"/>
  <c r="AO46" i="21"/>
  <c r="BH46" i="21" s="1"/>
  <c r="AK132" i="21"/>
  <c r="AT36" i="24"/>
  <c r="BJ36" i="24" s="1"/>
  <c r="BJ32" i="24" s="1"/>
  <c r="BJ28" i="24" s="1"/>
  <c r="BJ132" i="24" s="1"/>
  <c r="AB132" i="24"/>
  <c r="BF66" i="24"/>
  <c r="BJ27" i="23"/>
  <c r="BF58" i="24"/>
  <c r="AQ66" i="24"/>
  <c r="BI66" i="24" s="1"/>
  <c r="AE131" i="24"/>
  <c r="AB131" i="23"/>
  <c r="AW21" i="24"/>
  <c r="Z131" i="21"/>
  <c r="AP45" i="22"/>
  <c r="BI45" i="22" s="1"/>
  <c r="BF68" i="24"/>
  <c r="AO55" i="24"/>
  <c r="BH55" i="24" s="1"/>
  <c r="AL131" i="23"/>
  <c r="BE23" i="23"/>
  <c r="BF26" i="23"/>
  <c r="AA131" i="24"/>
  <c r="BF19" i="24"/>
  <c r="AP33" i="23"/>
  <c r="BF35" i="23"/>
  <c r="AD131" i="22"/>
  <c r="AZ132" i="21"/>
  <c r="BF47" i="22"/>
  <c r="BO47" i="22" s="1"/>
  <c r="AC131" i="21"/>
  <c r="AI133" i="21"/>
  <c r="AI136" i="21" s="1"/>
  <c r="AO62" i="24"/>
  <c r="BH62" i="24" s="1"/>
  <c r="AO39" i="24"/>
  <c r="BH39" i="24" s="1"/>
  <c r="AO30" i="24"/>
  <c r="BH30" i="24" s="1"/>
  <c r="AA132" i="24"/>
  <c r="AO35" i="23"/>
  <c r="BH35" i="23" s="1"/>
  <c r="BF46" i="24"/>
  <c r="BE46" i="24"/>
  <c r="BF24" i="23"/>
  <c r="BF22" i="22"/>
  <c r="BF46" i="23"/>
  <c r="BF59" i="24"/>
  <c r="AQ55" i="24"/>
  <c r="BI55" i="24" s="1"/>
  <c r="AQ62" i="24"/>
  <c r="BI62" i="24" s="1"/>
  <c r="BI35" i="23"/>
  <c r="BM35" i="23" s="1"/>
  <c r="BB132" i="22"/>
  <c r="AT131" i="21"/>
  <c r="BI27" i="22"/>
  <c r="BJ17" i="21"/>
  <c r="AY133" i="23"/>
  <c r="AY136" i="23" s="1"/>
  <c r="BM101" i="22"/>
  <c r="BO101" i="22" s="1"/>
  <c r="G153" i="22"/>
  <c r="G157" i="23"/>
  <c r="BI27" i="23"/>
  <c r="BH52" i="22"/>
  <c r="G160" i="23"/>
  <c r="AW131" i="22"/>
  <c r="H157" i="23"/>
  <c r="BI53" i="22"/>
  <c r="BK61" i="22"/>
  <c r="BK53" i="22"/>
  <c r="BB132" i="21"/>
  <c r="BI72" i="21"/>
  <c r="BK49" i="22"/>
  <c r="BI46" i="23"/>
  <c r="BM46" i="23" s="1"/>
  <c r="BO46" i="23" s="1"/>
  <c r="BM101" i="21"/>
  <c r="BO101" i="21" s="1"/>
  <c r="H157" i="22"/>
  <c r="G160" i="21"/>
  <c r="H157" i="21"/>
  <c r="G160" i="22"/>
  <c r="I160" i="22" s="1"/>
  <c r="P136" i="25"/>
  <c r="P138" i="25" s="1"/>
  <c r="AB42" i="25"/>
  <c r="AB133" i="25" s="1"/>
  <c r="AC25" i="25"/>
  <c r="BM92" i="21"/>
  <c r="BF52" i="21"/>
  <c r="BE50" i="21"/>
  <c r="AP44" i="21"/>
  <c r="BI44" i="21" s="1"/>
  <c r="BM44" i="21" s="1"/>
  <c r="BO44" i="21" s="1"/>
  <c r="BL38" i="21"/>
  <c r="BK55" i="21"/>
  <c r="BM51" i="21"/>
  <c r="BK53" i="21"/>
  <c r="BM88" i="24"/>
  <c r="AW135" i="24"/>
  <c r="BM51" i="24"/>
  <c r="BL29" i="24"/>
  <c r="BJ38" i="21"/>
  <c r="BJ27" i="24"/>
  <c r="AO41" i="24"/>
  <c r="BH41" i="24" s="1"/>
  <c r="AK133" i="24"/>
  <c r="AK136" i="24" s="1"/>
  <c r="Z133" i="24"/>
  <c r="AR132" i="21"/>
  <c r="BF19" i="21"/>
  <c r="BL115" i="21"/>
  <c r="BM78" i="21"/>
  <c r="BK41" i="21"/>
  <c r="BL115" i="23"/>
  <c r="BK17" i="21"/>
  <c r="BI74" i="24"/>
  <c r="BJ71" i="24"/>
  <c r="Y132" i="23"/>
  <c r="BF46" i="22"/>
  <c r="BO46" i="22" s="1"/>
  <c r="BE49" i="22"/>
  <c r="AP18" i="21"/>
  <c r="AS25" i="24"/>
  <c r="X132" i="23"/>
  <c r="BF59" i="23"/>
  <c r="BK52" i="21"/>
  <c r="BF67" i="21"/>
  <c r="BJ23" i="22"/>
  <c r="BF52" i="22"/>
  <c r="AC131" i="23"/>
  <c r="BE44" i="24"/>
  <c r="BF31" i="23"/>
  <c r="Y133" i="22"/>
  <c r="BF39" i="22"/>
  <c r="BF30" i="22"/>
  <c r="AL131" i="24"/>
  <c r="BK61" i="21"/>
  <c r="BF69" i="21"/>
  <c r="BF69" i="22"/>
  <c r="BF139" i="24"/>
  <c r="AP19" i="21"/>
  <c r="BI19" i="21" s="1"/>
  <c r="L136" i="25"/>
  <c r="L138" i="25" s="1"/>
  <c r="H174" i="25"/>
  <c r="I174" i="25" s="1"/>
  <c r="BF47" i="24"/>
  <c r="BO47" i="24" s="1"/>
  <c r="BE46" i="23"/>
  <c r="BF36" i="23"/>
  <c r="AO41" i="22"/>
  <c r="G154" i="22" s="1"/>
  <c r="BI46" i="22"/>
  <c r="BM46" i="22" s="1"/>
  <c r="Y131" i="22"/>
  <c r="BF19" i="22"/>
  <c r="BF24" i="24"/>
  <c r="AB133" i="24"/>
  <c r="X133" i="24"/>
  <c r="X132" i="21"/>
  <c r="BK63" i="21"/>
  <c r="BK49" i="21"/>
  <c r="X133" i="23"/>
  <c r="BJ25" i="23"/>
  <c r="BE131" i="24"/>
  <c r="AQ47" i="24"/>
  <c r="BI47" i="24" s="1"/>
  <c r="AZ132" i="23"/>
  <c r="BC131" i="22"/>
  <c r="BC136" i="22" s="1"/>
  <c r="AA132" i="22"/>
  <c r="Y131" i="21"/>
  <c r="AP33" i="21"/>
  <c r="AC36" i="25"/>
  <c r="BF53" i="22"/>
  <c r="AP45" i="23"/>
  <c r="BI45" i="23" s="1"/>
  <c r="BM45" i="23" s="1"/>
  <c r="AO22" i="24"/>
  <c r="BH22" i="24" s="1"/>
  <c r="BI72" i="24"/>
  <c r="BM72" i="24" s="1"/>
  <c r="BO72" i="24" s="1"/>
  <c r="BF22" i="24"/>
  <c r="AI132" i="23"/>
  <c r="AI136" i="23" s="1"/>
  <c r="AO34" i="21"/>
  <c r="BH34" i="21" s="1"/>
  <c r="BF50" i="21"/>
  <c r="BF53" i="21"/>
  <c r="AR131" i="21"/>
  <c r="BC131" i="24"/>
  <c r="BL24" i="24"/>
  <c r="BL20" i="24" s="1"/>
  <c r="BL16" i="24" s="1"/>
  <c r="BL131" i="24" s="1"/>
  <c r="BF25" i="24"/>
  <c r="AK133" i="23"/>
  <c r="AB133" i="23"/>
  <c r="AF131" i="23"/>
  <c r="AO53" i="22"/>
  <c r="BH53" i="22" s="1"/>
  <c r="AO31" i="21"/>
  <c r="BH31" i="21" s="1"/>
  <c r="BM31" i="21" s="1"/>
  <c r="AK133" i="21"/>
  <c r="BE34" i="22"/>
  <c r="BE31" i="21"/>
  <c r="AO50" i="24"/>
  <c r="BH50" i="24" s="1"/>
  <c r="AP30" i="24"/>
  <c r="BI30" i="24" s="1"/>
  <c r="BF68" i="21"/>
  <c r="BK52" i="22"/>
  <c r="BF66" i="16"/>
  <c r="BF64" i="16"/>
  <c r="BF62" i="16"/>
  <c r="BF60" i="16"/>
  <c r="BF59" i="9"/>
  <c r="BF58" i="16"/>
  <c r="H136" i="25"/>
  <c r="Y133" i="24"/>
  <c r="BE50" i="24"/>
  <c r="AC133" i="23"/>
  <c r="BE39" i="22"/>
  <c r="BE19" i="22"/>
  <c r="Z132" i="21"/>
  <c r="AO25" i="23"/>
  <c r="BH25" i="23" s="1"/>
  <c r="H153" i="22"/>
  <c r="AU25" i="24"/>
  <c r="H149" i="24" s="1"/>
  <c r="I149" i="24" s="1"/>
  <c r="BF66" i="8"/>
  <c r="BF64" i="8"/>
  <c r="BF62" i="2"/>
  <c r="BF60" i="9"/>
  <c r="BF59" i="16"/>
  <c r="BF58" i="9"/>
  <c r="BF62" i="9"/>
  <c r="BF58" i="8"/>
  <c r="AA104" i="25"/>
  <c r="AC104" i="25" s="1"/>
  <c r="AJ133" i="24"/>
  <c r="Y132" i="24"/>
  <c r="X132" i="24"/>
  <c r="AO36" i="22"/>
  <c r="BH36" i="22" s="1"/>
  <c r="AO41" i="21"/>
  <c r="BH41" i="21" s="1"/>
  <c r="AJ133" i="21"/>
  <c r="Y132" i="21"/>
  <c r="BF49" i="24"/>
  <c r="BF66" i="9"/>
  <c r="BF64" i="9"/>
  <c r="BE61" i="16"/>
  <c r="BF60" i="8"/>
  <c r="BF59" i="2"/>
  <c r="BF58" i="2"/>
  <c r="BF61" i="2"/>
  <c r="AB131" i="24"/>
  <c r="AB136" i="24" s="1"/>
  <c r="BF39" i="24"/>
  <c r="BE58" i="23"/>
  <c r="BF25" i="23"/>
  <c r="AA131" i="22"/>
  <c r="AB133" i="21"/>
  <c r="AD131" i="24"/>
  <c r="AD136" i="24" s="1"/>
  <c r="BF37" i="24"/>
  <c r="AC132" i="21"/>
  <c r="BF25" i="21"/>
  <c r="Y133" i="21"/>
  <c r="BF22" i="23"/>
  <c r="BF47" i="21"/>
  <c r="BO47" i="21" s="1"/>
  <c r="BF66" i="2"/>
  <c r="BF64" i="2"/>
  <c r="BF63" i="16"/>
  <c r="BF60" i="2"/>
  <c r="BF67" i="16"/>
  <c r="BF55" i="16"/>
  <c r="BF59" i="8"/>
  <c r="BF41" i="24"/>
  <c r="AC132" i="24"/>
  <c r="AR131" i="23"/>
  <c r="BF60" i="23"/>
  <c r="AD131" i="21"/>
  <c r="AD136" i="21" s="1"/>
  <c r="BK58" i="21"/>
  <c r="BF56" i="9"/>
  <c r="BF55" i="9"/>
  <c r="BF63" i="8"/>
  <c r="BF61" i="16"/>
  <c r="BF68" i="16"/>
  <c r="BF67" i="8"/>
  <c r="BF47" i="23"/>
  <c r="BO47" i="23" s="1"/>
  <c r="BF56" i="16"/>
  <c r="BI53" i="23"/>
  <c r="BM53" i="23" s="1"/>
  <c r="AE131" i="23"/>
  <c r="BI77" i="22"/>
  <c r="BM77" i="22" s="1"/>
  <c r="BO77" i="22" s="1"/>
  <c r="AK133" i="22"/>
  <c r="AK136" i="22" s="1"/>
  <c r="BF27" i="22"/>
  <c r="AY133" i="21"/>
  <c r="BF56" i="8"/>
  <c r="BF55" i="8"/>
  <c r="BF63" i="9"/>
  <c r="BF61" i="8"/>
  <c r="BF68" i="8"/>
  <c r="BF67" i="9"/>
  <c r="AA131" i="23"/>
  <c r="AO22" i="23"/>
  <c r="G145" i="23" s="1"/>
  <c r="X132" i="22"/>
  <c r="AI132" i="22"/>
  <c r="BE21" i="21"/>
  <c r="X131" i="23"/>
  <c r="BF52" i="24"/>
  <c r="BF56" i="2"/>
  <c r="BF55" i="2"/>
  <c r="BF63" i="2"/>
  <c r="BF62" i="8"/>
  <c r="BF61" i="9"/>
  <c r="BF68" i="9"/>
  <c r="BF67" i="2"/>
  <c r="G152" i="22"/>
  <c r="AY132" i="21"/>
  <c r="BK55" i="23"/>
  <c r="AA120" i="25"/>
  <c r="AC120" i="25" s="1"/>
  <c r="AW131" i="23"/>
  <c r="AW136" i="23" s="1"/>
  <c r="BJ21" i="22"/>
  <c r="BK60" i="21"/>
  <c r="AT132" i="22"/>
  <c r="BK41" i="22"/>
  <c r="BK38" i="22" s="1"/>
  <c r="BK28" i="22" s="1"/>
  <c r="BK132" i="22" s="1"/>
  <c r="BK60" i="22"/>
  <c r="BJ25" i="22"/>
  <c r="BK62" i="22"/>
  <c r="BI53" i="21"/>
  <c r="H149" i="23"/>
  <c r="I149" i="23" s="1"/>
  <c r="I136" i="25"/>
  <c r="AA32" i="25"/>
  <c r="BI40" i="22"/>
  <c r="BM40" i="22" s="1"/>
  <c r="BJ27" i="22"/>
  <c r="BM27" i="22" s="1"/>
  <c r="BK64" i="21"/>
  <c r="BI26" i="23"/>
  <c r="BM31" i="22"/>
  <c r="BO31" i="22" s="1"/>
  <c r="BK64" i="23"/>
  <c r="BI23" i="23"/>
  <c r="BI46" i="21"/>
  <c r="BI24" i="22"/>
  <c r="AS132" i="24"/>
  <c r="H156" i="24"/>
  <c r="BI50" i="24"/>
  <c r="H154" i="24"/>
  <c r="BI41" i="24"/>
  <c r="BK41" i="24"/>
  <c r="BK38" i="24" s="1"/>
  <c r="AZ132" i="24"/>
  <c r="BI23" i="24"/>
  <c r="BI39" i="22"/>
  <c r="BM39" i="22" s="1"/>
  <c r="BO39" i="22" s="1"/>
  <c r="H152" i="22"/>
  <c r="BI22" i="24"/>
  <c r="H145" i="24"/>
  <c r="AR131" i="24"/>
  <c r="AZ133" i="24"/>
  <c r="BF66" i="21"/>
  <c r="AQ66" i="21"/>
  <c r="BI66" i="21" s="1"/>
  <c r="AQ62" i="22"/>
  <c r="BI62" i="22" s="1"/>
  <c r="BF62" i="22"/>
  <c r="BE59" i="21"/>
  <c r="AO59" i="21"/>
  <c r="BH59" i="21" s="1"/>
  <c r="BF60" i="22"/>
  <c r="AQ60" i="22"/>
  <c r="BI60" i="22" s="1"/>
  <c r="BE56" i="21"/>
  <c r="AO56" i="21"/>
  <c r="BH56" i="21" s="1"/>
  <c r="AO55" i="22"/>
  <c r="BH55" i="22" s="1"/>
  <c r="BE55" i="22"/>
  <c r="BI35" i="24"/>
  <c r="BF66" i="22"/>
  <c r="AQ66" i="22"/>
  <c r="BI66" i="22" s="1"/>
  <c r="BF64" i="21"/>
  <c r="AQ64" i="21"/>
  <c r="BI64" i="21" s="1"/>
  <c r="AQ55" i="23"/>
  <c r="BI55" i="23" s="1"/>
  <c r="BF55" i="23"/>
  <c r="BF62" i="23"/>
  <c r="AQ62" i="23"/>
  <c r="BI62" i="23" s="1"/>
  <c r="AO59" i="22"/>
  <c r="BH59" i="22" s="1"/>
  <c r="BE59" i="22"/>
  <c r="AO67" i="22"/>
  <c r="BH67" i="22" s="1"/>
  <c r="BE67" i="22"/>
  <c r="AO56" i="22"/>
  <c r="BH56" i="22" s="1"/>
  <c r="BE56" i="22"/>
  <c r="AQ67" i="22"/>
  <c r="BI67" i="22" s="1"/>
  <c r="BF67" i="22"/>
  <c r="BF23" i="24"/>
  <c r="AO27" i="23"/>
  <c r="BH27" i="23" s="1"/>
  <c r="AJ133" i="23"/>
  <c r="AB132" i="23"/>
  <c r="BF50" i="23"/>
  <c r="Y131" i="23"/>
  <c r="BF37" i="23"/>
  <c r="AH133" i="22"/>
  <c r="AH136" i="22" s="1"/>
  <c r="Y132" i="22"/>
  <c r="Y136" i="22" s="1"/>
  <c r="AF131" i="22"/>
  <c r="AF136" i="22" s="1"/>
  <c r="BF50" i="22"/>
  <c r="AU131" i="22"/>
  <c r="AU136" i="22" s="1"/>
  <c r="AC132" i="22"/>
  <c r="AZ132" i="22"/>
  <c r="AZ136" i="22" s="1"/>
  <c r="AO49" i="21"/>
  <c r="BH49" i="21" s="1"/>
  <c r="BH50" i="22"/>
  <c r="BC25" i="21"/>
  <c r="BL25" i="21" s="1"/>
  <c r="BL20" i="21" s="1"/>
  <c r="BE52" i="22"/>
  <c r="BF21" i="22"/>
  <c r="BO21" i="22" s="1"/>
  <c r="BI36" i="21"/>
  <c r="BM36" i="21" s="1"/>
  <c r="BF27" i="21"/>
  <c r="BO27" i="21" s="1"/>
  <c r="AU21" i="24"/>
  <c r="BI34" i="21"/>
  <c r="AB132" i="22"/>
  <c r="BF24" i="22"/>
  <c r="BF40" i="24"/>
  <c r="BF25" i="22"/>
  <c r="BI36" i="24"/>
  <c r="AQ24" i="24"/>
  <c r="BI24" i="24" s="1"/>
  <c r="BK61" i="23"/>
  <c r="BF66" i="23"/>
  <c r="AQ66" i="23"/>
  <c r="BI66" i="23" s="1"/>
  <c r="BE62" i="21"/>
  <c r="AO62" i="21"/>
  <c r="BH62" i="21" s="1"/>
  <c r="BF64" i="22"/>
  <c r="AQ64" i="22"/>
  <c r="BI64" i="22" s="1"/>
  <c r="BE61" i="21"/>
  <c r="AO61" i="21"/>
  <c r="BH61" i="21" s="1"/>
  <c r="BK64" i="22"/>
  <c r="BK63" i="23"/>
  <c r="AO45" i="24"/>
  <c r="BH45" i="24" s="1"/>
  <c r="BK62" i="21"/>
  <c r="AO64" i="21"/>
  <c r="BH64" i="21" s="1"/>
  <c r="BE64" i="21"/>
  <c r="BE55" i="23"/>
  <c r="AO55" i="23"/>
  <c r="BH55" i="23" s="1"/>
  <c r="AQ67" i="23"/>
  <c r="BI67" i="23" s="1"/>
  <c r="BF67" i="23"/>
  <c r="AO63" i="21"/>
  <c r="BH63" i="21" s="1"/>
  <c r="BE63" i="21"/>
  <c r="AU131" i="23"/>
  <c r="Z133" i="22"/>
  <c r="BF49" i="22"/>
  <c r="BE50" i="22"/>
  <c r="AS132" i="22"/>
  <c r="AR132" i="22"/>
  <c r="Z131" i="22"/>
  <c r="AU25" i="21"/>
  <c r="BJ25" i="21" s="1"/>
  <c r="AB131" i="21"/>
  <c r="BF31" i="21"/>
  <c r="AO47" i="24"/>
  <c r="BH47" i="24" s="1"/>
  <c r="BF46" i="21"/>
  <c r="AA131" i="21"/>
  <c r="BF39" i="23"/>
  <c r="AS23" i="22"/>
  <c r="AS131" i="22" s="1"/>
  <c r="AO62" i="22"/>
  <c r="BH62" i="22" s="1"/>
  <c r="BE62" i="22"/>
  <c r="BF64" i="23"/>
  <c r="AQ64" i="23"/>
  <c r="BI64" i="23" s="1"/>
  <c r="AO61" i="22"/>
  <c r="BH61" i="22" s="1"/>
  <c r="BE61" i="22"/>
  <c r="BK63" i="22"/>
  <c r="BE66" i="21"/>
  <c r="AO66" i="21"/>
  <c r="BH66" i="21" s="1"/>
  <c r="BK62" i="23"/>
  <c r="AO64" i="22"/>
  <c r="BH64" i="22" s="1"/>
  <c r="BE64" i="22"/>
  <c r="AO63" i="22"/>
  <c r="BH63" i="22" s="1"/>
  <c r="BE63" i="22"/>
  <c r="BF21" i="21"/>
  <c r="BO21" i="21" s="1"/>
  <c r="AO61" i="23"/>
  <c r="BH61" i="23" s="1"/>
  <c r="BE61" i="23"/>
  <c r="AQ63" i="21"/>
  <c r="BI63" i="21" s="1"/>
  <c r="BF63" i="21"/>
  <c r="AO60" i="21"/>
  <c r="BH60" i="21" s="1"/>
  <c r="BE60" i="21"/>
  <c r="AO67" i="23"/>
  <c r="BH67" i="23" s="1"/>
  <c r="BE67" i="23"/>
  <c r="AO66" i="22"/>
  <c r="BH66" i="22" s="1"/>
  <c r="BE66" i="22"/>
  <c r="AQ22" i="23"/>
  <c r="Z131" i="23"/>
  <c r="AO63" i="23"/>
  <c r="BH63" i="23" s="1"/>
  <c r="BE63" i="23"/>
  <c r="BF21" i="23"/>
  <c r="BO21" i="23" s="1"/>
  <c r="AP21" i="23"/>
  <c r="BI21" i="23" s="1"/>
  <c r="AC133" i="21"/>
  <c r="BE37" i="21"/>
  <c r="AO19" i="21"/>
  <c r="BH19" i="21" s="1"/>
  <c r="BH17" i="21" s="1"/>
  <c r="BF34" i="24"/>
  <c r="BF36" i="22"/>
  <c r="BF56" i="21"/>
  <c r="AQ56" i="21"/>
  <c r="BI56" i="21" s="1"/>
  <c r="AO62" i="23"/>
  <c r="BH62" i="23" s="1"/>
  <c r="BE62" i="23"/>
  <c r="BF63" i="22"/>
  <c r="AQ63" i="22"/>
  <c r="BI63" i="22" s="1"/>
  <c r="AO60" i="22"/>
  <c r="BH60" i="22" s="1"/>
  <c r="BE60" i="22"/>
  <c r="BF61" i="21"/>
  <c r="AQ61" i="21"/>
  <c r="BI61" i="21" s="1"/>
  <c r="BF69" i="23"/>
  <c r="AO66" i="23"/>
  <c r="BH66" i="23" s="1"/>
  <c r="BE66" i="23"/>
  <c r="AP44" i="24"/>
  <c r="BI44" i="24" s="1"/>
  <c r="BM44" i="24" s="1"/>
  <c r="BO44" i="24" s="1"/>
  <c r="BK67" i="23"/>
  <c r="AQ59" i="21"/>
  <c r="BI59" i="21" s="1"/>
  <c r="BF59" i="21"/>
  <c r="AO64" i="23"/>
  <c r="BH64" i="23" s="1"/>
  <c r="BE64" i="23"/>
  <c r="BF58" i="21"/>
  <c r="AQ58" i="21"/>
  <c r="BI58" i="21" s="1"/>
  <c r="BF27" i="24"/>
  <c r="BO27" i="24" s="1"/>
  <c r="AJ133" i="22"/>
  <c r="BM45" i="22"/>
  <c r="X133" i="22"/>
  <c r="BI36" i="22"/>
  <c r="AH133" i="21"/>
  <c r="BE36" i="21"/>
  <c r="AO24" i="21"/>
  <c r="BE26" i="21"/>
  <c r="AO37" i="24"/>
  <c r="BH37" i="24" s="1"/>
  <c r="BM37" i="24" s="1"/>
  <c r="BF24" i="21"/>
  <c r="X131" i="21"/>
  <c r="AB132" i="21"/>
  <c r="AB136" i="21" s="1"/>
  <c r="BF36" i="21"/>
  <c r="BI46" i="24"/>
  <c r="BM46" i="24" s="1"/>
  <c r="BF53" i="23"/>
  <c r="BF56" i="22"/>
  <c r="AQ56" i="22"/>
  <c r="BI56" i="22" s="1"/>
  <c r="AO35" i="24"/>
  <c r="BH35" i="24" s="1"/>
  <c r="BM35" i="24" s="1"/>
  <c r="BO35" i="24" s="1"/>
  <c r="BF55" i="21"/>
  <c r="AQ55" i="21"/>
  <c r="BI55" i="21" s="1"/>
  <c r="AO33" i="24"/>
  <c r="BH33" i="24" s="1"/>
  <c r="BF63" i="23"/>
  <c r="AQ63" i="23"/>
  <c r="BI63" i="23" s="1"/>
  <c r="AQ26" i="22"/>
  <c r="H147" i="22" s="1"/>
  <c r="BF26" i="22"/>
  <c r="AO23" i="24"/>
  <c r="BK59" i="21"/>
  <c r="BF61" i="22"/>
  <c r="AQ61" i="22"/>
  <c r="BI61" i="22" s="1"/>
  <c r="AO58" i="22"/>
  <c r="BH58" i="22" s="1"/>
  <c r="BE58" i="22"/>
  <c r="AO31" i="24"/>
  <c r="BK67" i="22"/>
  <c r="BK58" i="22"/>
  <c r="BF59" i="22"/>
  <c r="AQ59" i="22"/>
  <c r="BI59" i="22" s="1"/>
  <c r="BF36" i="24"/>
  <c r="BF58" i="22"/>
  <c r="AQ58" i="22"/>
  <c r="BI58" i="22" s="1"/>
  <c r="BF21" i="24"/>
  <c r="BO21" i="24" s="1"/>
  <c r="BF27" i="23"/>
  <c r="BO27" i="23" s="1"/>
  <c r="BI25" i="23"/>
  <c r="AB133" i="22"/>
  <c r="AR131" i="22"/>
  <c r="AY132" i="22"/>
  <c r="AC131" i="22"/>
  <c r="BE46" i="22"/>
  <c r="Z133" i="21"/>
  <c r="BF39" i="21"/>
  <c r="BE22" i="21"/>
  <c r="BE18" i="21"/>
  <c r="BJ23" i="21"/>
  <c r="AA132" i="21"/>
  <c r="BF49" i="21"/>
  <c r="BF34" i="21"/>
  <c r="BF55" i="22"/>
  <c r="AQ55" i="22"/>
  <c r="BI55" i="22" s="1"/>
  <c r="AF131" i="21"/>
  <c r="AF136" i="21" s="1"/>
  <c r="AW21" i="21"/>
  <c r="AW131" i="21" s="1"/>
  <c r="AW136" i="21" s="1"/>
  <c r="AQ26" i="24"/>
  <c r="BF26" i="24"/>
  <c r="BF62" i="21"/>
  <c r="AQ62" i="21"/>
  <c r="BI62" i="21" s="1"/>
  <c r="BK59" i="22"/>
  <c r="BF52" i="23"/>
  <c r="BF61" i="23"/>
  <c r="AQ61" i="23"/>
  <c r="BI61" i="23" s="1"/>
  <c r="AO58" i="21"/>
  <c r="BH58" i="21" s="1"/>
  <c r="BE58" i="21"/>
  <c r="BF60" i="21"/>
  <c r="AQ60" i="21"/>
  <c r="BI60" i="21" s="1"/>
  <c r="AO24" i="24"/>
  <c r="BH24" i="24" s="1"/>
  <c r="BE55" i="21"/>
  <c r="AO55" i="21"/>
  <c r="BH55" i="21" s="1"/>
  <c r="AV131" i="24"/>
  <c r="H159" i="24"/>
  <c r="BL43" i="24"/>
  <c r="AL136" i="24"/>
  <c r="BK73" i="24"/>
  <c r="BL95" i="23"/>
  <c r="BK32" i="23"/>
  <c r="BJ38" i="23"/>
  <c r="BM101" i="23"/>
  <c r="BO101" i="23" s="1"/>
  <c r="BL104" i="23"/>
  <c r="AS135" i="23"/>
  <c r="BM93" i="23"/>
  <c r="BM91" i="23"/>
  <c r="AV131" i="23"/>
  <c r="AV136" i="23" s="1"/>
  <c r="BM92" i="23"/>
  <c r="BJ47" i="22"/>
  <c r="BJ43" i="22" s="1"/>
  <c r="BJ42" i="22" s="1"/>
  <c r="BJ133" i="22" s="1"/>
  <c r="BM78" i="22"/>
  <c r="BL115" i="22"/>
  <c r="BJ48" i="22"/>
  <c r="H144" i="24"/>
  <c r="BK49" i="24"/>
  <c r="AQ131" i="23"/>
  <c r="G160" i="24"/>
  <c r="AP131" i="24"/>
  <c r="BI17" i="24"/>
  <c r="G152" i="24"/>
  <c r="BI52" i="24"/>
  <c r="BI47" i="23"/>
  <c r="BM47" i="23" s="1"/>
  <c r="AV133" i="24"/>
  <c r="AX134" i="23"/>
  <c r="BK116" i="24"/>
  <c r="BM116" i="24" s="1"/>
  <c r="BM88" i="23"/>
  <c r="BB132" i="24"/>
  <c r="BJ95" i="23"/>
  <c r="BL71" i="23"/>
  <c r="BL70" i="23" s="1"/>
  <c r="BL134" i="23" s="1"/>
  <c r="BM54" i="23"/>
  <c r="BM90" i="24"/>
  <c r="BM93" i="24"/>
  <c r="BM89" i="24"/>
  <c r="BL120" i="23"/>
  <c r="BL94" i="23" s="1"/>
  <c r="BL135" i="23" s="1"/>
  <c r="G153" i="24"/>
  <c r="BL48" i="23"/>
  <c r="H160" i="24"/>
  <c r="BJ71" i="23"/>
  <c r="BL115" i="24"/>
  <c r="BL104" i="24"/>
  <c r="BJ115" i="23"/>
  <c r="BJ120" i="23"/>
  <c r="BJ32" i="23"/>
  <c r="BK20" i="23"/>
  <c r="BM92" i="24"/>
  <c r="BI77" i="23"/>
  <c r="BM77" i="23" s="1"/>
  <c r="BL48" i="22"/>
  <c r="BM91" i="24"/>
  <c r="BM74" i="24"/>
  <c r="BL70" i="24"/>
  <c r="BL134" i="24" s="1"/>
  <c r="BK43" i="22"/>
  <c r="BM92" i="22"/>
  <c r="BM88" i="22"/>
  <c r="AP134" i="22"/>
  <c r="BK29" i="22"/>
  <c r="BL120" i="24"/>
  <c r="BL95" i="24"/>
  <c r="BL94" i="24" s="1"/>
  <c r="BL135" i="24" s="1"/>
  <c r="BL104" i="22"/>
  <c r="BM54" i="22"/>
  <c r="BL32" i="22"/>
  <c r="BL28" i="22" s="1"/>
  <c r="BL132" i="22" s="1"/>
  <c r="AQ132" i="22"/>
  <c r="BM78" i="24"/>
  <c r="BJ104" i="22"/>
  <c r="BM37" i="22"/>
  <c r="BI47" i="22"/>
  <c r="BK77" i="24"/>
  <c r="BM77" i="24" s="1"/>
  <c r="BO77" i="24" s="1"/>
  <c r="H153" i="24"/>
  <c r="AR132" i="24"/>
  <c r="BI40" i="24"/>
  <c r="BM40" i="24" s="1"/>
  <c r="BK38" i="21"/>
  <c r="H147" i="23"/>
  <c r="BL120" i="21"/>
  <c r="BL95" i="21"/>
  <c r="BJ120" i="21"/>
  <c r="AM136" i="21"/>
  <c r="BM54" i="21"/>
  <c r="AL136" i="21"/>
  <c r="BD136" i="21"/>
  <c r="J27" i="2"/>
  <c r="AB17" i="20"/>
  <c r="J26" i="16"/>
  <c r="H17" i="20" s="1"/>
  <c r="K27" i="2"/>
  <c r="AC17" i="20"/>
  <c r="K26" i="16"/>
  <c r="I17" i="20" s="1"/>
  <c r="BJ23" i="24"/>
  <c r="AW131" i="24"/>
  <c r="AW136" i="24" s="1"/>
  <c r="BK71" i="23"/>
  <c r="AF131" i="24"/>
  <c r="AF136" i="24" s="1"/>
  <c r="X132" i="25"/>
  <c r="AA20" i="25"/>
  <c r="AC20" i="25" s="1"/>
  <c r="AG134" i="23"/>
  <c r="AT133" i="23"/>
  <c r="BF23" i="23"/>
  <c r="BF131" i="23" s="1"/>
  <c r="J136" i="25"/>
  <c r="J138" i="25" s="1"/>
  <c r="BF77" i="23"/>
  <c r="Y133" i="23"/>
  <c r="BJ23" i="23"/>
  <c r="Z132" i="22"/>
  <c r="BF40" i="21"/>
  <c r="AQ49" i="24"/>
  <c r="BI49" i="24" s="1"/>
  <c r="AQ132" i="23"/>
  <c r="AT132" i="21"/>
  <c r="BK71" i="22"/>
  <c r="AI136" i="22"/>
  <c r="Y135" i="24"/>
  <c r="AB32" i="25"/>
  <c r="AB28" i="25" s="1"/>
  <c r="AB132" i="25" s="1"/>
  <c r="BF139" i="23"/>
  <c r="BF40" i="22"/>
  <c r="AQ132" i="21"/>
  <c r="H152" i="24"/>
  <c r="BI39" i="24"/>
  <c r="BM39" i="24" s="1"/>
  <c r="BO39" i="24" s="1"/>
  <c r="AQ132" i="24"/>
  <c r="BF139" i="22"/>
  <c r="K136" i="25"/>
  <c r="K138" i="25" s="1"/>
  <c r="AC23" i="25"/>
  <c r="AK135" i="23"/>
  <c r="AS132" i="23"/>
  <c r="AT132" i="23"/>
  <c r="BI25" i="22"/>
  <c r="BM35" i="21"/>
  <c r="BO35" i="21" s="1"/>
  <c r="X131" i="24"/>
  <c r="BF23" i="21"/>
  <c r="X133" i="25"/>
  <c r="AH132" i="23"/>
  <c r="BI23" i="22"/>
  <c r="BM23" i="22" s="1"/>
  <c r="BE25" i="22"/>
  <c r="BE131" i="22" s="1"/>
  <c r="AE131" i="21"/>
  <c r="AE136" i="21" s="1"/>
  <c r="AQ131" i="21"/>
  <c r="AP34" i="22"/>
  <c r="BI34" i="22" s="1"/>
  <c r="BM34" i="22" s="1"/>
  <c r="BF34" i="22"/>
  <c r="BH73" i="24"/>
  <c r="BK41" i="23"/>
  <c r="BK38" i="23" s="1"/>
  <c r="AA29" i="25"/>
  <c r="AC29" i="25" s="1"/>
  <c r="G159" i="24"/>
  <c r="BM76" i="23"/>
  <c r="BO76" i="23" s="1"/>
  <c r="Z132" i="23"/>
  <c r="BE111" i="23"/>
  <c r="BE135" i="23" s="1"/>
  <c r="BF85" i="22"/>
  <c r="BF134" i="22" s="1"/>
  <c r="AV131" i="21"/>
  <c r="AV136" i="21" s="1"/>
  <c r="BM19" i="22"/>
  <c r="BO19" i="22" s="1"/>
  <c r="BF23" i="22"/>
  <c r="X135" i="21"/>
  <c r="BF45" i="21"/>
  <c r="BO45" i="21" s="1"/>
  <c r="BF86" i="23"/>
  <c r="AP34" i="24"/>
  <c r="S136" i="25"/>
  <c r="S138" i="25" s="1"/>
  <c r="Z133" i="23"/>
  <c r="AA115" i="25"/>
  <c r="AC115" i="25" s="1"/>
  <c r="X134" i="25"/>
  <c r="AB16" i="25"/>
  <c r="AB131" i="25" s="1"/>
  <c r="X131" i="25"/>
  <c r="BI36" i="23"/>
  <c r="BM36" i="23" s="1"/>
  <c r="AG134" i="22"/>
  <c r="BE47" i="21"/>
  <c r="BF139" i="21"/>
  <c r="BF58" i="23"/>
  <c r="G136" i="25"/>
  <c r="BO46" i="24"/>
  <c r="BE132" i="24"/>
  <c r="AB134" i="23"/>
  <c r="BF80" i="23"/>
  <c r="BM34" i="23"/>
  <c r="BO34" i="23" s="1"/>
  <c r="Z134" i="22"/>
  <c r="X131" i="22"/>
  <c r="X136" i="22" s="1"/>
  <c r="BO37" i="22"/>
  <c r="BE135" i="21"/>
  <c r="AP131" i="22"/>
  <c r="AT133" i="21"/>
  <c r="AX134" i="22"/>
  <c r="X133" i="21"/>
  <c r="BF49" i="23"/>
  <c r="AO25" i="24"/>
  <c r="AV131" i="22"/>
  <c r="AV136" i="22" s="1"/>
  <c r="BL20" i="22"/>
  <c r="AK136" i="21"/>
  <c r="T136" i="25"/>
  <c r="T138" i="25" s="1"/>
  <c r="H176" i="25"/>
  <c r="I176" i="25" s="1"/>
  <c r="X135" i="25"/>
  <c r="BM76" i="24"/>
  <c r="BO76" i="24" s="1"/>
  <c r="AP132" i="23"/>
  <c r="AR136" i="23"/>
  <c r="BE106" i="23"/>
  <c r="AE131" i="22"/>
  <c r="AE136" i="22" s="1"/>
  <c r="BJ43" i="21"/>
  <c r="BF72" i="23"/>
  <c r="BF122" i="23"/>
  <c r="BF135" i="23" s="1"/>
  <c r="BL28" i="23"/>
  <c r="BL132" i="23" s="1"/>
  <c r="BJ48" i="23"/>
  <c r="W134" i="25"/>
  <c r="W135" i="25"/>
  <c r="BJ115" i="24"/>
  <c r="X135" i="24"/>
  <c r="BJ95" i="24"/>
  <c r="BO42" i="24"/>
  <c r="BD136" i="24"/>
  <c r="AP134" i="23"/>
  <c r="AO132" i="23"/>
  <c r="BM31" i="23"/>
  <c r="G153" i="23"/>
  <c r="BH40" i="23"/>
  <c r="BM51" i="23"/>
  <c r="H152" i="23"/>
  <c r="BI39" i="23"/>
  <c r="H154" i="23"/>
  <c r="BI41" i="23"/>
  <c r="BK43" i="23"/>
  <c r="BJ29" i="23"/>
  <c r="BM90" i="22"/>
  <c r="BK17" i="23"/>
  <c r="BK16" i="23" s="1"/>
  <c r="BK131" i="23" s="1"/>
  <c r="BE134" i="22"/>
  <c r="BM74" i="22"/>
  <c r="BH96" i="21"/>
  <c r="BJ71" i="22"/>
  <c r="BJ70" i="22" s="1"/>
  <c r="BJ134" i="22" s="1"/>
  <c r="BI47" i="21"/>
  <c r="BM37" i="21"/>
  <c r="BO37" i="21" s="1"/>
  <c r="BI73" i="21"/>
  <c r="BK20" i="22"/>
  <c r="AT131" i="22"/>
  <c r="H150" i="21"/>
  <c r="BI30" i="21"/>
  <c r="BI29" i="21" s="1"/>
  <c r="BM90" i="21"/>
  <c r="BJ71" i="21"/>
  <c r="BJ70" i="21" s="1"/>
  <c r="BJ134" i="21" s="1"/>
  <c r="BI50" i="22"/>
  <c r="AA38" i="25"/>
  <c r="AC38" i="25" s="1"/>
  <c r="BJ109" i="24"/>
  <c r="BL48" i="24"/>
  <c r="BL42" i="24" s="1"/>
  <c r="BL133" i="24" s="1"/>
  <c r="AH136" i="24"/>
  <c r="BK20" i="24"/>
  <c r="BK43" i="24"/>
  <c r="BL32" i="24"/>
  <c r="BJ38" i="24"/>
  <c r="BM90" i="23"/>
  <c r="BH50" i="23"/>
  <c r="G152" i="23"/>
  <c r="BH39" i="23"/>
  <c r="BI49" i="23"/>
  <c r="BM49" i="23" s="1"/>
  <c r="AS131" i="23"/>
  <c r="AM136" i="23"/>
  <c r="AU136" i="23"/>
  <c r="BL120" i="22"/>
  <c r="BL94" i="22" s="1"/>
  <c r="BL135" i="22" s="1"/>
  <c r="BI49" i="22"/>
  <c r="BI116" i="22"/>
  <c r="BL71" i="22"/>
  <c r="BL70" i="22" s="1"/>
  <c r="BL134" i="22" s="1"/>
  <c r="H144" i="22"/>
  <c r="BI18" i="22"/>
  <c r="BI17" i="22" s="1"/>
  <c r="BJ32" i="22"/>
  <c r="BI26" i="21"/>
  <c r="BI25" i="21"/>
  <c r="AT133" i="22"/>
  <c r="H146" i="23"/>
  <c r="BI24" i="23"/>
  <c r="BM24" i="23" s="1"/>
  <c r="BO42" i="23"/>
  <c r="BF16" i="23"/>
  <c r="BO16" i="23" s="1"/>
  <c r="AC18" i="25"/>
  <c r="AA17" i="25"/>
  <c r="AC45" i="25"/>
  <c r="I161" i="25"/>
  <c r="H177" i="25"/>
  <c r="I177" i="25" s="1"/>
  <c r="AA48" i="25"/>
  <c r="AC48" i="25" s="1"/>
  <c r="BM101" i="24"/>
  <c r="BO101" i="24" s="1"/>
  <c r="AC136" i="24"/>
  <c r="AI136" i="24"/>
  <c r="Z136" i="24"/>
  <c r="BM89" i="23"/>
  <c r="BE134" i="23"/>
  <c r="BI50" i="23"/>
  <c r="G151" i="23"/>
  <c r="BH33" i="23"/>
  <c r="AJ136" i="23"/>
  <c r="H144" i="23"/>
  <c r="BI18" i="23"/>
  <c r="BI17" i="23" s="1"/>
  <c r="AF136" i="23"/>
  <c r="AE136" i="23"/>
  <c r="AL136" i="23"/>
  <c r="BM76" i="22"/>
  <c r="BO76" i="22" s="1"/>
  <c r="BH49" i="22"/>
  <c r="BH96" i="22"/>
  <c r="G144" i="22"/>
  <c r="BH18" i="22"/>
  <c r="BH75" i="21"/>
  <c r="BF135" i="21"/>
  <c r="BO94" i="21"/>
  <c r="BJ95" i="21"/>
  <c r="BF134" i="21"/>
  <c r="BO70" i="21"/>
  <c r="BI22" i="21"/>
  <c r="H145" i="21"/>
  <c r="BH33" i="21"/>
  <c r="BH50" i="21"/>
  <c r="G152" i="21"/>
  <c r="BH39" i="21"/>
  <c r="BL71" i="21"/>
  <c r="BL70" i="21" s="1"/>
  <c r="BL134" i="21" s="1"/>
  <c r="BI75" i="21"/>
  <c r="BJ70" i="24"/>
  <c r="BJ134" i="24" s="1"/>
  <c r="BI52" i="23"/>
  <c r="H150" i="23"/>
  <c r="BI30" i="23"/>
  <c r="BI29" i="23" s="1"/>
  <c r="AC44" i="25"/>
  <c r="AA43" i="25"/>
  <c r="H173" i="25"/>
  <c r="I173" i="25" s="1"/>
  <c r="I148" i="25"/>
  <c r="AC96" i="25"/>
  <c r="AA95" i="25"/>
  <c r="W132" i="25"/>
  <c r="AT135" i="24"/>
  <c r="AR135" i="24"/>
  <c r="BM75" i="24"/>
  <c r="BO75" i="24" s="1"/>
  <c r="BO17" i="24"/>
  <c r="BI116" i="23"/>
  <c r="BM116" i="23" s="1"/>
  <c r="BH73" i="23"/>
  <c r="BM44" i="23"/>
  <c r="BO44" i="23" s="1"/>
  <c r="BH43" i="23"/>
  <c r="BI33" i="23"/>
  <c r="G150" i="23"/>
  <c r="BH30" i="23"/>
  <c r="AZ136" i="23"/>
  <c r="G154" i="23"/>
  <c r="AD136" i="23"/>
  <c r="BF135" i="22"/>
  <c r="BO94" i="22"/>
  <c r="BI33" i="22"/>
  <c r="AJ136" i="22"/>
  <c r="BH116" i="21"/>
  <c r="BM35" i="22"/>
  <c r="BO35" i="22" s="1"/>
  <c r="BH72" i="21"/>
  <c r="BL94" i="21"/>
  <c r="BL135" i="21" s="1"/>
  <c r="H31" i="24"/>
  <c r="AP31" i="24" s="1"/>
  <c r="BO42" i="22"/>
  <c r="G150" i="21"/>
  <c r="BH30" i="21"/>
  <c r="AH136" i="21"/>
  <c r="BK32" i="22"/>
  <c r="L45" i="24"/>
  <c r="AT45" i="24" s="1"/>
  <c r="BL29" i="21"/>
  <c r="BE134" i="21"/>
  <c r="BK20" i="21"/>
  <c r="BK16" i="21" s="1"/>
  <c r="BK131" i="21" s="1"/>
  <c r="BL17" i="21"/>
  <c r="BI75" i="23"/>
  <c r="BH73" i="22"/>
  <c r="BM73" i="22" s="1"/>
  <c r="BO73" i="22" s="1"/>
  <c r="BH72" i="22"/>
  <c r="G145" i="22"/>
  <c r="BH22" i="22"/>
  <c r="BD136" i="22"/>
  <c r="H150" i="22"/>
  <c r="BI30" i="22"/>
  <c r="BI29" i="22" s="1"/>
  <c r="BH33" i="22"/>
  <c r="AY136" i="22"/>
  <c r="BJ29" i="22"/>
  <c r="H146" i="21"/>
  <c r="BI24" i="21"/>
  <c r="BM74" i="21"/>
  <c r="AP134" i="21"/>
  <c r="G153" i="21"/>
  <c r="BH40" i="21"/>
  <c r="BI18" i="21"/>
  <c r="BJ17" i="22"/>
  <c r="BM76" i="21"/>
  <c r="BO76" i="21" s="1"/>
  <c r="BK71" i="21"/>
  <c r="BJ32" i="21"/>
  <c r="BJ28" i="21" s="1"/>
  <c r="BJ132" i="21" s="1"/>
  <c r="AS132" i="21"/>
  <c r="G147" i="22"/>
  <c r="BI49" i="21"/>
  <c r="W131" i="25"/>
  <c r="AJ136" i="24"/>
  <c r="BF134" i="24"/>
  <c r="BO70" i="24"/>
  <c r="BJ70" i="23"/>
  <c r="BJ134" i="23" s="1"/>
  <c r="AC19" i="25"/>
  <c r="AC34" i="25"/>
  <c r="W133" i="25"/>
  <c r="BJ120" i="24"/>
  <c r="BF135" i="24"/>
  <c r="BO94" i="24"/>
  <c r="BE134" i="24"/>
  <c r="AM136" i="24"/>
  <c r="BK32" i="24"/>
  <c r="AY136" i="24"/>
  <c r="BL38" i="24"/>
  <c r="BK17" i="24"/>
  <c r="BM74" i="23"/>
  <c r="BI73" i="23"/>
  <c r="BI72" i="23"/>
  <c r="H145" i="23"/>
  <c r="BI22" i="23"/>
  <c r="BH52" i="23"/>
  <c r="BH75" i="23"/>
  <c r="BH116" i="22"/>
  <c r="BK29" i="23"/>
  <c r="BL17" i="23"/>
  <c r="BI75" i="22"/>
  <c r="BO28" i="22"/>
  <c r="AL136" i="22"/>
  <c r="G150" i="22"/>
  <c r="BH30" i="22"/>
  <c r="BM89" i="21"/>
  <c r="AQ131" i="22"/>
  <c r="BF16" i="22"/>
  <c r="BO16" i="22" s="1"/>
  <c r="BI52" i="21"/>
  <c r="BL17" i="22"/>
  <c r="AT135" i="21"/>
  <c r="BO42" i="21"/>
  <c r="BM88" i="21"/>
  <c r="BI22" i="22"/>
  <c r="H146" i="22"/>
  <c r="BI23" i="21"/>
  <c r="BJ48" i="21"/>
  <c r="G145" i="21"/>
  <c r="AE136" i="24"/>
  <c r="AX134" i="24"/>
  <c r="BJ48" i="24"/>
  <c r="BH96" i="23"/>
  <c r="BO94" i="23"/>
  <c r="BH72" i="23"/>
  <c r="BO70" i="23"/>
  <c r="BE132" i="23"/>
  <c r="H153" i="23"/>
  <c r="BI40" i="23"/>
  <c r="BO28" i="23"/>
  <c r="BJ43" i="23"/>
  <c r="BJ42" i="23" s="1"/>
  <c r="BJ133" i="23" s="1"/>
  <c r="AA136" i="23"/>
  <c r="BI96" i="22"/>
  <c r="BH43" i="22"/>
  <c r="BI52" i="22"/>
  <c r="AM136" i="22"/>
  <c r="BI96" i="21"/>
  <c r="AD136" i="22"/>
  <c r="BL43" i="22"/>
  <c r="BL42" i="22" s="1"/>
  <c r="BL133" i="22" s="1"/>
  <c r="BK16" i="22"/>
  <c r="BK131" i="22" s="1"/>
  <c r="AR134" i="22"/>
  <c r="AS131" i="21"/>
  <c r="BJ104" i="21"/>
  <c r="H152" i="21"/>
  <c r="BI39" i="21"/>
  <c r="BL48" i="21"/>
  <c r="BL42" i="21" s="1"/>
  <c r="BL133" i="21" s="1"/>
  <c r="L47" i="24"/>
  <c r="AT47" i="24" s="1"/>
  <c r="BJ47" i="24" s="1"/>
  <c r="AZ136" i="21"/>
  <c r="BH75" i="22"/>
  <c r="BJ104" i="24"/>
  <c r="AC72" i="25"/>
  <c r="AA71" i="25"/>
  <c r="H165" i="25"/>
  <c r="I144" i="25"/>
  <c r="H172" i="25"/>
  <c r="H175" i="25"/>
  <c r="I175" i="25" s="1"/>
  <c r="I155" i="25"/>
  <c r="BE135" i="24"/>
  <c r="BM96" i="24"/>
  <c r="BO28" i="24"/>
  <c r="AP134" i="24"/>
  <c r="BC136" i="24"/>
  <c r="BM37" i="23"/>
  <c r="BO37" i="23" s="1"/>
  <c r="BJ104" i="23"/>
  <c r="BL42" i="23"/>
  <c r="BL133" i="23" s="1"/>
  <c r="BL20" i="23"/>
  <c r="BD136" i="23"/>
  <c r="BJ120" i="22"/>
  <c r="BJ95" i="22"/>
  <c r="BJ94" i="22" s="1"/>
  <c r="BJ135" i="22" s="1"/>
  <c r="H154" i="22"/>
  <c r="BI41" i="22"/>
  <c r="AW136" i="22"/>
  <c r="BE135" i="22"/>
  <c r="BM91" i="21"/>
  <c r="BO70" i="22"/>
  <c r="H153" i="21"/>
  <c r="BI40" i="21"/>
  <c r="BM77" i="21"/>
  <c r="BO77" i="21" s="1"/>
  <c r="AJ136" i="21"/>
  <c r="BI50" i="21"/>
  <c r="AP133" i="21"/>
  <c r="BO16" i="21"/>
  <c r="BO28" i="21"/>
  <c r="BJ115" i="21"/>
  <c r="H149" i="22"/>
  <c r="I159" i="21"/>
  <c r="BK32" i="21"/>
  <c r="BL32" i="21"/>
  <c r="G157" i="21" l="1"/>
  <c r="G157" i="24"/>
  <c r="BK52" i="24"/>
  <c r="BM46" i="21"/>
  <c r="BI26" i="24"/>
  <c r="BH43" i="21"/>
  <c r="AB136" i="23"/>
  <c r="BF132" i="24"/>
  <c r="BE131" i="23"/>
  <c r="BM22" i="24"/>
  <c r="BM66" i="24"/>
  <c r="BO66" i="24" s="1"/>
  <c r="BO31" i="23"/>
  <c r="BI53" i="24"/>
  <c r="BM53" i="24" s="1"/>
  <c r="BO53" i="24" s="1"/>
  <c r="X136" i="23"/>
  <c r="BI25" i="24"/>
  <c r="BM53" i="21"/>
  <c r="BO53" i="21" s="1"/>
  <c r="G144" i="21"/>
  <c r="AP133" i="22"/>
  <c r="AH136" i="23"/>
  <c r="Z136" i="21"/>
  <c r="K27" i="16"/>
  <c r="K27" i="21"/>
  <c r="J27" i="16"/>
  <c r="J27" i="21"/>
  <c r="AQ27" i="21"/>
  <c r="BF132" i="21"/>
  <c r="AC136" i="22"/>
  <c r="BE132" i="22"/>
  <c r="BM41" i="24"/>
  <c r="BO41" i="24" s="1"/>
  <c r="BF131" i="21"/>
  <c r="AB136" i="22"/>
  <c r="BO31" i="21"/>
  <c r="I160" i="23"/>
  <c r="AA136" i="24"/>
  <c r="AR136" i="24"/>
  <c r="BF131" i="24"/>
  <c r="BF138" i="24" s="1"/>
  <c r="BH24" i="22"/>
  <c r="BM24" i="22" s="1"/>
  <c r="G146" i="22"/>
  <c r="I146" i="22" s="1"/>
  <c r="BI71" i="24"/>
  <c r="BO35" i="23"/>
  <c r="AP131" i="23"/>
  <c r="AT132" i="24"/>
  <c r="BO37" i="24"/>
  <c r="AS131" i="24"/>
  <c r="I150" i="22"/>
  <c r="BM36" i="24"/>
  <c r="BO36" i="24" s="1"/>
  <c r="BO36" i="21"/>
  <c r="Y136" i="21"/>
  <c r="AT136" i="21"/>
  <c r="BJ28" i="22"/>
  <c r="BJ132" i="22" s="1"/>
  <c r="BH38" i="24"/>
  <c r="BO49" i="23"/>
  <c r="BO36" i="23"/>
  <c r="AA136" i="21"/>
  <c r="BM25" i="23"/>
  <c r="BM30" i="24"/>
  <c r="BO30" i="24" s="1"/>
  <c r="BM34" i="21"/>
  <c r="BO34" i="21" s="1"/>
  <c r="AP132" i="21"/>
  <c r="I153" i="22"/>
  <c r="BM60" i="21"/>
  <c r="BO60" i="21" s="1"/>
  <c r="BI41" i="21"/>
  <c r="BM41" i="21" s="1"/>
  <c r="BO41" i="21" s="1"/>
  <c r="BM66" i="23"/>
  <c r="BO66" i="23" s="1"/>
  <c r="BM27" i="23"/>
  <c r="BF133" i="24"/>
  <c r="Y136" i="24"/>
  <c r="BJ20" i="23"/>
  <c r="BE131" i="21"/>
  <c r="G154" i="24"/>
  <c r="I154" i="24" s="1"/>
  <c r="BM55" i="24"/>
  <c r="BO55" i="24" s="1"/>
  <c r="BM62" i="24"/>
  <c r="BO62" i="24" s="1"/>
  <c r="AP131" i="21"/>
  <c r="BI32" i="22"/>
  <c r="H144" i="21"/>
  <c r="BI33" i="21"/>
  <c r="BI32" i="21" s="1"/>
  <c r="BI43" i="22"/>
  <c r="BM43" i="22" s="1"/>
  <c r="H151" i="21"/>
  <c r="G151" i="21"/>
  <c r="G154" i="21"/>
  <c r="I154" i="21" s="1"/>
  <c r="G146" i="23"/>
  <c r="I146" i="23" s="1"/>
  <c r="BI17" i="21"/>
  <c r="BM17" i="21" s="1"/>
  <c r="G146" i="21"/>
  <c r="I146" i="21" s="1"/>
  <c r="AR136" i="21"/>
  <c r="BI71" i="22"/>
  <c r="BM64" i="22"/>
  <c r="BO64" i="22" s="1"/>
  <c r="BM53" i="22"/>
  <c r="BO53" i="22" s="1"/>
  <c r="AO132" i="21"/>
  <c r="BH32" i="24"/>
  <c r="BH24" i="21"/>
  <c r="BH22" i="23"/>
  <c r="BM22" i="23" s="1"/>
  <c r="BO22" i="23" s="1"/>
  <c r="BM64" i="21"/>
  <c r="BO64" i="21" s="1"/>
  <c r="BM62" i="22"/>
  <c r="BO62" i="22" s="1"/>
  <c r="AY136" i="21"/>
  <c r="BM52" i="22"/>
  <c r="BO52" i="22" s="1"/>
  <c r="AP133" i="23"/>
  <c r="AO131" i="21"/>
  <c r="BM19" i="21"/>
  <c r="BO19" i="21" s="1"/>
  <c r="H151" i="23"/>
  <c r="I151" i="23" s="1"/>
  <c r="H146" i="24"/>
  <c r="G157" i="22"/>
  <c r="I157" i="22" s="1"/>
  <c r="BM25" i="22"/>
  <c r="AQ131" i="24"/>
  <c r="I157" i="21"/>
  <c r="I152" i="22"/>
  <c r="BO53" i="23"/>
  <c r="BO23" i="22"/>
  <c r="AO132" i="24"/>
  <c r="BM55" i="23"/>
  <c r="BO55" i="23" s="1"/>
  <c r="AA136" i="22"/>
  <c r="BF132" i="23"/>
  <c r="AC136" i="23"/>
  <c r="BI43" i="24"/>
  <c r="BM23" i="21"/>
  <c r="BO23" i="21" s="1"/>
  <c r="BF133" i="22"/>
  <c r="BO40" i="22"/>
  <c r="BO22" i="24"/>
  <c r="BO40" i="24"/>
  <c r="BH41" i="22"/>
  <c r="I152" i="24"/>
  <c r="BM47" i="24"/>
  <c r="BE133" i="24"/>
  <c r="BK28" i="21"/>
  <c r="BK132" i="21" s="1"/>
  <c r="H145" i="22"/>
  <c r="I145" i="22" s="1"/>
  <c r="H149" i="21"/>
  <c r="H148" i="21" s="1"/>
  <c r="I148" i="21" s="1"/>
  <c r="BL16" i="21"/>
  <c r="BL131" i="21" s="1"/>
  <c r="BL138" i="21" s="1"/>
  <c r="Z136" i="22"/>
  <c r="BJ20" i="22"/>
  <c r="BJ16" i="22" s="1"/>
  <c r="BJ131" i="22" s="1"/>
  <c r="AU131" i="21"/>
  <c r="AU136" i="21" s="1"/>
  <c r="BF131" i="22"/>
  <c r="BF138" i="22" s="1"/>
  <c r="BM24" i="24"/>
  <c r="BE133" i="23"/>
  <c r="BE136" i="23" s="1"/>
  <c r="BF133" i="21"/>
  <c r="AU131" i="24"/>
  <c r="AU136" i="24" s="1"/>
  <c r="Y136" i="23"/>
  <c r="BM36" i="22"/>
  <c r="BO36" i="22" s="1"/>
  <c r="AV136" i="24"/>
  <c r="BM60" i="22"/>
  <c r="BO60" i="22" s="1"/>
  <c r="BH43" i="24"/>
  <c r="BM66" i="22"/>
  <c r="BO66" i="22" s="1"/>
  <c r="BI38" i="22"/>
  <c r="BI43" i="21"/>
  <c r="BE132" i="21"/>
  <c r="AR136" i="22"/>
  <c r="BC131" i="21"/>
  <c r="BC136" i="21" s="1"/>
  <c r="AC136" i="21"/>
  <c r="BM21" i="22"/>
  <c r="BI26" i="22"/>
  <c r="BM26" i="22" s="1"/>
  <c r="AK136" i="23"/>
  <c r="BE133" i="21"/>
  <c r="AO132" i="22"/>
  <c r="BM58" i="21"/>
  <c r="BO58" i="21" s="1"/>
  <c r="BJ25" i="24"/>
  <c r="BE133" i="22"/>
  <c r="I157" i="23"/>
  <c r="G151" i="22"/>
  <c r="I147" i="22"/>
  <c r="I145" i="21"/>
  <c r="I157" i="24"/>
  <c r="BM49" i="24"/>
  <c r="BO49" i="24" s="1"/>
  <c r="BM62" i="23"/>
  <c r="BO62" i="23" s="1"/>
  <c r="BK71" i="24"/>
  <c r="AZ136" i="24"/>
  <c r="BM47" i="22"/>
  <c r="BM61" i="22"/>
  <c r="BO61" i="22" s="1"/>
  <c r="BM73" i="24"/>
  <c r="BO73" i="24" s="1"/>
  <c r="BJ21" i="21"/>
  <c r="BM21" i="21" s="1"/>
  <c r="BM59" i="21"/>
  <c r="BO59" i="21" s="1"/>
  <c r="BF134" i="23"/>
  <c r="Z136" i="23"/>
  <c r="BM52" i="24"/>
  <c r="BO52" i="24" s="1"/>
  <c r="BM56" i="22"/>
  <c r="BO56" i="22" s="1"/>
  <c r="BM41" i="23"/>
  <c r="BO41" i="23" s="1"/>
  <c r="BM55" i="21"/>
  <c r="BO55" i="21" s="1"/>
  <c r="BH23" i="24"/>
  <c r="BM23" i="24" s="1"/>
  <c r="BO23" i="24" s="1"/>
  <c r="G145" i="24"/>
  <c r="I145" i="24" s="1"/>
  <c r="BM61" i="23"/>
  <c r="BO61" i="23" s="1"/>
  <c r="BM55" i="22"/>
  <c r="BO55" i="22" s="1"/>
  <c r="BK28" i="23"/>
  <c r="BK132" i="23" s="1"/>
  <c r="G151" i="24"/>
  <c r="BM33" i="24"/>
  <c r="BO33" i="24" s="1"/>
  <c r="BM64" i="23"/>
  <c r="BO64" i="23" s="1"/>
  <c r="BM61" i="21"/>
  <c r="BO61" i="21" s="1"/>
  <c r="BM62" i="21"/>
  <c r="BO62" i="21" s="1"/>
  <c r="BM67" i="22"/>
  <c r="BO67" i="22" s="1"/>
  <c r="BM56" i="21"/>
  <c r="BO56" i="21" s="1"/>
  <c r="BJ21" i="24"/>
  <c r="I160" i="24"/>
  <c r="BH31" i="24"/>
  <c r="BH29" i="24" s="1"/>
  <c r="G150" i="24"/>
  <c r="BM67" i="23"/>
  <c r="BO67" i="23" s="1"/>
  <c r="BM63" i="21"/>
  <c r="BO63" i="21" s="1"/>
  <c r="BM66" i="21"/>
  <c r="BO66" i="21" s="1"/>
  <c r="BO46" i="21"/>
  <c r="BM59" i="22"/>
  <c r="BO59" i="22" s="1"/>
  <c r="AP133" i="24"/>
  <c r="BF138" i="23"/>
  <c r="BM58" i="22"/>
  <c r="BO58" i="22" s="1"/>
  <c r="BM63" i="23"/>
  <c r="BO63" i="23" s="1"/>
  <c r="BM63" i="22"/>
  <c r="BO63" i="22" s="1"/>
  <c r="BL28" i="24"/>
  <c r="BL132" i="24" s="1"/>
  <c r="X136" i="24"/>
  <c r="I153" i="24"/>
  <c r="I159" i="24"/>
  <c r="BM75" i="23"/>
  <c r="BO75" i="23" s="1"/>
  <c r="BJ28" i="23"/>
  <c r="BJ132" i="23" s="1"/>
  <c r="BJ94" i="23"/>
  <c r="BJ135" i="23" s="1"/>
  <c r="BO77" i="23"/>
  <c r="BF133" i="23"/>
  <c r="BF132" i="22"/>
  <c r="H151" i="22"/>
  <c r="AP132" i="22"/>
  <c r="I154" i="22"/>
  <c r="BL16" i="22"/>
  <c r="BL131" i="22" s="1"/>
  <c r="BL138" i="22" s="1"/>
  <c r="BH71" i="24"/>
  <c r="BI43" i="23"/>
  <c r="BM43" i="23" s="1"/>
  <c r="BI32" i="23"/>
  <c r="BM52" i="23"/>
  <c r="BO52" i="23" s="1"/>
  <c r="BM47" i="21"/>
  <c r="BI38" i="24"/>
  <c r="X136" i="21"/>
  <c r="BI71" i="21"/>
  <c r="BM52" i="21"/>
  <c r="BO52" i="21" s="1"/>
  <c r="BM23" i="23"/>
  <c r="BO23" i="23" s="1"/>
  <c r="X136" i="25"/>
  <c r="I166" i="25" s="1"/>
  <c r="BI71" i="23"/>
  <c r="I159" i="22"/>
  <c r="BE136" i="22"/>
  <c r="I150" i="21"/>
  <c r="AB136" i="25"/>
  <c r="I165" i="25"/>
  <c r="BI20" i="23"/>
  <c r="BI16" i="23" s="1"/>
  <c r="BI131" i="23" s="1"/>
  <c r="AC32" i="25"/>
  <c r="I154" i="23"/>
  <c r="BI34" i="24"/>
  <c r="H151" i="24"/>
  <c r="BJ42" i="21"/>
  <c r="BJ133" i="21" s="1"/>
  <c r="BE136" i="24"/>
  <c r="BM73" i="21"/>
  <c r="BO73" i="21" s="1"/>
  <c r="BO34" i="22"/>
  <c r="BK28" i="24"/>
  <c r="BK132" i="24" s="1"/>
  <c r="BM25" i="21"/>
  <c r="BM75" i="22"/>
  <c r="BO75" i="22" s="1"/>
  <c r="AT136" i="22"/>
  <c r="BM75" i="21"/>
  <c r="BO75" i="21" s="1"/>
  <c r="BH25" i="24"/>
  <c r="G146" i="24"/>
  <c r="BK138" i="21"/>
  <c r="BJ45" i="24"/>
  <c r="AT133" i="24"/>
  <c r="BM39" i="23"/>
  <c r="BO39" i="23" s="1"/>
  <c r="BH38" i="23"/>
  <c r="BM39" i="21"/>
  <c r="BO39" i="21" s="1"/>
  <c r="BH38" i="21"/>
  <c r="H178" i="25"/>
  <c r="I172" i="25"/>
  <c r="I178" i="25" s="1"/>
  <c r="BM30" i="22"/>
  <c r="BO30" i="22" s="1"/>
  <c r="BH29" i="22"/>
  <c r="H180" i="25"/>
  <c r="I180" i="25" s="1"/>
  <c r="BM22" i="22"/>
  <c r="BO22" i="22" s="1"/>
  <c r="BH20" i="22"/>
  <c r="BM116" i="21"/>
  <c r="BF136" i="24"/>
  <c r="BM22" i="21"/>
  <c r="BO22" i="21" s="1"/>
  <c r="I152" i="21"/>
  <c r="I144" i="22"/>
  <c r="I145" i="23"/>
  <c r="I152" i="23"/>
  <c r="BM96" i="21"/>
  <c r="BJ94" i="24"/>
  <c r="BJ135" i="24" s="1"/>
  <c r="AA28" i="25"/>
  <c r="BI38" i="21"/>
  <c r="BM96" i="23"/>
  <c r="BM33" i="22"/>
  <c r="BO33" i="22" s="1"/>
  <c r="BH32" i="22"/>
  <c r="W136" i="25"/>
  <c r="BM40" i="21"/>
  <c r="BO40" i="21" s="1"/>
  <c r="BL28" i="21"/>
  <c r="BL132" i="21" s="1"/>
  <c r="BH29" i="21"/>
  <c r="BM30" i="21"/>
  <c r="BO30" i="21" s="1"/>
  <c r="BM72" i="21"/>
  <c r="BO72" i="21" s="1"/>
  <c r="BH71" i="21"/>
  <c r="BM73" i="23"/>
  <c r="BO73" i="23" s="1"/>
  <c r="BM96" i="22"/>
  <c r="BL136" i="24"/>
  <c r="BL138" i="24"/>
  <c r="I149" i="22"/>
  <c r="H148" i="22"/>
  <c r="I148" i="22" s="1"/>
  <c r="BM41" i="22"/>
  <c r="BO41" i="22" s="1"/>
  <c r="AA70" i="25"/>
  <c r="AC71" i="25"/>
  <c r="BH71" i="23"/>
  <c r="BM72" i="23"/>
  <c r="BO72" i="23" s="1"/>
  <c r="BK16" i="24"/>
  <c r="BK131" i="24" s="1"/>
  <c r="I153" i="21"/>
  <c r="BH71" i="22"/>
  <c r="BM72" i="22"/>
  <c r="BO72" i="22" s="1"/>
  <c r="I159" i="23"/>
  <c r="BH38" i="22"/>
  <c r="BM40" i="23"/>
  <c r="BO40" i="23" s="1"/>
  <c r="BF138" i="21"/>
  <c r="BK138" i="22"/>
  <c r="BM18" i="21"/>
  <c r="BO18" i="21" s="1"/>
  <c r="AA42" i="25"/>
  <c r="AC43" i="25"/>
  <c r="BM33" i="21"/>
  <c r="BO33" i="21" s="1"/>
  <c r="BH32" i="21"/>
  <c r="I153" i="23"/>
  <c r="BH17" i="22"/>
  <c r="BM18" i="22"/>
  <c r="BO18" i="22" s="1"/>
  <c r="BM43" i="21"/>
  <c r="I144" i="21"/>
  <c r="BI31" i="24"/>
  <c r="H150" i="24"/>
  <c r="I150" i="24" s="1"/>
  <c r="AP132" i="24"/>
  <c r="BH29" i="23"/>
  <c r="BM30" i="23"/>
  <c r="BO30" i="23" s="1"/>
  <c r="BJ94" i="21"/>
  <c r="BJ135" i="21" s="1"/>
  <c r="I160" i="21"/>
  <c r="BM49" i="22"/>
  <c r="BO49" i="22" s="1"/>
  <c r="BM49" i="21"/>
  <c r="BO49" i="21" s="1"/>
  <c r="BL16" i="23"/>
  <c r="BL131" i="23" s="1"/>
  <c r="BM116" i="22"/>
  <c r="I150" i="23"/>
  <c r="AA94" i="25"/>
  <c r="AC95" i="25"/>
  <c r="BH32" i="23"/>
  <c r="BM33" i="23"/>
  <c r="BO33" i="23" s="1"/>
  <c r="AA16" i="25"/>
  <c r="AC17" i="25"/>
  <c r="BK138" i="23"/>
  <c r="BI38" i="23"/>
  <c r="BI28" i="22" l="1"/>
  <c r="BI132" i="22" s="1"/>
  <c r="BM32" i="22"/>
  <c r="BH28" i="24"/>
  <c r="BH132" i="24" s="1"/>
  <c r="BF136" i="21"/>
  <c r="J27" i="24"/>
  <c r="AR27" i="24" s="1"/>
  <c r="AR27" i="21"/>
  <c r="BM38" i="24"/>
  <c r="K27" i="24"/>
  <c r="AS27" i="24" s="1"/>
  <c r="AS27" i="21"/>
  <c r="BM32" i="21"/>
  <c r="BI28" i="21"/>
  <c r="BI132" i="21" s="1"/>
  <c r="I151" i="21"/>
  <c r="BE136" i="21"/>
  <c r="BJ20" i="24"/>
  <c r="BM24" i="21"/>
  <c r="BF136" i="22"/>
  <c r="I149" i="21"/>
  <c r="I151" i="22"/>
  <c r="BM38" i="22"/>
  <c r="BL136" i="21"/>
  <c r="BI20" i="22"/>
  <c r="BI16" i="22" s="1"/>
  <c r="BI131" i="22" s="1"/>
  <c r="BI138" i="22" s="1"/>
  <c r="BJ20" i="21"/>
  <c r="BJ16" i="21" s="1"/>
  <c r="BJ131" i="21" s="1"/>
  <c r="BJ139" i="21" s="1"/>
  <c r="BM139" i="21" s="1"/>
  <c r="BO139" i="21" s="1"/>
  <c r="BR139" i="21" s="1"/>
  <c r="I146" i="24"/>
  <c r="BM25" i="24"/>
  <c r="I167" i="25"/>
  <c r="BM71" i="24"/>
  <c r="I151" i="24"/>
  <c r="BI28" i="23"/>
  <c r="BI132" i="23" s="1"/>
  <c r="BF136" i="23"/>
  <c r="BM32" i="23"/>
  <c r="BL136" i="22"/>
  <c r="BM34" i="24"/>
  <c r="BO34" i="24" s="1"/>
  <c r="BI32" i="24"/>
  <c r="BM32" i="24" s="1"/>
  <c r="AA132" i="25"/>
  <c r="AC28" i="25"/>
  <c r="AC132" i="25" s="1"/>
  <c r="BM38" i="23"/>
  <c r="BM31" i="24"/>
  <c r="BO31" i="24" s="1"/>
  <c r="BI29" i="24"/>
  <c r="BM29" i="21"/>
  <c r="BH28" i="21"/>
  <c r="BL136" i="23"/>
  <c r="BL138" i="23"/>
  <c r="AC70" i="25"/>
  <c r="AC134" i="25" s="1"/>
  <c r="AA134" i="25"/>
  <c r="AA135" i="25"/>
  <c r="AC94" i="25"/>
  <c r="AC135" i="25" s="1"/>
  <c r="BM17" i="22"/>
  <c r="BH16" i="22"/>
  <c r="BK138" i="24"/>
  <c r="AA131" i="25"/>
  <c r="AC16" i="25"/>
  <c r="AC131" i="25" s="1"/>
  <c r="AC42" i="25"/>
  <c r="AC133" i="25" s="1"/>
  <c r="AA133" i="25"/>
  <c r="BI138" i="23"/>
  <c r="BM45" i="24"/>
  <c r="BJ43" i="24"/>
  <c r="BM29" i="23"/>
  <c r="BH28" i="23"/>
  <c r="BM71" i="22"/>
  <c r="BM71" i="21"/>
  <c r="BM38" i="21"/>
  <c r="BJ139" i="22"/>
  <c r="BM139" i="22" s="1"/>
  <c r="BJ136" i="22"/>
  <c r="BM71" i="23"/>
  <c r="BM29" i="22"/>
  <c r="BH28" i="22"/>
  <c r="BI27" i="21" l="1"/>
  <c r="BI20" i="21"/>
  <c r="BI16" i="21" s="1"/>
  <c r="BI131" i="21" s="1"/>
  <c r="BI138" i="21" s="1"/>
  <c r="BI27" i="24"/>
  <c r="H147" i="24"/>
  <c r="H147" i="21"/>
  <c r="BJ136" i="21"/>
  <c r="BM20" i="22"/>
  <c r="AC136" i="25"/>
  <c r="BH132" i="23"/>
  <c r="BM28" i="23"/>
  <c r="BM132" i="23" s="1"/>
  <c r="J10" i="14" s="1"/>
  <c r="AA136" i="25"/>
  <c r="BI28" i="24"/>
  <c r="BM29" i="24"/>
  <c r="BJ42" i="24"/>
  <c r="BM43" i="24"/>
  <c r="BO139" i="22"/>
  <c r="BR139" i="22" s="1"/>
  <c r="BH132" i="22"/>
  <c r="BM28" i="22"/>
  <c r="BM132" i="22" s="1"/>
  <c r="J10" i="13" s="1"/>
  <c r="BH131" i="22"/>
  <c r="BM16" i="22"/>
  <c r="BM131" i="22" s="1"/>
  <c r="J9" i="13" s="1"/>
  <c r="BH132" i="21"/>
  <c r="BM28" i="21"/>
  <c r="BM132" i="21" s="1"/>
  <c r="N31" i="4" s="1"/>
  <c r="BI20" i="24" l="1"/>
  <c r="BI16" i="24" s="1"/>
  <c r="BI131" i="24" s="1"/>
  <c r="BI138" i="24" s="1"/>
  <c r="BJ133" i="24"/>
  <c r="BI132" i="24"/>
  <c r="BM28" i="24"/>
  <c r="BM132" i="24" s="1"/>
  <c r="BO132" i="23"/>
  <c r="BR132" i="23" s="1"/>
  <c r="BO131" i="22"/>
  <c r="BR131" i="22" s="1"/>
  <c r="BH138" i="22"/>
  <c r="BM138" i="22" s="1"/>
  <c r="BO132" i="22"/>
  <c r="BR132" i="22" s="1"/>
  <c r="BT132" i="23"/>
  <c r="BO132" i="21"/>
  <c r="BR132" i="21" s="1"/>
  <c r="BM143" i="22" l="1"/>
  <c r="N41" i="4"/>
  <c r="BM143" i="23"/>
  <c r="BM143" i="21"/>
  <c r="BO138" i="22"/>
  <c r="BR138" i="22" s="1"/>
  <c r="BU132" i="23"/>
  <c r="BO132" i="24"/>
  <c r="BR132" i="24" s="1"/>
  <c r="N231" i="17" l="1"/>
  <c r="M227" i="17"/>
  <c r="M226" i="17"/>
  <c r="M225" i="17"/>
  <c r="M224" i="17"/>
  <c r="N238" i="17" l="1"/>
  <c r="Q238" i="17" s="1"/>
  <c r="M202" i="17"/>
  <c r="M201" i="17"/>
  <c r="M200" i="17"/>
  <c r="M199" i="17"/>
  <c r="M198" i="17"/>
  <c r="M178" i="17"/>
  <c r="M177" i="17"/>
  <c r="M176" i="17"/>
  <c r="M175" i="17"/>
  <c r="M174" i="17"/>
  <c r="M170" i="17"/>
  <c r="M169" i="17"/>
  <c r="M168" i="17"/>
  <c r="M167" i="17"/>
  <c r="M166" i="17"/>
  <c r="M162" i="17"/>
  <c r="M161" i="17"/>
  <c r="M160" i="17"/>
  <c r="M159" i="17"/>
  <c r="M158" i="17"/>
  <c r="M146" i="17"/>
  <c r="M145" i="17"/>
  <c r="M144" i="17"/>
  <c r="M143" i="17"/>
  <c r="M142" i="17"/>
  <c r="Q241" i="17"/>
  <c r="M241" i="17"/>
  <c r="H241" i="17"/>
  <c r="T241" i="17" s="1"/>
  <c r="H101" i="9" s="1"/>
  <c r="G241" i="17"/>
  <c r="S241" i="17" s="1"/>
  <c r="H101" i="8" s="1"/>
  <c r="F241" i="17"/>
  <c r="R241" i="17" s="1"/>
  <c r="H101" i="2" s="1"/>
  <c r="Z74" i="20" s="1"/>
  <c r="Q240" i="17"/>
  <c r="M240" i="17"/>
  <c r="H240" i="17"/>
  <c r="T240" i="17" s="1"/>
  <c r="T101" i="9" s="1"/>
  <c r="G240" i="17"/>
  <c r="S240" i="17" s="1"/>
  <c r="T101" i="8" s="1"/>
  <c r="F240" i="17"/>
  <c r="Q239" i="17"/>
  <c r="M239" i="17"/>
  <c r="H239" i="17"/>
  <c r="T239" i="17" s="1"/>
  <c r="S101" i="9" s="1"/>
  <c r="G239" i="17"/>
  <c r="S239" i="17" s="1"/>
  <c r="S101" i="8" s="1"/>
  <c r="F239" i="17"/>
  <c r="M238" i="17"/>
  <c r="H238" i="17"/>
  <c r="T238" i="17" s="1"/>
  <c r="G101" i="9" s="1"/>
  <c r="G238" i="17"/>
  <c r="S238" i="17" s="1"/>
  <c r="G101" i="8" s="1"/>
  <c r="F238" i="17"/>
  <c r="BA101" i="9" l="1"/>
  <c r="BR74" i="20"/>
  <c r="AP101" i="9"/>
  <c r="BI101" i="9" s="1"/>
  <c r="BN74" i="20"/>
  <c r="BB101" i="9"/>
  <c r="BS74" i="20"/>
  <c r="AO101" i="9"/>
  <c r="BH101" i="9" s="1"/>
  <c r="BM74" i="20"/>
  <c r="BB101" i="8"/>
  <c r="AY74" i="20"/>
  <c r="BA101" i="8"/>
  <c r="AX74" i="20"/>
  <c r="AP101" i="8"/>
  <c r="BI101" i="8" s="1"/>
  <c r="AT74" i="20"/>
  <c r="AO101" i="8"/>
  <c r="BH101" i="8" s="1"/>
  <c r="AS74" i="20"/>
  <c r="AP101" i="2"/>
  <c r="BI101" i="2" s="1"/>
  <c r="H101" i="16"/>
  <c r="I240" i="17"/>
  <c r="I239" i="17"/>
  <c r="I238" i="17"/>
  <c r="I241" i="17"/>
  <c r="R239" i="17"/>
  <c r="R240" i="17"/>
  <c r="U241" i="17"/>
  <c r="R238" i="17"/>
  <c r="P50" i="3"/>
  <c r="AG50" i="24" l="1"/>
  <c r="AG50" i="23"/>
  <c r="AG50" i="21"/>
  <c r="AG50" i="22"/>
  <c r="BK101" i="9"/>
  <c r="BM101" i="9" s="1"/>
  <c r="BO101" i="9" s="1"/>
  <c r="BK101" i="8"/>
  <c r="BM101" i="8" s="1"/>
  <c r="AP101" i="16"/>
  <c r="BI101" i="16" s="1"/>
  <c r="F74" i="20"/>
  <c r="U240" i="17"/>
  <c r="T101" i="2"/>
  <c r="AE74" i="20" s="1"/>
  <c r="U239" i="17"/>
  <c r="S101" i="2"/>
  <c r="AD74" i="20" s="1"/>
  <c r="U238" i="17"/>
  <c r="G101" i="2"/>
  <c r="Y74" i="20" s="1"/>
  <c r="BO101" i="8" l="1"/>
  <c r="BV101" i="8"/>
  <c r="BW101" i="8" s="1"/>
  <c r="AX50" i="21"/>
  <c r="AG133" i="21"/>
  <c r="AG136" i="21" s="1"/>
  <c r="AX50" i="23"/>
  <c r="AG133" i="23"/>
  <c r="AG136" i="23" s="1"/>
  <c r="AX50" i="22"/>
  <c r="AG133" i="22"/>
  <c r="AG136" i="22" s="1"/>
  <c r="AX50" i="24"/>
  <c r="AG133" i="24"/>
  <c r="AG136" i="24" s="1"/>
  <c r="S101" i="16"/>
  <c r="BA101" i="2"/>
  <c r="BB101" i="2"/>
  <c r="T101" i="16"/>
  <c r="AO101" i="2"/>
  <c r="BH101" i="2" s="1"/>
  <c r="G101" i="16"/>
  <c r="G156" i="24" l="1"/>
  <c r="I156" i="24" s="1"/>
  <c r="BK50" i="24"/>
  <c r="BM50" i="24" s="1"/>
  <c r="BO50" i="24" s="1"/>
  <c r="BK50" i="22"/>
  <c r="BM50" i="22" s="1"/>
  <c r="BO50" i="22" s="1"/>
  <c r="BK50" i="23"/>
  <c r="BM50" i="23" s="1"/>
  <c r="BO50" i="23" s="1"/>
  <c r="BK50" i="21"/>
  <c r="BM50" i="21" s="1"/>
  <c r="BO50" i="21" s="1"/>
  <c r="BB101" i="16"/>
  <c r="K74" i="20"/>
  <c r="BA101" i="16"/>
  <c r="J74" i="20"/>
  <c r="AO101" i="16"/>
  <c r="BH101" i="16" s="1"/>
  <c r="E74" i="20"/>
  <c r="BK101" i="2"/>
  <c r="BM101" i="2" s="1"/>
  <c r="BO101" i="2" s="1"/>
  <c r="BK101" i="16" l="1"/>
  <c r="BM101" i="16" s="1"/>
  <c r="BO101" i="16" s="1"/>
  <c r="H99" i="17"/>
  <c r="T99" i="17" s="1"/>
  <c r="S66" i="9" s="1"/>
  <c r="G99" i="17"/>
  <c r="F99" i="17"/>
  <c r="R99" i="17" s="1"/>
  <c r="S66" i="2" s="1"/>
  <c r="H67" i="17"/>
  <c r="T67" i="17" s="1"/>
  <c r="S62" i="9" s="1"/>
  <c r="G67" i="17"/>
  <c r="S67" i="17" s="1"/>
  <c r="S62" i="8" s="1"/>
  <c r="F67" i="17"/>
  <c r="R67" i="17" s="1"/>
  <c r="S62" i="2" s="1"/>
  <c r="H11" i="17"/>
  <c r="T11" i="17" s="1"/>
  <c r="S55" i="9" s="1"/>
  <c r="G11" i="17"/>
  <c r="S11" i="17" s="1"/>
  <c r="S55" i="8" s="1"/>
  <c r="F11" i="17"/>
  <c r="Q102" i="17"/>
  <c r="M102" i="17"/>
  <c r="H102" i="17"/>
  <c r="T102" i="17" s="1"/>
  <c r="K66" i="9" s="1"/>
  <c r="G102" i="17"/>
  <c r="S102" i="17" s="1"/>
  <c r="K66" i="8" s="1"/>
  <c r="F102" i="17"/>
  <c r="R102" i="17" s="1"/>
  <c r="K66" i="2" s="1"/>
  <c r="Q101" i="17"/>
  <c r="M101" i="17"/>
  <c r="H101" i="17"/>
  <c r="T101" i="17" s="1"/>
  <c r="I66" i="9" s="1"/>
  <c r="G101" i="17"/>
  <c r="S101" i="17" s="1"/>
  <c r="I66" i="8" s="1"/>
  <c r="F101" i="17"/>
  <c r="R101" i="17" s="1"/>
  <c r="I66" i="2" s="1"/>
  <c r="M100" i="17"/>
  <c r="H100" i="17"/>
  <c r="G100" i="17"/>
  <c r="S100" i="17" s="1"/>
  <c r="T66" i="8" s="1"/>
  <c r="F100" i="17"/>
  <c r="Q99" i="17"/>
  <c r="M99" i="17"/>
  <c r="S99" i="17"/>
  <c r="S66" i="8" s="1"/>
  <c r="M98" i="17"/>
  <c r="H98" i="17"/>
  <c r="T98" i="17" s="1"/>
  <c r="G66" i="9" s="1"/>
  <c r="G98" i="17"/>
  <c r="S98" i="17" s="1"/>
  <c r="G66" i="8" s="1"/>
  <c r="F98" i="17"/>
  <c r="Q70" i="17"/>
  <c r="M70" i="17"/>
  <c r="H70" i="17"/>
  <c r="T70" i="17" s="1"/>
  <c r="K62" i="9" s="1"/>
  <c r="G70" i="17"/>
  <c r="S70" i="17" s="1"/>
  <c r="K62" i="8" s="1"/>
  <c r="F70" i="17"/>
  <c r="R70" i="17" s="1"/>
  <c r="K62" i="2" s="1"/>
  <c r="Q69" i="17"/>
  <c r="M69" i="17"/>
  <c r="H69" i="17"/>
  <c r="T69" i="17" s="1"/>
  <c r="I62" i="9" s="1"/>
  <c r="G69" i="17"/>
  <c r="S69" i="17" s="1"/>
  <c r="I62" i="8" s="1"/>
  <c r="F69" i="17"/>
  <c r="R69" i="17" s="1"/>
  <c r="I62" i="2" s="1"/>
  <c r="M68" i="17"/>
  <c r="H68" i="17"/>
  <c r="G68" i="17"/>
  <c r="S68" i="17" s="1"/>
  <c r="T62" i="8" s="1"/>
  <c r="F68" i="17"/>
  <c r="N68" i="17" s="1"/>
  <c r="Q67" i="17"/>
  <c r="M67" i="17"/>
  <c r="M66" i="17"/>
  <c r="H66" i="17"/>
  <c r="T66" i="17" s="1"/>
  <c r="G62" i="9" s="1"/>
  <c r="G66" i="17"/>
  <c r="S66" i="17" s="1"/>
  <c r="G62" i="8" s="1"/>
  <c r="F66" i="17"/>
  <c r="Q14" i="17"/>
  <c r="M14" i="17"/>
  <c r="H14" i="17"/>
  <c r="T14" i="17" s="1"/>
  <c r="G14" i="17"/>
  <c r="S14" i="17" s="1"/>
  <c r="F14" i="17"/>
  <c r="R14" i="17" s="1"/>
  <c r="Q13" i="17"/>
  <c r="M13" i="17"/>
  <c r="H13" i="17"/>
  <c r="T13" i="17" s="1"/>
  <c r="I55" i="9" s="1"/>
  <c r="G13" i="17"/>
  <c r="F13" i="17"/>
  <c r="R13" i="17" s="1"/>
  <c r="I55" i="2" s="1"/>
  <c r="M12" i="17"/>
  <c r="H12" i="17"/>
  <c r="G12" i="17"/>
  <c r="S12" i="17" s="1"/>
  <c r="T55" i="8" s="1"/>
  <c r="F12" i="17"/>
  <c r="N12" i="17" s="1"/>
  <c r="Q12" i="17" s="1"/>
  <c r="Q11" i="17"/>
  <c r="M11" i="17"/>
  <c r="M10" i="17"/>
  <c r="H10" i="17"/>
  <c r="T10" i="17" s="1"/>
  <c r="G55" i="9" s="1"/>
  <c r="G10" i="17"/>
  <c r="S10" i="17" s="1"/>
  <c r="G55" i="8" s="1"/>
  <c r="F10" i="17"/>
  <c r="AS39" i="20" l="1"/>
  <c r="AO55" i="8"/>
  <c r="AS48" i="20"/>
  <c r="AO66" i="8"/>
  <c r="BH66" i="8" s="1"/>
  <c r="AW48" i="20"/>
  <c r="AS66" i="8"/>
  <c r="AX45" i="20"/>
  <c r="BA62" i="8"/>
  <c r="BR39" i="20"/>
  <c r="BA55" i="9"/>
  <c r="AD45" i="20"/>
  <c r="BA62" i="2"/>
  <c r="BM48" i="20"/>
  <c r="AO66" i="9"/>
  <c r="BH66" i="9" s="1"/>
  <c r="BQ48" i="20"/>
  <c r="AS66" i="9"/>
  <c r="BR45" i="20"/>
  <c r="BA62" i="9"/>
  <c r="BO45" i="20"/>
  <c r="AQ62" i="9"/>
  <c r="BM39" i="20"/>
  <c r="AO55" i="9"/>
  <c r="BH55" i="9" s="1"/>
  <c r="AY45" i="20"/>
  <c r="BB62" i="8"/>
  <c r="AC45" i="20"/>
  <c r="AS62" i="2"/>
  <c r="AA48" i="20"/>
  <c r="AQ66" i="2"/>
  <c r="AD48" i="20"/>
  <c r="BA66" i="2"/>
  <c r="AC48" i="20"/>
  <c r="AS66" i="2"/>
  <c r="BO39" i="20"/>
  <c r="AQ55" i="9"/>
  <c r="AW45" i="20"/>
  <c r="AS62" i="8"/>
  <c r="AX48" i="20"/>
  <c r="BA66" i="8"/>
  <c r="AU48" i="20"/>
  <c r="AQ66" i="8"/>
  <c r="BI66" i="8" s="1"/>
  <c r="AU45" i="20"/>
  <c r="AQ62" i="8"/>
  <c r="AA39" i="20"/>
  <c r="AQ55" i="2"/>
  <c r="AS45" i="20"/>
  <c r="AO62" i="8"/>
  <c r="BH62" i="8" s="1"/>
  <c r="BQ45" i="20"/>
  <c r="AS62" i="9"/>
  <c r="BO48" i="20"/>
  <c r="AQ66" i="9"/>
  <c r="BR48" i="20"/>
  <c r="BA66" i="9"/>
  <c r="AY39" i="20"/>
  <c r="BB55" i="8"/>
  <c r="AY48" i="20"/>
  <c r="BB66" i="8"/>
  <c r="BM45" i="20"/>
  <c r="AO62" i="9"/>
  <c r="BH62" i="9" s="1"/>
  <c r="AA45" i="20"/>
  <c r="AQ62" i="2"/>
  <c r="BI62" i="2" s="1"/>
  <c r="AX39" i="20"/>
  <c r="BA55" i="8"/>
  <c r="N66" i="17"/>
  <c r="R66" i="17" s="1"/>
  <c r="K55" i="9"/>
  <c r="I62" i="16"/>
  <c r="K66" i="16"/>
  <c r="S62" i="16"/>
  <c r="K62" i="16"/>
  <c r="I66" i="16"/>
  <c r="S66" i="16"/>
  <c r="I11" i="17"/>
  <c r="K55" i="8"/>
  <c r="K55" i="2"/>
  <c r="N98" i="17"/>
  <c r="Q98" i="17" s="1"/>
  <c r="N10" i="17"/>
  <c r="R10" i="17" s="1"/>
  <c r="I100" i="17"/>
  <c r="I101" i="17"/>
  <c r="I67" i="17"/>
  <c r="N100" i="17"/>
  <c r="Q100" i="17" s="1"/>
  <c r="U101" i="17"/>
  <c r="I98" i="17"/>
  <c r="I68" i="17"/>
  <c r="U70" i="17"/>
  <c r="R11" i="17"/>
  <c r="U69" i="17"/>
  <c r="I99" i="17"/>
  <c r="Q68" i="17"/>
  <c r="R68" i="17"/>
  <c r="T62" i="2" s="1"/>
  <c r="U102" i="17"/>
  <c r="U99" i="17"/>
  <c r="I102" i="17"/>
  <c r="I66" i="17"/>
  <c r="T100" i="17"/>
  <c r="T66" i="9" s="1"/>
  <c r="I69" i="17"/>
  <c r="Q66" i="17"/>
  <c r="U67" i="17"/>
  <c r="I70" i="17"/>
  <c r="T68" i="17"/>
  <c r="T62" i="9" s="1"/>
  <c r="U14" i="17"/>
  <c r="I12" i="17"/>
  <c r="I13" i="17"/>
  <c r="I14" i="17"/>
  <c r="I10" i="17"/>
  <c r="R12" i="17"/>
  <c r="T55" i="2" s="1"/>
  <c r="T12" i="17"/>
  <c r="T55" i="9" s="1"/>
  <c r="S13" i="17"/>
  <c r="BK55" i="8" l="1"/>
  <c r="BH55" i="8"/>
  <c r="BK62" i="8"/>
  <c r="J48" i="20"/>
  <c r="BA66" i="16"/>
  <c r="BK66" i="8"/>
  <c r="BM66" i="8" s="1"/>
  <c r="BO66" i="8" s="1"/>
  <c r="BS48" i="20"/>
  <c r="BB66" i="9"/>
  <c r="BK66" i="9" s="1"/>
  <c r="G48" i="20"/>
  <c r="AQ66" i="16"/>
  <c r="AE45" i="20"/>
  <c r="BB62" i="2"/>
  <c r="BK62" i="2" s="1"/>
  <c r="I45" i="20"/>
  <c r="AS62" i="16"/>
  <c r="BI66" i="2"/>
  <c r="BI62" i="9"/>
  <c r="AW39" i="20"/>
  <c r="AS55" i="8"/>
  <c r="BS45" i="20"/>
  <c r="BB62" i="9"/>
  <c r="BK62" i="9" s="1"/>
  <c r="J45" i="20"/>
  <c r="BA62" i="16"/>
  <c r="BS39" i="20"/>
  <c r="BB55" i="9"/>
  <c r="BK55" i="9" s="1"/>
  <c r="I48" i="20"/>
  <c r="AS66" i="16"/>
  <c r="BI66" i="9"/>
  <c r="BI62" i="8"/>
  <c r="BM62" i="8" s="1"/>
  <c r="BO62" i="8" s="1"/>
  <c r="BQ39" i="20"/>
  <c r="AS55" i="9"/>
  <c r="BI55" i="9" s="1"/>
  <c r="AE39" i="20"/>
  <c r="BB55" i="2"/>
  <c r="AC39" i="20"/>
  <c r="AS55" i="2"/>
  <c r="BI55" i="2" s="1"/>
  <c r="G45" i="20"/>
  <c r="AQ62" i="16"/>
  <c r="T62" i="16"/>
  <c r="K55" i="16"/>
  <c r="U13" i="17"/>
  <c r="I55" i="8"/>
  <c r="AQ55" i="8" s="1"/>
  <c r="T55" i="16"/>
  <c r="R98" i="17"/>
  <c r="U98" i="17" s="1"/>
  <c r="U11" i="17"/>
  <c r="S55" i="2"/>
  <c r="BA55" i="2" s="1"/>
  <c r="U66" i="17"/>
  <c r="G62" i="2"/>
  <c r="AO62" i="2" s="1"/>
  <c r="BH62" i="2" s="1"/>
  <c r="U10" i="17"/>
  <c r="G55" i="2"/>
  <c r="AO55" i="2" s="1"/>
  <c r="BH55" i="2" s="1"/>
  <c r="R100" i="17"/>
  <c r="U68" i="17"/>
  <c r="Q10" i="17"/>
  <c r="U12" i="17"/>
  <c r="BI62" i="16" l="1"/>
  <c r="BK55" i="2"/>
  <c r="BM55" i="9"/>
  <c r="BO55" i="9" s="1"/>
  <c r="BM62" i="9"/>
  <c r="BO62" i="9" s="1"/>
  <c r="BM66" i="9"/>
  <c r="BO66" i="9" s="1"/>
  <c r="I39" i="20"/>
  <c r="AS55" i="16"/>
  <c r="K45" i="20"/>
  <c r="BB62" i="16"/>
  <c r="BK62" i="16" s="1"/>
  <c r="BM62" i="2"/>
  <c r="BO62" i="2" s="1"/>
  <c r="K39" i="20"/>
  <c r="BB55" i="16"/>
  <c r="BI66" i="16"/>
  <c r="BM55" i="2"/>
  <c r="BO55" i="2" s="1"/>
  <c r="BI55" i="8"/>
  <c r="BM55" i="8" s="1"/>
  <c r="BO55" i="8" s="1"/>
  <c r="I55" i="16"/>
  <c r="AU39" i="20"/>
  <c r="S55" i="16"/>
  <c r="AD39" i="20"/>
  <c r="G55" i="16"/>
  <c r="Y39" i="20"/>
  <c r="G62" i="16"/>
  <c r="Y45" i="20"/>
  <c r="G66" i="2"/>
  <c r="AO66" i="2" s="1"/>
  <c r="BH66" i="2" s="1"/>
  <c r="U100" i="17"/>
  <c r="T66" i="2"/>
  <c r="BB66" i="2" s="1"/>
  <c r="BK66" i="2" s="1"/>
  <c r="G39" i="20" l="1"/>
  <c r="AQ55" i="16"/>
  <c r="BI55" i="16" s="1"/>
  <c r="J39" i="20"/>
  <c r="BA55" i="16"/>
  <c r="BK55" i="16" s="1"/>
  <c r="BM66" i="2"/>
  <c r="BO66" i="2" s="1"/>
  <c r="E39" i="20"/>
  <c r="AO55" i="16"/>
  <c r="BH55" i="16" s="1"/>
  <c r="E45" i="20"/>
  <c r="AO62" i="16"/>
  <c r="BH62" i="16" s="1"/>
  <c r="BM62" i="16" s="1"/>
  <c r="BO62" i="16" s="1"/>
  <c r="G66" i="16"/>
  <c r="Y48" i="20"/>
  <c r="T66" i="16"/>
  <c r="AE48" i="20"/>
  <c r="H147" i="3"/>
  <c r="I147" i="3" s="1"/>
  <c r="AB27" i="3"/>
  <c r="AA27" i="3"/>
  <c r="X27" i="3"/>
  <c r="AB26" i="3"/>
  <c r="AA26" i="3"/>
  <c r="X26" i="3"/>
  <c r="AM27" i="16"/>
  <c r="BD27" i="16" s="1"/>
  <c r="AL27" i="16"/>
  <c r="BC27" i="16" s="1"/>
  <c r="AK27" i="16"/>
  <c r="BB27" i="16" s="1"/>
  <c r="AJ27" i="16"/>
  <c r="BA27" i="16" s="1"/>
  <c r="AI27" i="16"/>
  <c r="AZ27" i="16" s="1"/>
  <c r="AH27" i="16"/>
  <c r="AY27" i="16" s="1"/>
  <c r="AG27" i="16"/>
  <c r="AX27" i="16" s="1"/>
  <c r="AF27" i="16"/>
  <c r="AW27" i="16" s="1"/>
  <c r="AE27" i="16"/>
  <c r="AV27" i="16" s="1"/>
  <c r="AD27" i="16"/>
  <c r="AU27" i="16" s="1"/>
  <c r="AC27" i="16"/>
  <c r="AT27" i="16" s="1"/>
  <c r="AB27" i="16"/>
  <c r="AS27" i="16" s="1"/>
  <c r="AA27" i="16"/>
  <c r="AR27" i="16" s="1"/>
  <c r="Z27" i="16"/>
  <c r="AQ27" i="16" s="1"/>
  <c r="Y27" i="16"/>
  <c r="X27" i="16"/>
  <c r="AM26" i="16"/>
  <c r="BD26" i="16" s="1"/>
  <c r="AL26" i="16"/>
  <c r="BC26" i="16" s="1"/>
  <c r="AK26" i="16"/>
  <c r="BB26" i="16" s="1"/>
  <c r="AJ26" i="16"/>
  <c r="BA26" i="16" s="1"/>
  <c r="AI26" i="16"/>
  <c r="AZ26" i="16" s="1"/>
  <c r="AH26" i="16"/>
  <c r="AY26" i="16" s="1"/>
  <c r="AG26" i="16"/>
  <c r="AX26" i="16" s="1"/>
  <c r="AF26" i="16"/>
  <c r="AW26" i="16" s="1"/>
  <c r="AE26" i="16"/>
  <c r="AV26" i="16" s="1"/>
  <c r="AD26" i="16"/>
  <c r="AU26" i="16" s="1"/>
  <c r="AC26" i="16"/>
  <c r="AT26" i="16" s="1"/>
  <c r="AB26" i="16"/>
  <c r="AS26" i="16" s="1"/>
  <c r="AA26" i="16"/>
  <c r="AR26" i="16" s="1"/>
  <c r="Z26" i="16"/>
  <c r="AQ26" i="16" s="1"/>
  <c r="Y26" i="16"/>
  <c r="X26" i="16"/>
  <c r="AM27" i="9"/>
  <c r="BD27" i="9" s="1"/>
  <c r="AL27" i="9"/>
  <c r="BC27" i="9" s="1"/>
  <c r="AK27" i="9"/>
  <c r="BB27" i="9" s="1"/>
  <c r="AJ27" i="9"/>
  <c r="BA27" i="9" s="1"/>
  <c r="AI27" i="9"/>
  <c r="AZ27" i="9" s="1"/>
  <c r="AH27" i="9"/>
  <c r="AY27" i="9" s="1"/>
  <c r="AG27" i="9"/>
  <c r="AX27" i="9" s="1"/>
  <c r="AF27" i="9"/>
  <c r="AW27" i="9" s="1"/>
  <c r="AE27" i="9"/>
  <c r="AV27" i="9" s="1"/>
  <c r="AD27" i="9"/>
  <c r="AU27" i="9" s="1"/>
  <c r="AC27" i="9"/>
  <c r="AT27" i="9" s="1"/>
  <c r="AB27" i="9"/>
  <c r="AS27" i="9" s="1"/>
  <c r="AA27" i="9"/>
  <c r="AR27" i="9" s="1"/>
  <c r="Z27" i="9"/>
  <c r="AQ27" i="9" s="1"/>
  <c r="Y27" i="9"/>
  <c r="X27" i="9"/>
  <c r="AM26" i="9"/>
  <c r="BD26" i="9" s="1"/>
  <c r="AL26" i="9"/>
  <c r="BC26" i="9" s="1"/>
  <c r="AK26" i="9"/>
  <c r="BB26" i="9" s="1"/>
  <c r="AJ26" i="9"/>
  <c r="BA26" i="9" s="1"/>
  <c r="AI26" i="9"/>
  <c r="AZ26" i="9" s="1"/>
  <c r="AH26" i="9"/>
  <c r="AY26" i="9" s="1"/>
  <c r="AG26" i="9"/>
  <c r="AX26" i="9" s="1"/>
  <c r="AF26" i="9"/>
  <c r="AW26" i="9" s="1"/>
  <c r="AE26" i="9"/>
  <c r="AV26" i="9" s="1"/>
  <c r="AD26" i="9"/>
  <c r="AU26" i="9" s="1"/>
  <c r="AC26" i="9"/>
  <c r="AT26" i="9" s="1"/>
  <c r="AB26" i="9"/>
  <c r="AS26" i="9" s="1"/>
  <c r="AA26" i="9"/>
  <c r="AR26" i="9" s="1"/>
  <c r="Z26" i="9"/>
  <c r="AQ26" i="9" s="1"/>
  <c r="Y26" i="9"/>
  <c r="X26" i="9"/>
  <c r="AM27" i="8"/>
  <c r="BD27" i="8" s="1"/>
  <c r="AL27" i="8"/>
  <c r="BC27" i="8" s="1"/>
  <c r="AK27" i="8"/>
  <c r="BB27" i="8" s="1"/>
  <c r="AJ27" i="8"/>
  <c r="BA27" i="8" s="1"/>
  <c r="AI27" i="8"/>
  <c r="AZ27" i="8" s="1"/>
  <c r="AH27" i="8"/>
  <c r="AY27" i="8" s="1"/>
  <c r="AG27" i="8"/>
  <c r="AX27" i="8" s="1"/>
  <c r="AF27" i="8"/>
  <c r="AW27" i="8" s="1"/>
  <c r="AE27" i="8"/>
  <c r="AV27" i="8" s="1"/>
  <c r="AD27" i="8"/>
  <c r="AU27" i="8" s="1"/>
  <c r="AC27" i="8"/>
  <c r="AT27" i="8" s="1"/>
  <c r="AB27" i="8"/>
  <c r="AS27" i="8" s="1"/>
  <c r="AA27" i="8"/>
  <c r="AR27" i="8" s="1"/>
  <c r="Z27" i="8"/>
  <c r="AQ27" i="8" s="1"/>
  <c r="Y27" i="8"/>
  <c r="X27" i="8"/>
  <c r="AM26" i="8"/>
  <c r="BD26" i="8" s="1"/>
  <c r="AL26" i="8"/>
  <c r="BC26" i="8" s="1"/>
  <c r="AK26" i="8"/>
  <c r="BB26" i="8" s="1"/>
  <c r="AJ26" i="8"/>
  <c r="BA26" i="8" s="1"/>
  <c r="AI26" i="8"/>
  <c r="AZ26" i="8" s="1"/>
  <c r="AH26" i="8"/>
  <c r="AY26" i="8" s="1"/>
  <c r="AG26" i="8"/>
  <c r="AX26" i="8" s="1"/>
  <c r="AF26" i="8"/>
  <c r="AW26" i="8" s="1"/>
  <c r="AE26" i="8"/>
  <c r="AV26" i="8" s="1"/>
  <c r="AD26" i="8"/>
  <c r="AU26" i="8" s="1"/>
  <c r="AC26" i="8"/>
  <c r="AT26" i="8" s="1"/>
  <c r="AB26" i="8"/>
  <c r="AS26" i="8" s="1"/>
  <c r="AA26" i="8"/>
  <c r="AR26" i="8" s="1"/>
  <c r="Z26" i="8"/>
  <c r="AQ26" i="8" s="1"/>
  <c r="Y26" i="8"/>
  <c r="X26" i="8"/>
  <c r="AM27" i="2"/>
  <c r="BD27" i="2" s="1"/>
  <c r="AL27" i="2"/>
  <c r="BC27" i="2" s="1"/>
  <c r="AK27" i="2"/>
  <c r="BB27" i="2" s="1"/>
  <c r="AJ27" i="2"/>
  <c r="BA27" i="2" s="1"/>
  <c r="AI27" i="2"/>
  <c r="AZ27" i="2" s="1"/>
  <c r="AH27" i="2"/>
  <c r="AY27" i="2" s="1"/>
  <c r="AG27" i="2"/>
  <c r="AX27" i="2" s="1"/>
  <c r="AF27" i="2"/>
  <c r="AW27" i="2" s="1"/>
  <c r="AE27" i="2"/>
  <c r="AV27" i="2" s="1"/>
  <c r="AD27" i="2"/>
  <c r="AU27" i="2" s="1"/>
  <c r="AC27" i="2"/>
  <c r="AT27" i="2" s="1"/>
  <c r="AB27" i="2"/>
  <c r="AS27" i="2" s="1"/>
  <c r="AA27" i="2"/>
  <c r="AR27" i="2" s="1"/>
  <c r="Z27" i="2"/>
  <c r="AQ27" i="2" s="1"/>
  <c r="Y27" i="2"/>
  <c r="X27" i="2"/>
  <c r="AM26" i="2"/>
  <c r="BD26" i="2" s="1"/>
  <c r="AL26" i="2"/>
  <c r="BC26" i="2" s="1"/>
  <c r="AK26" i="2"/>
  <c r="BB26" i="2" s="1"/>
  <c r="AJ26" i="2"/>
  <c r="BA26" i="2" s="1"/>
  <c r="AI26" i="2"/>
  <c r="AZ26" i="2" s="1"/>
  <c r="AH26" i="2"/>
  <c r="AY26" i="2" s="1"/>
  <c r="AG26" i="2"/>
  <c r="AX26" i="2" s="1"/>
  <c r="AF26" i="2"/>
  <c r="AW26" i="2" s="1"/>
  <c r="AE26" i="2"/>
  <c r="AV26" i="2" s="1"/>
  <c r="AD26" i="2"/>
  <c r="AU26" i="2" s="1"/>
  <c r="AC26" i="2"/>
  <c r="AT26" i="2" s="1"/>
  <c r="AB26" i="2"/>
  <c r="AS26" i="2" s="1"/>
  <c r="AA26" i="2"/>
  <c r="AR26" i="2" s="1"/>
  <c r="Z26" i="2"/>
  <c r="AQ26" i="2" s="1"/>
  <c r="Y26" i="2"/>
  <c r="AP26" i="2" s="1"/>
  <c r="X26" i="2"/>
  <c r="C17" i="20"/>
  <c r="D27" i="9"/>
  <c r="D26" i="9"/>
  <c r="D27" i="8"/>
  <c r="D26" i="8"/>
  <c r="D27" i="2"/>
  <c r="D26" i="2"/>
  <c r="E36" i="14"/>
  <c r="F36" i="14"/>
  <c r="E30" i="14"/>
  <c r="F30" i="14"/>
  <c r="D36" i="14"/>
  <c r="D30" i="14"/>
  <c r="E12" i="14"/>
  <c r="E12" i="13"/>
  <c r="F45" i="13"/>
  <c r="E45" i="13"/>
  <c r="D15" i="14"/>
  <c r="D14" i="14"/>
  <c r="D34" i="13"/>
  <c r="D35" i="13"/>
  <c r="D36" i="13"/>
  <c r="D37" i="13"/>
  <c r="D38" i="13"/>
  <c r="D39" i="13"/>
  <c r="D40" i="13"/>
  <c r="D41" i="13"/>
  <c r="D42" i="13"/>
  <c r="D43" i="13"/>
  <c r="D44" i="13"/>
  <c r="D33" i="13"/>
  <c r="D12" i="14"/>
  <c r="D12" i="13"/>
  <c r="C43" i="4"/>
  <c r="J17" i="4" s="1"/>
  <c r="I17" i="4"/>
  <c r="H17" i="4"/>
  <c r="I18" i="4"/>
  <c r="H18" i="4"/>
  <c r="H16" i="4"/>
  <c r="C49" i="4"/>
  <c r="L12" i="10"/>
  <c r="F22" i="13" s="1"/>
  <c r="H12" i="10"/>
  <c r="H15" i="4"/>
  <c r="BM55" i="16" l="1"/>
  <c r="BO55" i="16" s="1"/>
  <c r="K48" i="20"/>
  <c r="BB66" i="16"/>
  <c r="BK66" i="16" s="1"/>
  <c r="E48" i="20"/>
  <c r="AO66" i="16"/>
  <c r="BH66" i="16" s="1"/>
  <c r="F22" i="14"/>
  <c r="J25" i="4"/>
  <c r="AC26" i="3"/>
  <c r="BL27" i="2"/>
  <c r="BL26" i="8"/>
  <c r="BL27" i="8"/>
  <c r="BL26" i="16"/>
  <c r="BL27" i="16"/>
  <c r="AC27" i="3"/>
  <c r="BF26" i="16"/>
  <c r="BK27" i="16"/>
  <c r="BF27" i="16"/>
  <c r="BO27" i="16" s="1"/>
  <c r="BK26" i="16"/>
  <c r="BL26" i="9"/>
  <c r="BL27" i="9"/>
  <c r="BF26" i="9"/>
  <c r="BK26" i="9"/>
  <c r="BF27" i="9"/>
  <c r="BO27" i="9" s="1"/>
  <c r="BK27" i="9"/>
  <c r="BK26" i="8"/>
  <c r="BK27" i="8"/>
  <c r="BF27" i="8"/>
  <c r="BF26" i="8"/>
  <c r="BJ26" i="2"/>
  <c r="BI26" i="2"/>
  <c r="BK26" i="2"/>
  <c r="BF27" i="2"/>
  <c r="BO27" i="2" s="1"/>
  <c r="BK27" i="2"/>
  <c r="BJ26" i="16"/>
  <c r="BJ27" i="16"/>
  <c r="AP27" i="16"/>
  <c r="BI27" i="16" s="1"/>
  <c r="AP26" i="16"/>
  <c r="BJ26" i="9"/>
  <c r="BJ27" i="9"/>
  <c r="AP27" i="9"/>
  <c r="BI27" i="9" s="1"/>
  <c r="AP26" i="9"/>
  <c r="BJ26" i="8"/>
  <c r="BJ27" i="8"/>
  <c r="AP26" i="8"/>
  <c r="AP27" i="8"/>
  <c r="BI27" i="8" s="1"/>
  <c r="BL26" i="2"/>
  <c r="BJ27" i="2"/>
  <c r="AP27" i="2"/>
  <c r="BI27" i="2" s="1"/>
  <c r="BF26" i="2"/>
  <c r="BM66" i="16" l="1"/>
  <c r="BO66" i="16" s="1"/>
  <c r="H147" i="2"/>
  <c r="BI26" i="16"/>
  <c r="H147" i="16"/>
  <c r="BI26" i="9"/>
  <c r="H147" i="9"/>
  <c r="BI26" i="8"/>
  <c r="H147" i="8"/>
  <c r="H12" i="4" l="1"/>
  <c r="I12" i="4" l="1"/>
  <c r="L20" i="10" l="1"/>
  <c r="I20" i="10"/>
  <c r="BK33" i="20" l="1"/>
  <c r="BK32" i="20"/>
  <c r="BK29" i="20"/>
  <c r="BK28" i="20"/>
  <c r="BK27" i="20"/>
  <c r="BK25" i="20"/>
  <c r="BK24" i="20"/>
  <c r="BK23" i="20"/>
  <c r="BK21" i="20"/>
  <c r="BK20" i="20"/>
  <c r="BK16" i="20"/>
  <c r="BK15" i="20"/>
  <c r="BK13" i="20"/>
  <c r="AQ33" i="20"/>
  <c r="AQ32" i="20"/>
  <c r="AQ29" i="20"/>
  <c r="AQ28" i="20"/>
  <c r="AQ27" i="20"/>
  <c r="AQ25" i="20"/>
  <c r="AQ24" i="20"/>
  <c r="AQ23" i="20"/>
  <c r="AQ21" i="20"/>
  <c r="AQ20" i="20"/>
  <c r="AQ16" i="20"/>
  <c r="AQ15" i="20"/>
  <c r="AQ13" i="20"/>
  <c r="W33" i="20"/>
  <c r="W32" i="20"/>
  <c r="W29" i="20"/>
  <c r="W28" i="20"/>
  <c r="W27" i="20"/>
  <c r="W25" i="20"/>
  <c r="W24" i="20"/>
  <c r="W23" i="20"/>
  <c r="W21" i="20"/>
  <c r="W20" i="20"/>
  <c r="W16" i="20"/>
  <c r="W15" i="20"/>
  <c r="W13" i="20"/>
  <c r="X142" i="11" l="1"/>
  <c r="W142" i="11"/>
  <c r="V142" i="11"/>
  <c r="X141" i="11"/>
  <c r="W141" i="11"/>
  <c r="V141" i="11"/>
  <c r="X140" i="11"/>
  <c r="W140" i="11"/>
  <c r="V140" i="11"/>
  <c r="X139" i="11"/>
  <c r="W139" i="11"/>
  <c r="V139" i="11"/>
  <c r="X137" i="11"/>
  <c r="W137" i="11"/>
  <c r="V137" i="11"/>
  <c r="X136" i="11"/>
  <c r="W136" i="11"/>
  <c r="V136" i="11"/>
  <c r="X135" i="11"/>
  <c r="W135" i="11"/>
  <c r="V135" i="11"/>
  <c r="X134" i="11"/>
  <c r="W134" i="11"/>
  <c r="V134" i="11"/>
  <c r="T142" i="11"/>
  <c r="S142" i="11"/>
  <c r="R142" i="11"/>
  <c r="T141" i="11"/>
  <c r="S141" i="11"/>
  <c r="R141" i="11"/>
  <c r="T140" i="11"/>
  <c r="S140" i="11"/>
  <c r="R140" i="11"/>
  <c r="T139" i="11"/>
  <c r="S139" i="11"/>
  <c r="R139" i="11"/>
  <c r="T137" i="11"/>
  <c r="S137" i="11"/>
  <c r="R137" i="11"/>
  <c r="T136" i="11"/>
  <c r="S136" i="11"/>
  <c r="R136" i="11"/>
  <c r="T135" i="11"/>
  <c r="S135" i="11"/>
  <c r="R135" i="11"/>
  <c r="T134" i="11"/>
  <c r="S134" i="11"/>
  <c r="R134" i="11"/>
  <c r="P142" i="11"/>
  <c r="O142" i="11"/>
  <c r="N142" i="11"/>
  <c r="P141" i="11"/>
  <c r="O141" i="11"/>
  <c r="N141" i="11"/>
  <c r="P140" i="11"/>
  <c r="O140" i="11"/>
  <c r="N140" i="11"/>
  <c r="P139" i="11"/>
  <c r="O139" i="11"/>
  <c r="N139" i="11"/>
  <c r="P137" i="11"/>
  <c r="O137" i="11"/>
  <c r="N137" i="11"/>
  <c r="P136" i="11"/>
  <c r="O136" i="11"/>
  <c r="N136" i="11"/>
  <c r="P135" i="11"/>
  <c r="O135" i="11"/>
  <c r="N135" i="11"/>
  <c r="P134" i="11"/>
  <c r="O134" i="11"/>
  <c r="N134" i="11"/>
  <c r="X131" i="11"/>
  <c r="W131" i="11"/>
  <c r="V131" i="11"/>
  <c r="X130" i="11"/>
  <c r="W130" i="11"/>
  <c r="V130" i="11"/>
  <c r="X129" i="11"/>
  <c r="W129" i="11"/>
  <c r="V129" i="11"/>
  <c r="X128" i="11"/>
  <c r="W128" i="11"/>
  <c r="V128" i="11"/>
  <c r="X127" i="11"/>
  <c r="W127" i="11"/>
  <c r="V127" i="11"/>
  <c r="X125" i="11"/>
  <c r="W125" i="11"/>
  <c r="V125" i="11"/>
  <c r="X124" i="11"/>
  <c r="W124" i="11"/>
  <c r="V124" i="11"/>
  <c r="X123" i="11"/>
  <c r="W123" i="11"/>
  <c r="V123" i="11"/>
  <c r="X122" i="11"/>
  <c r="W122" i="11"/>
  <c r="V122" i="11"/>
  <c r="X120" i="11"/>
  <c r="W120" i="11"/>
  <c r="V120" i="11"/>
  <c r="X119" i="11"/>
  <c r="W119" i="11"/>
  <c r="V119" i="11"/>
  <c r="X118" i="11"/>
  <c r="W118" i="11"/>
  <c r="V118" i="11"/>
  <c r="X117" i="11"/>
  <c r="W117" i="11"/>
  <c r="V117" i="11"/>
  <c r="X116" i="11"/>
  <c r="W116" i="11"/>
  <c r="V116" i="11"/>
  <c r="X114" i="11"/>
  <c r="W114" i="11"/>
  <c r="V114" i="11"/>
  <c r="X113" i="11"/>
  <c r="W113" i="11"/>
  <c r="V113" i="11"/>
  <c r="X112" i="11"/>
  <c r="W112" i="11"/>
  <c r="V112" i="11"/>
  <c r="X111" i="11"/>
  <c r="W111" i="11"/>
  <c r="V111" i="11"/>
  <c r="X110" i="11"/>
  <c r="W110" i="11"/>
  <c r="V110" i="11"/>
  <c r="X108" i="11"/>
  <c r="W108" i="11"/>
  <c r="V108" i="11"/>
  <c r="X107" i="11"/>
  <c r="W107" i="11"/>
  <c r="V107" i="11"/>
  <c r="X106" i="11"/>
  <c r="W106" i="11"/>
  <c r="V106" i="11"/>
  <c r="X105" i="11"/>
  <c r="W105" i="11"/>
  <c r="V105" i="11"/>
  <c r="X104" i="11"/>
  <c r="W104" i="11"/>
  <c r="V104" i="11"/>
  <c r="T131" i="11"/>
  <c r="S131" i="11"/>
  <c r="R131" i="11"/>
  <c r="T130" i="11"/>
  <c r="S130" i="11"/>
  <c r="R130" i="11"/>
  <c r="T129" i="11"/>
  <c r="S129" i="11"/>
  <c r="R129" i="11"/>
  <c r="T128" i="11"/>
  <c r="S128" i="11"/>
  <c r="R128" i="11"/>
  <c r="T127" i="11"/>
  <c r="S127" i="11"/>
  <c r="R127" i="11"/>
  <c r="T125" i="11"/>
  <c r="S125" i="11"/>
  <c r="R125" i="11"/>
  <c r="T124" i="11"/>
  <c r="S124" i="11"/>
  <c r="R124" i="11"/>
  <c r="T123" i="11"/>
  <c r="S123" i="11"/>
  <c r="R123" i="11"/>
  <c r="T122" i="11"/>
  <c r="S122" i="11"/>
  <c r="R122" i="11"/>
  <c r="T120" i="11"/>
  <c r="S120" i="11"/>
  <c r="R120" i="11"/>
  <c r="T119" i="11"/>
  <c r="S119" i="11"/>
  <c r="R119" i="11"/>
  <c r="T118" i="11"/>
  <c r="S118" i="11"/>
  <c r="R118" i="11"/>
  <c r="T117" i="11"/>
  <c r="S117" i="11"/>
  <c r="R117" i="11"/>
  <c r="T116" i="11"/>
  <c r="S116" i="11"/>
  <c r="R116" i="11"/>
  <c r="T114" i="11"/>
  <c r="S114" i="11"/>
  <c r="R114" i="11"/>
  <c r="T113" i="11"/>
  <c r="S113" i="11"/>
  <c r="R113" i="11"/>
  <c r="T112" i="11"/>
  <c r="S112" i="11"/>
  <c r="R112" i="11"/>
  <c r="T111" i="11"/>
  <c r="S111" i="11"/>
  <c r="R111" i="11"/>
  <c r="T110" i="11"/>
  <c r="S110" i="11"/>
  <c r="R110" i="11"/>
  <c r="T108" i="11"/>
  <c r="S108" i="11"/>
  <c r="R108" i="11"/>
  <c r="T107" i="11"/>
  <c r="S107" i="11"/>
  <c r="R107" i="11"/>
  <c r="T106" i="11"/>
  <c r="S106" i="11"/>
  <c r="R106" i="11"/>
  <c r="T105" i="11"/>
  <c r="S105" i="11"/>
  <c r="R105" i="11"/>
  <c r="T104" i="11"/>
  <c r="S104" i="11"/>
  <c r="R104" i="11"/>
  <c r="P131" i="11"/>
  <c r="O131" i="11"/>
  <c r="N131" i="11"/>
  <c r="P130" i="11"/>
  <c r="O130" i="11"/>
  <c r="N130" i="11"/>
  <c r="P129" i="11"/>
  <c r="O129" i="11"/>
  <c r="N129" i="11"/>
  <c r="P128" i="11"/>
  <c r="O128" i="11"/>
  <c r="N128" i="11"/>
  <c r="P127" i="11"/>
  <c r="O127" i="11"/>
  <c r="N127" i="11"/>
  <c r="P125" i="11"/>
  <c r="O125" i="11"/>
  <c r="N125" i="11"/>
  <c r="P124" i="11"/>
  <c r="O124" i="11"/>
  <c r="N124" i="11"/>
  <c r="P123" i="11"/>
  <c r="O123" i="11"/>
  <c r="N123" i="11"/>
  <c r="P122" i="11"/>
  <c r="O122" i="11"/>
  <c r="N122" i="11"/>
  <c r="P120" i="11"/>
  <c r="O120" i="11"/>
  <c r="N120" i="11"/>
  <c r="P119" i="11"/>
  <c r="O119" i="11"/>
  <c r="N119" i="11"/>
  <c r="P118" i="11"/>
  <c r="O118" i="11"/>
  <c r="N118" i="11"/>
  <c r="P117" i="11"/>
  <c r="O117" i="11"/>
  <c r="N117" i="11"/>
  <c r="P116" i="11"/>
  <c r="O116" i="11"/>
  <c r="N116" i="11"/>
  <c r="P114" i="11"/>
  <c r="O114" i="11"/>
  <c r="N114" i="11"/>
  <c r="P113" i="11"/>
  <c r="O113" i="11"/>
  <c r="N113" i="11"/>
  <c r="P112" i="11"/>
  <c r="O112" i="11"/>
  <c r="N112" i="11"/>
  <c r="P111" i="11"/>
  <c r="O111" i="11"/>
  <c r="N111" i="11"/>
  <c r="P110" i="11"/>
  <c r="O110" i="11"/>
  <c r="N110" i="11"/>
  <c r="P108" i="11"/>
  <c r="O108" i="11"/>
  <c r="N108" i="11"/>
  <c r="P107" i="11"/>
  <c r="O107" i="11"/>
  <c r="N107" i="11"/>
  <c r="P106" i="11"/>
  <c r="O106" i="11"/>
  <c r="N106" i="11"/>
  <c r="P105" i="11"/>
  <c r="O105" i="11"/>
  <c r="N105" i="11"/>
  <c r="P104" i="11"/>
  <c r="O104" i="11"/>
  <c r="N104" i="11"/>
  <c r="X92" i="11"/>
  <c r="W92" i="11"/>
  <c r="V92" i="11"/>
  <c r="X91" i="11"/>
  <c r="W91" i="11"/>
  <c r="V91" i="11"/>
  <c r="X90" i="11"/>
  <c r="W90" i="11"/>
  <c r="V90" i="11"/>
  <c r="X89" i="11"/>
  <c r="W89" i="11"/>
  <c r="V89" i="11"/>
  <c r="X88" i="11"/>
  <c r="W88" i="11"/>
  <c r="V88" i="11"/>
  <c r="X86" i="11"/>
  <c r="W86" i="11"/>
  <c r="V86" i="11"/>
  <c r="X85" i="11"/>
  <c r="W85" i="11"/>
  <c r="V85" i="11"/>
  <c r="X84" i="11"/>
  <c r="W84" i="11"/>
  <c r="V84" i="11"/>
  <c r="X82" i="11"/>
  <c r="W82" i="11"/>
  <c r="V82" i="11"/>
  <c r="X81" i="11"/>
  <c r="W81" i="11"/>
  <c r="V81" i="11"/>
  <c r="X79" i="11"/>
  <c r="W79" i="11"/>
  <c r="V79" i="11"/>
  <c r="X78" i="11"/>
  <c r="W78" i="11"/>
  <c r="V78" i="11"/>
  <c r="X77" i="11"/>
  <c r="W77" i="11"/>
  <c r="V77" i="11"/>
  <c r="X76" i="11"/>
  <c r="W76" i="11"/>
  <c r="V76" i="11"/>
  <c r="X74" i="11"/>
  <c r="W74" i="11"/>
  <c r="V74" i="11"/>
  <c r="X73" i="11"/>
  <c r="W73" i="11"/>
  <c r="V73" i="11"/>
  <c r="X72" i="11"/>
  <c r="W72" i="11"/>
  <c r="V72" i="11"/>
  <c r="X71" i="11"/>
  <c r="W71" i="11"/>
  <c r="V71" i="11"/>
  <c r="X70" i="11"/>
  <c r="W70" i="11"/>
  <c r="V70" i="11"/>
  <c r="X68" i="11"/>
  <c r="W68" i="11"/>
  <c r="V68" i="11"/>
  <c r="X67" i="11"/>
  <c r="W67" i="11"/>
  <c r="V67" i="11"/>
  <c r="X66" i="11"/>
  <c r="W66" i="11"/>
  <c r="V66" i="11"/>
  <c r="X65" i="11"/>
  <c r="W65" i="11"/>
  <c r="V65" i="11"/>
  <c r="X64" i="11"/>
  <c r="W64" i="11"/>
  <c r="V64" i="11"/>
  <c r="T92" i="11"/>
  <c r="S92" i="11"/>
  <c r="R92" i="11"/>
  <c r="T91" i="11"/>
  <c r="S91" i="11"/>
  <c r="R91" i="11"/>
  <c r="T90" i="11"/>
  <c r="S90" i="11"/>
  <c r="R90" i="11"/>
  <c r="T89" i="11"/>
  <c r="S89" i="11"/>
  <c r="R89" i="11"/>
  <c r="T88" i="11"/>
  <c r="S88" i="11"/>
  <c r="R88" i="11"/>
  <c r="T86" i="11"/>
  <c r="S86" i="11"/>
  <c r="R86" i="11"/>
  <c r="T85" i="11"/>
  <c r="S85" i="11"/>
  <c r="R85" i="11"/>
  <c r="T84" i="11"/>
  <c r="S84" i="11"/>
  <c r="R84" i="11"/>
  <c r="T82" i="11"/>
  <c r="S82" i="11"/>
  <c r="R82" i="11"/>
  <c r="T81" i="11"/>
  <c r="S81" i="11"/>
  <c r="R81" i="11"/>
  <c r="T79" i="11"/>
  <c r="S79" i="11"/>
  <c r="R79" i="11"/>
  <c r="T78" i="11"/>
  <c r="S78" i="11"/>
  <c r="R78" i="11"/>
  <c r="T77" i="11"/>
  <c r="S77" i="11"/>
  <c r="R77" i="11"/>
  <c r="T76" i="11"/>
  <c r="S76" i="11"/>
  <c r="R76" i="11"/>
  <c r="T74" i="11"/>
  <c r="S74" i="11"/>
  <c r="R74" i="11"/>
  <c r="T73" i="11"/>
  <c r="S73" i="11"/>
  <c r="R73" i="11"/>
  <c r="T72" i="11"/>
  <c r="S72" i="11"/>
  <c r="R72" i="11"/>
  <c r="T71" i="11"/>
  <c r="S71" i="11"/>
  <c r="R71" i="11"/>
  <c r="T70" i="11"/>
  <c r="S70" i="11"/>
  <c r="R70" i="11"/>
  <c r="T68" i="11"/>
  <c r="S68" i="11"/>
  <c r="R68" i="11"/>
  <c r="T67" i="11"/>
  <c r="S67" i="11"/>
  <c r="R67" i="11"/>
  <c r="T66" i="11"/>
  <c r="S66" i="11"/>
  <c r="R66" i="11"/>
  <c r="T65" i="11"/>
  <c r="S65" i="11"/>
  <c r="R65" i="11"/>
  <c r="T64" i="11"/>
  <c r="S64" i="11"/>
  <c r="R64" i="11"/>
  <c r="P92" i="11"/>
  <c r="O92" i="11"/>
  <c r="N92" i="11"/>
  <c r="P91" i="11"/>
  <c r="O91" i="11"/>
  <c r="N91" i="11"/>
  <c r="P90" i="11"/>
  <c r="O90" i="11"/>
  <c r="N90" i="11"/>
  <c r="P89" i="11"/>
  <c r="O89" i="11"/>
  <c r="N89" i="11"/>
  <c r="P88" i="11"/>
  <c r="O88" i="11"/>
  <c r="N88" i="11"/>
  <c r="P86" i="11"/>
  <c r="O86" i="11"/>
  <c r="N86" i="11"/>
  <c r="P85" i="11"/>
  <c r="O85" i="11"/>
  <c r="N85" i="11"/>
  <c r="P84" i="11"/>
  <c r="O84" i="11"/>
  <c r="N84" i="11"/>
  <c r="P82" i="11"/>
  <c r="O82" i="11"/>
  <c r="N82" i="11"/>
  <c r="P81" i="11"/>
  <c r="O81" i="11"/>
  <c r="N81" i="11"/>
  <c r="P79" i="11"/>
  <c r="O79" i="11"/>
  <c r="N79" i="11"/>
  <c r="P78" i="11"/>
  <c r="O78" i="11"/>
  <c r="N78" i="11"/>
  <c r="P77" i="11"/>
  <c r="O77" i="11"/>
  <c r="N77" i="11"/>
  <c r="P76" i="11"/>
  <c r="O76" i="11"/>
  <c r="N76" i="11"/>
  <c r="P74" i="11"/>
  <c r="O74" i="11"/>
  <c r="N74" i="11"/>
  <c r="P73" i="11"/>
  <c r="O73" i="11"/>
  <c r="N73" i="11"/>
  <c r="P72" i="11"/>
  <c r="O72" i="11"/>
  <c r="N72" i="11"/>
  <c r="P71" i="11"/>
  <c r="O71" i="11"/>
  <c r="N71" i="11"/>
  <c r="P70" i="11"/>
  <c r="O70" i="11"/>
  <c r="N70" i="11"/>
  <c r="P68" i="11"/>
  <c r="O68" i="11"/>
  <c r="N68" i="11"/>
  <c r="P67" i="11"/>
  <c r="O67" i="11"/>
  <c r="N67" i="11"/>
  <c r="P66" i="11"/>
  <c r="O66" i="11"/>
  <c r="N66" i="11"/>
  <c r="P65" i="11"/>
  <c r="O65" i="11"/>
  <c r="N65" i="11"/>
  <c r="P64" i="11"/>
  <c r="O64" i="11"/>
  <c r="N64" i="11"/>
  <c r="X52" i="11"/>
  <c r="W52" i="11"/>
  <c r="V52" i="11"/>
  <c r="X50" i="11"/>
  <c r="W50" i="11"/>
  <c r="V50" i="11"/>
  <c r="X48" i="11"/>
  <c r="W48" i="11"/>
  <c r="V48" i="11"/>
  <c r="X47" i="11"/>
  <c r="W47" i="11"/>
  <c r="V47" i="11"/>
  <c r="X46" i="11"/>
  <c r="W46" i="11"/>
  <c r="V46" i="11"/>
  <c r="X45" i="11"/>
  <c r="W45" i="11"/>
  <c r="V45" i="11"/>
  <c r="X43" i="11"/>
  <c r="W43" i="11"/>
  <c r="V43" i="11"/>
  <c r="X42" i="11"/>
  <c r="W42" i="11"/>
  <c r="V42" i="11"/>
  <c r="X41" i="11"/>
  <c r="W41" i="11"/>
  <c r="V41" i="11"/>
  <c r="X40" i="11"/>
  <c r="W40" i="11"/>
  <c r="V40" i="11"/>
  <c r="X39" i="11"/>
  <c r="W39" i="11"/>
  <c r="V39" i="11"/>
  <c r="X37" i="11"/>
  <c r="W37" i="11"/>
  <c r="V37" i="11"/>
  <c r="X36" i="11"/>
  <c r="W36" i="11"/>
  <c r="V36" i="11"/>
  <c r="X35" i="11"/>
  <c r="W35" i="11"/>
  <c r="V35" i="11"/>
  <c r="X34" i="11"/>
  <c r="W34" i="11"/>
  <c r="V34" i="11"/>
  <c r="X32" i="11"/>
  <c r="W32" i="11"/>
  <c r="V32" i="11"/>
  <c r="X31" i="11"/>
  <c r="W31" i="11"/>
  <c r="V31" i="11"/>
  <c r="X30" i="11"/>
  <c r="W30" i="11"/>
  <c r="V30" i="11"/>
  <c r="X28" i="11"/>
  <c r="W28" i="11"/>
  <c r="V28" i="11"/>
  <c r="X27" i="11"/>
  <c r="W27" i="11"/>
  <c r="V27" i="11"/>
  <c r="T52" i="11"/>
  <c r="S52" i="11"/>
  <c r="R52" i="11"/>
  <c r="T50" i="11"/>
  <c r="S50" i="11"/>
  <c r="R50" i="11"/>
  <c r="T48" i="11"/>
  <c r="S48" i="11"/>
  <c r="R48" i="11"/>
  <c r="T47" i="11"/>
  <c r="S47" i="11"/>
  <c r="R47" i="11"/>
  <c r="T46" i="11"/>
  <c r="S46" i="11"/>
  <c r="R46" i="11"/>
  <c r="T45" i="11"/>
  <c r="S45" i="11"/>
  <c r="R45" i="11"/>
  <c r="T43" i="11"/>
  <c r="S43" i="11"/>
  <c r="R43" i="11"/>
  <c r="T42" i="11"/>
  <c r="S42" i="11"/>
  <c r="R42" i="11"/>
  <c r="T41" i="11"/>
  <c r="S41" i="11"/>
  <c r="R41" i="11"/>
  <c r="T40" i="11"/>
  <c r="S40" i="11"/>
  <c r="R40" i="11"/>
  <c r="T39" i="11"/>
  <c r="S39" i="11"/>
  <c r="R39" i="11"/>
  <c r="T37" i="11"/>
  <c r="S37" i="11"/>
  <c r="R37" i="11"/>
  <c r="T36" i="11"/>
  <c r="S36" i="11"/>
  <c r="R36" i="11"/>
  <c r="T35" i="11"/>
  <c r="S35" i="11"/>
  <c r="R35" i="11"/>
  <c r="T34" i="11"/>
  <c r="S34" i="11"/>
  <c r="R34" i="11"/>
  <c r="T32" i="11"/>
  <c r="S32" i="11"/>
  <c r="R32" i="11"/>
  <c r="T31" i="11"/>
  <c r="S31" i="11"/>
  <c r="R31" i="11"/>
  <c r="T30" i="11"/>
  <c r="S30" i="11"/>
  <c r="R30" i="11"/>
  <c r="T28" i="11"/>
  <c r="S28" i="11"/>
  <c r="R28" i="11"/>
  <c r="T27" i="11"/>
  <c r="S27" i="11"/>
  <c r="R27" i="11"/>
  <c r="P52" i="11"/>
  <c r="O52" i="11"/>
  <c r="N52" i="11"/>
  <c r="P50" i="11"/>
  <c r="O50" i="11"/>
  <c r="N50" i="11"/>
  <c r="P48" i="11"/>
  <c r="O48" i="11"/>
  <c r="N48" i="11"/>
  <c r="P47" i="11"/>
  <c r="O47" i="11"/>
  <c r="N47" i="11"/>
  <c r="P46" i="11"/>
  <c r="O46" i="11"/>
  <c r="N46" i="11"/>
  <c r="P45" i="11"/>
  <c r="O45" i="11"/>
  <c r="N45" i="11"/>
  <c r="P43" i="11"/>
  <c r="O43" i="11"/>
  <c r="N43" i="11"/>
  <c r="P42" i="11"/>
  <c r="O42" i="11"/>
  <c r="N42" i="11"/>
  <c r="P41" i="11"/>
  <c r="O41" i="11"/>
  <c r="N41" i="11"/>
  <c r="P40" i="11"/>
  <c r="O40" i="11"/>
  <c r="N40" i="11"/>
  <c r="P39" i="11"/>
  <c r="O39" i="11"/>
  <c r="N39" i="11"/>
  <c r="P37" i="11"/>
  <c r="O37" i="11"/>
  <c r="N37" i="11"/>
  <c r="P36" i="11"/>
  <c r="O36" i="11"/>
  <c r="N36" i="11"/>
  <c r="P35" i="11"/>
  <c r="O35" i="11"/>
  <c r="N35" i="11"/>
  <c r="P34" i="11"/>
  <c r="O34" i="11"/>
  <c r="N34" i="11"/>
  <c r="P32" i="11"/>
  <c r="O32" i="11"/>
  <c r="N32" i="11"/>
  <c r="P31" i="11"/>
  <c r="O31" i="11"/>
  <c r="N31" i="11"/>
  <c r="P30" i="11"/>
  <c r="O30" i="11"/>
  <c r="N30" i="11"/>
  <c r="P28" i="11"/>
  <c r="O28" i="11"/>
  <c r="N28" i="11"/>
  <c r="P27" i="11"/>
  <c r="O27" i="11"/>
  <c r="N27" i="11"/>
  <c r="BR62" i="20" l="1"/>
  <c r="BS63" i="20"/>
  <c r="BR63" i="20"/>
  <c r="BS38" i="20"/>
  <c r="BR38" i="20"/>
  <c r="AY63" i="20"/>
  <c r="AX63" i="20"/>
  <c r="AY38" i="20"/>
  <c r="AX38" i="20"/>
  <c r="X24" i="11"/>
  <c r="W24" i="11"/>
  <c r="V24" i="11"/>
  <c r="X23" i="11"/>
  <c r="W23" i="11"/>
  <c r="V23" i="11"/>
  <c r="X22" i="11"/>
  <c r="W22" i="11"/>
  <c r="V22" i="11"/>
  <c r="X21" i="11"/>
  <c r="W21" i="11"/>
  <c r="V21" i="11"/>
  <c r="X20" i="11"/>
  <c r="W20" i="11"/>
  <c r="V20" i="11"/>
  <c r="X19" i="11"/>
  <c r="W19" i="11"/>
  <c r="V19" i="11"/>
  <c r="X18" i="11"/>
  <c r="W18" i="11"/>
  <c r="V18" i="11"/>
  <c r="X17" i="11"/>
  <c r="W17" i="11"/>
  <c r="V17" i="11"/>
  <c r="X16" i="11"/>
  <c r="W16" i="11"/>
  <c r="V16" i="11"/>
  <c r="X15" i="11"/>
  <c r="W15" i="11"/>
  <c r="V15" i="11"/>
  <c r="X14" i="11"/>
  <c r="W14" i="11"/>
  <c r="V14" i="11"/>
  <c r="X13" i="11"/>
  <c r="W13" i="11"/>
  <c r="V13" i="11"/>
  <c r="X12" i="11"/>
  <c r="W12" i="11"/>
  <c r="V12" i="11"/>
  <c r="X11" i="11"/>
  <c r="W11" i="11"/>
  <c r="V11" i="11"/>
  <c r="X10" i="11"/>
  <c r="W10" i="11"/>
  <c r="V10" i="11"/>
  <c r="X9" i="11"/>
  <c r="W9" i="11"/>
  <c r="V9" i="11"/>
  <c r="X8" i="11"/>
  <c r="W8" i="11"/>
  <c r="V8" i="11"/>
  <c r="X7" i="11"/>
  <c r="W7" i="11"/>
  <c r="V7" i="11"/>
  <c r="X6" i="11"/>
  <c r="W6" i="11"/>
  <c r="V6" i="11"/>
  <c r="T24" i="11"/>
  <c r="S24" i="11"/>
  <c r="R24" i="11"/>
  <c r="T23" i="11"/>
  <c r="S23" i="11"/>
  <c r="R23" i="11"/>
  <c r="T22" i="11"/>
  <c r="S22" i="11"/>
  <c r="R22" i="11"/>
  <c r="T21" i="11"/>
  <c r="S21" i="11"/>
  <c r="R21" i="11"/>
  <c r="T20" i="11"/>
  <c r="S20" i="11"/>
  <c r="R20" i="11"/>
  <c r="T19" i="11"/>
  <c r="S19" i="11"/>
  <c r="R19" i="11"/>
  <c r="T18" i="11"/>
  <c r="S18" i="11"/>
  <c r="R18" i="11"/>
  <c r="T17" i="11"/>
  <c r="S17" i="11"/>
  <c r="R17" i="11"/>
  <c r="T16" i="11"/>
  <c r="S16" i="11"/>
  <c r="R16" i="11"/>
  <c r="T15" i="11"/>
  <c r="S15" i="11"/>
  <c r="R15" i="11"/>
  <c r="T14" i="11"/>
  <c r="S14" i="11"/>
  <c r="R14" i="11"/>
  <c r="T13" i="11"/>
  <c r="S13" i="11"/>
  <c r="R13" i="11"/>
  <c r="T12" i="11"/>
  <c r="S12" i="11"/>
  <c r="R12" i="11"/>
  <c r="T11" i="11"/>
  <c r="S11" i="11"/>
  <c r="R11" i="11"/>
  <c r="T10" i="11"/>
  <c r="S10" i="11"/>
  <c r="R10" i="11"/>
  <c r="T9" i="11"/>
  <c r="S9" i="11"/>
  <c r="R9" i="11"/>
  <c r="T8" i="11"/>
  <c r="S8" i="11"/>
  <c r="R8" i="11"/>
  <c r="T7" i="11"/>
  <c r="S7" i="11"/>
  <c r="R7" i="11"/>
  <c r="T6" i="11"/>
  <c r="S6" i="11"/>
  <c r="R6" i="11"/>
  <c r="P24" i="11"/>
  <c r="O24" i="11"/>
  <c r="N24" i="11"/>
  <c r="P23" i="11"/>
  <c r="O23" i="11"/>
  <c r="N23" i="11"/>
  <c r="P22" i="11"/>
  <c r="O22" i="11"/>
  <c r="N22" i="11"/>
  <c r="P21" i="11"/>
  <c r="O21" i="11"/>
  <c r="N21" i="11"/>
  <c r="P20" i="11"/>
  <c r="O20" i="11"/>
  <c r="N20" i="11"/>
  <c r="P19" i="11"/>
  <c r="O19" i="11"/>
  <c r="N19" i="11"/>
  <c r="P18" i="11"/>
  <c r="O18" i="11"/>
  <c r="N18" i="11"/>
  <c r="P17" i="11"/>
  <c r="O17" i="11"/>
  <c r="N17" i="11"/>
  <c r="P16" i="11"/>
  <c r="O16" i="11"/>
  <c r="N16" i="11"/>
  <c r="P15" i="11"/>
  <c r="O15" i="11"/>
  <c r="N15" i="11"/>
  <c r="P14" i="11"/>
  <c r="O14" i="11"/>
  <c r="N14" i="11"/>
  <c r="P13" i="11"/>
  <c r="O13" i="11"/>
  <c r="N13" i="11"/>
  <c r="P12" i="11"/>
  <c r="O12" i="11"/>
  <c r="N12" i="11"/>
  <c r="P11" i="11"/>
  <c r="O11" i="11"/>
  <c r="N11" i="11"/>
  <c r="P10" i="11"/>
  <c r="O10" i="11"/>
  <c r="N10" i="11"/>
  <c r="P9" i="11"/>
  <c r="O9" i="11"/>
  <c r="N9" i="11"/>
  <c r="P8" i="11"/>
  <c r="O8" i="11"/>
  <c r="N8" i="11"/>
  <c r="P7" i="11"/>
  <c r="O7" i="11"/>
  <c r="N7" i="11"/>
  <c r="P6" i="11"/>
  <c r="O6" i="11"/>
  <c r="N6" i="11"/>
  <c r="AX62" i="20" l="1"/>
  <c r="AD62" i="20"/>
  <c r="G29" i="10"/>
  <c r="G31" i="10"/>
  <c r="I27" i="10"/>
  <c r="I28" i="10"/>
  <c r="I29" i="10"/>
  <c r="I30" i="10"/>
  <c r="I31" i="10"/>
  <c r="Y86" i="8" l="1"/>
  <c r="AP86" i="8" s="1"/>
  <c r="AA86" i="8"/>
  <c r="AR86" i="8" s="1"/>
  <c r="AC86" i="8"/>
  <c r="AD86" i="8"/>
  <c r="AU86" i="8" s="1"/>
  <c r="AE86" i="8"/>
  <c r="AV86" i="8" s="1"/>
  <c r="AF86" i="8"/>
  <c r="AW86" i="8" s="1"/>
  <c r="AG86" i="8"/>
  <c r="AX86" i="8" s="1"/>
  <c r="AH86" i="8"/>
  <c r="AY86" i="8" s="1"/>
  <c r="AI86" i="8"/>
  <c r="AZ86" i="8" s="1"/>
  <c r="AL86" i="8"/>
  <c r="BC86" i="8" s="1"/>
  <c r="AM86" i="8"/>
  <c r="BD86" i="8" s="1"/>
  <c r="AT86" i="8"/>
  <c r="BL86" i="8" l="1"/>
  <c r="BJ86" i="8"/>
  <c r="V129" i="16" l="1"/>
  <c r="U129" i="16"/>
  <c r="R129" i="16"/>
  <c r="Q129" i="16"/>
  <c r="P129" i="16"/>
  <c r="O129" i="16"/>
  <c r="N129" i="16"/>
  <c r="M129" i="16"/>
  <c r="L129" i="16"/>
  <c r="K129" i="16"/>
  <c r="J129" i="16"/>
  <c r="I129" i="16"/>
  <c r="V128" i="16"/>
  <c r="U128" i="16"/>
  <c r="R128" i="16"/>
  <c r="Q128" i="16"/>
  <c r="P128" i="16"/>
  <c r="O128" i="16"/>
  <c r="N128" i="16"/>
  <c r="M128" i="16"/>
  <c r="L128" i="16"/>
  <c r="K128" i="16"/>
  <c r="J128" i="16"/>
  <c r="I128" i="16"/>
  <c r="V127" i="16"/>
  <c r="U127" i="16"/>
  <c r="R127" i="16"/>
  <c r="Q127" i="16"/>
  <c r="P127" i="16"/>
  <c r="O127" i="16"/>
  <c r="N127" i="16"/>
  <c r="M127" i="16"/>
  <c r="L127" i="16"/>
  <c r="K127" i="16"/>
  <c r="J127" i="16"/>
  <c r="I127" i="16"/>
  <c r="V126" i="16"/>
  <c r="U126" i="16"/>
  <c r="R126" i="16"/>
  <c r="Q126" i="16"/>
  <c r="P126" i="16"/>
  <c r="O126" i="16"/>
  <c r="N126" i="16"/>
  <c r="M126" i="16"/>
  <c r="L126" i="16"/>
  <c r="K126" i="16"/>
  <c r="J126" i="16"/>
  <c r="I126" i="16"/>
  <c r="V125" i="16"/>
  <c r="U125" i="16"/>
  <c r="R125" i="16"/>
  <c r="Q125" i="16"/>
  <c r="P125" i="16"/>
  <c r="O125" i="16"/>
  <c r="N125" i="16"/>
  <c r="M125" i="16"/>
  <c r="L125" i="16"/>
  <c r="K125" i="16"/>
  <c r="J125" i="16"/>
  <c r="I125" i="16"/>
  <c r="V124" i="16"/>
  <c r="U124" i="16"/>
  <c r="R124" i="16"/>
  <c r="Q124" i="16"/>
  <c r="P124" i="16"/>
  <c r="O124" i="16"/>
  <c r="N124" i="16"/>
  <c r="M124" i="16"/>
  <c r="L124" i="16"/>
  <c r="K124" i="16"/>
  <c r="J124" i="16"/>
  <c r="I124" i="16"/>
  <c r="V123" i="16"/>
  <c r="U123" i="16"/>
  <c r="R123" i="16"/>
  <c r="Q123" i="16"/>
  <c r="P123" i="16"/>
  <c r="O123" i="16"/>
  <c r="N123" i="16"/>
  <c r="M123" i="16"/>
  <c r="L123" i="16"/>
  <c r="K123" i="16"/>
  <c r="J123" i="16"/>
  <c r="I123" i="16"/>
  <c r="V122" i="16"/>
  <c r="U122" i="16"/>
  <c r="R122" i="16"/>
  <c r="Q122" i="16"/>
  <c r="P122" i="16"/>
  <c r="O122" i="16"/>
  <c r="N122" i="16"/>
  <c r="M122" i="16"/>
  <c r="L122" i="16"/>
  <c r="K122" i="16"/>
  <c r="J122" i="16"/>
  <c r="I122" i="16"/>
  <c r="V121" i="16"/>
  <c r="U121" i="16"/>
  <c r="R121" i="16"/>
  <c r="Q121" i="16"/>
  <c r="P121" i="16"/>
  <c r="O121" i="16"/>
  <c r="N121" i="16"/>
  <c r="M121" i="16"/>
  <c r="L121" i="16"/>
  <c r="K121" i="16"/>
  <c r="J121" i="16"/>
  <c r="I121" i="16"/>
  <c r="V120" i="16"/>
  <c r="U120" i="16"/>
  <c r="T120" i="16"/>
  <c r="S120" i="16"/>
  <c r="R120" i="16"/>
  <c r="Q120" i="16"/>
  <c r="P120" i="16"/>
  <c r="O120" i="16"/>
  <c r="N120" i="16"/>
  <c r="M120" i="16"/>
  <c r="L120" i="16"/>
  <c r="K120" i="16"/>
  <c r="J120" i="16"/>
  <c r="I120" i="16"/>
  <c r="H120" i="16"/>
  <c r="G120" i="16"/>
  <c r="V119" i="16"/>
  <c r="U119" i="16"/>
  <c r="R119" i="16"/>
  <c r="Q119" i="16"/>
  <c r="P119" i="16"/>
  <c r="O119" i="16"/>
  <c r="N119" i="16"/>
  <c r="M119" i="16"/>
  <c r="L119" i="16"/>
  <c r="K119" i="16"/>
  <c r="J119" i="16"/>
  <c r="I119" i="16"/>
  <c r="V118" i="16"/>
  <c r="U118" i="16"/>
  <c r="R118" i="16"/>
  <c r="Q118" i="16"/>
  <c r="P118" i="16"/>
  <c r="O118" i="16"/>
  <c r="N118" i="16"/>
  <c r="M118" i="16"/>
  <c r="L118" i="16"/>
  <c r="K118" i="16"/>
  <c r="J118" i="16"/>
  <c r="I118" i="16"/>
  <c r="V117" i="16"/>
  <c r="U117" i="16"/>
  <c r="R117" i="16"/>
  <c r="Q117" i="16"/>
  <c r="P117" i="16"/>
  <c r="O117" i="16"/>
  <c r="N117" i="16"/>
  <c r="M117" i="16"/>
  <c r="L117" i="16"/>
  <c r="K117" i="16"/>
  <c r="J117" i="16"/>
  <c r="I117" i="16"/>
  <c r="V116" i="16"/>
  <c r="U116" i="16"/>
  <c r="R116" i="16"/>
  <c r="Q116" i="16"/>
  <c r="P116" i="16"/>
  <c r="O116" i="16"/>
  <c r="N116" i="16"/>
  <c r="M116" i="16"/>
  <c r="L116" i="16"/>
  <c r="K116" i="16"/>
  <c r="J116" i="16"/>
  <c r="I116" i="16"/>
  <c r="V115" i="16"/>
  <c r="U115" i="16"/>
  <c r="T115" i="16"/>
  <c r="S115" i="16"/>
  <c r="R115" i="16"/>
  <c r="Q115" i="16"/>
  <c r="P115" i="16"/>
  <c r="O115" i="16"/>
  <c r="N115" i="16"/>
  <c r="M115" i="16"/>
  <c r="L115" i="16"/>
  <c r="K115" i="16"/>
  <c r="J115" i="16"/>
  <c r="I115" i="16"/>
  <c r="H115" i="16"/>
  <c r="G115" i="16"/>
  <c r="V114" i="16"/>
  <c r="U114" i="16"/>
  <c r="R114" i="16"/>
  <c r="Q114" i="16"/>
  <c r="P114" i="16"/>
  <c r="O114" i="16"/>
  <c r="N114" i="16"/>
  <c r="M114" i="16"/>
  <c r="L114" i="16"/>
  <c r="K114" i="16"/>
  <c r="J114" i="16"/>
  <c r="I114" i="16"/>
  <c r="V113" i="16"/>
  <c r="U113" i="16"/>
  <c r="R113" i="16"/>
  <c r="Q113" i="16"/>
  <c r="P113" i="16"/>
  <c r="O113" i="16"/>
  <c r="N113" i="16"/>
  <c r="M113" i="16"/>
  <c r="L113" i="16"/>
  <c r="K113" i="16"/>
  <c r="J113" i="16"/>
  <c r="I113" i="16"/>
  <c r="V112" i="16"/>
  <c r="U112" i="16"/>
  <c r="R112" i="16"/>
  <c r="Q112" i="16"/>
  <c r="P112" i="16"/>
  <c r="O112" i="16"/>
  <c r="N112" i="16"/>
  <c r="M112" i="16"/>
  <c r="L112" i="16"/>
  <c r="K112" i="16"/>
  <c r="J112" i="16"/>
  <c r="I112" i="16"/>
  <c r="V111" i="16"/>
  <c r="U111" i="16"/>
  <c r="R111" i="16"/>
  <c r="Q111" i="16"/>
  <c r="P111" i="16"/>
  <c r="O111" i="16"/>
  <c r="N111" i="16"/>
  <c r="M111" i="16"/>
  <c r="L111" i="16"/>
  <c r="K111" i="16"/>
  <c r="J111" i="16"/>
  <c r="I111" i="16"/>
  <c r="V110" i="16"/>
  <c r="U110" i="16"/>
  <c r="R110" i="16"/>
  <c r="Q110" i="16"/>
  <c r="P110" i="16"/>
  <c r="O110" i="16"/>
  <c r="N110" i="16"/>
  <c r="M110" i="16"/>
  <c r="L110" i="16"/>
  <c r="K110" i="16"/>
  <c r="J110" i="16"/>
  <c r="I110" i="16"/>
  <c r="V109" i="16"/>
  <c r="U109" i="16"/>
  <c r="R109" i="16"/>
  <c r="Q109" i="16"/>
  <c r="P109" i="16"/>
  <c r="O109" i="16"/>
  <c r="N109" i="16"/>
  <c r="M109" i="16"/>
  <c r="L109" i="16"/>
  <c r="K109" i="16"/>
  <c r="J109" i="16"/>
  <c r="I109" i="16"/>
  <c r="V108" i="16"/>
  <c r="U108" i="16"/>
  <c r="R108" i="16"/>
  <c r="Q108" i="16"/>
  <c r="P108" i="16"/>
  <c r="O108" i="16"/>
  <c r="N108" i="16"/>
  <c r="M108" i="16"/>
  <c r="L108" i="16"/>
  <c r="K108" i="16"/>
  <c r="J108" i="16"/>
  <c r="I108" i="16"/>
  <c r="V107" i="16"/>
  <c r="U107" i="16"/>
  <c r="R107" i="16"/>
  <c r="Q107" i="16"/>
  <c r="P107" i="16"/>
  <c r="O107" i="16"/>
  <c r="N107" i="16"/>
  <c r="M107" i="16"/>
  <c r="L107" i="16"/>
  <c r="K107" i="16"/>
  <c r="J107" i="16"/>
  <c r="I107" i="16"/>
  <c r="V106" i="16"/>
  <c r="U106" i="16"/>
  <c r="R106" i="16"/>
  <c r="Q106" i="16"/>
  <c r="P106" i="16"/>
  <c r="O106" i="16"/>
  <c r="N106" i="16"/>
  <c r="M106" i="16"/>
  <c r="L106" i="16"/>
  <c r="K106" i="16"/>
  <c r="J106" i="16"/>
  <c r="I106" i="16"/>
  <c r="V105" i="16"/>
  <c r="U105" i="16"/>
  <c r="R105" i="16"/>
  <c r="Q105" i="16"/>
  <c r="P105" i="16"/>
  <c r="O105" i="16"/>
  <c r="N105" i="16"/>
  <c r="M105" i="16"/>
  <c r="L105" i="16"/>
  <c r="K105" i="16"/>
  <c r="J105" i="16"/>
  <c r="I105" i="16"/>
  <c r="V104" i="16"/>
  <c r="U104" i="16"/>
  <c r="T104" i="16"/>
  <c r="S104" i="16"/>
  <c r="R104" i="16"/>
  <c r="Q104" i="16"/>
  <c r="P104" i="16"/>
  <c r="O104" i="16"/>
  <c r="N104" i="16"/>
  <c r="M104" i="16"/>
  <c r="L104" i="16"/>
  <c r="K104" i="16"/>
  <c r="J104" i="16"/>
  <c r="I104" i="16"/>
  <c r="H104" i="16"/>
  <c r="G104" i="16"/>
  <c r="V103" i="16"/>
  <c r="U103" i="16"/>
  <c r="R103" i="16"/>
  <c r="Q103" i="16"/>
  <c r="P103" i="16"/>
  <c r="O103" i="16"/>
  <c r="N103" i="16"/>
  <c r="M103" i="16"/>
  <c r="L103" i="16"/>
  <c r="K103" i="16"/>
  <c r="J103" i="16"/>
  <c r="I103" i="16"/>
  <c r="V102" i="16"/>
  <c r="U102" i="16"/>
  <c r="R102" i="16"/>
  <c r="Q102" i="16"/>
  <c r="P102" i="16"/>
  <c r="O102" i="16"/>
  <c r="N102" i="16"/>
  <c r="M102" i="16"/>
  <c r="L102" i="16"/>
  <c r="K102" i="16"/>
  <c r="J102" i="16"/>
  <c r="I102" i="16"/>
  <c r="V100" i="16"/>
  <c r="U100" i="16"/>
  <c r="R100" i="16"/>
  <c r="Q100" i="16"/>
  <c r="P100" i="16"/>
  <c r="O100" i="16"/>
  <c r="N100" i="16"/>
  <c r="M100" i="16"/>
  <c r="L100" i="16"/>
  <c r="K100" i="16"/>
  <c r="J100" i="16"/>
  <c r="I100" i="16"/>
  <c r="V99" i="16"/>
  <c r="U99" i="16"/>
  <c r="R99" i="16"/>
  <c r="Q99" i="16"/>
  <c r="P99" i="16"/>
  <c r="O99" i="16"/>
  <c r="N99" i="16"/>
  <c r="M99" i="16"/>
  <c r="L99" i="16"/>
  <c r="K99" i="16"/>
  <c r="J99" i="16"/>
  <c r="I99" i="16"/>
  <c r="V98" i="16"/>
  <c r="U98" i="16"/>
  <c r="R98" i="16"/>
  <c r="Q98" i="16"/>
  <c r="P98" i="16"/>
  <c r="O98" i="16"/>
  <c r="N98" i="16"/>
  <c r="M98" i="16"/>
  <c r="L98" i="16"/>
  <c r="K98" i="16"/>
  <c r="J98" i="16"/>
  <c r="I98" i="16"/>
  <c r="V97" i="16"/>
  <c r="U97" i="16"/>
  <c r="R97" i="16"/>
  <c r="Q97" i="16"/>
  <c r="P97" i="16"/>
  <c r="O97" i="16"/>
  <c r="N97" i="16"/>
  <c r="M97" i="16"/>
  <c r="L97" i="16"/>
  <c r="K97" i="16"/>
  <c r="J97" i="16"/>
  <c r="I97" i="16"/>
  <c r="V96" i="16"/>
  <c r="U96" i="16"/>
  <c r="R96" i="16"/>
  <c r="Q96" i="16"/>
  <c r="P96" i="16"/>
  <c r="O96" i="16"/>
  <c r="N96" i="16"/>
  <c r="M96" i="16"/>
  <c r="L96" i="16"/>
  <c r="K96" i="16"/>
  <c r="J96" i="16"/>
  <c r="I96" i="16"/>
  <c r="V95" i="16"/>
  <c r="U95" i="16"/>
  <c r="T95" i="16"/>
  <c r="S95" i="16"/>
  <c r="R95" i="16"/>
  <c r="Q95" i="16"/>
  <c r="P95" i="16"/>
  <c r="O95" i="16"/>
  <c r="N95" i="16"/>
  <c r="M95" i="16"/>
  <c r="L95" i="16"/>
  <c r="K95" i="16"/>
  <c r="J95" i="16"/>
  <c r="I95" i="16"/>
  <c r="H95" i="16"/>
  <c r="G95" i="16"/>
  <c r="V94" i="16"/>
  <c r="U94" i="16"/>
  <c r="T94" i="16"/>
  <c r="S94" i="16"/>
  <c r="R94" i="16"/>
  <c r="Q94" i="16"/>
  <c r="P94" i="16"/>
  <c r="O94" i="16"/>
  <c r="N94" i="16"/>
  <c r="M94" i="16"/>
  <c r="L94" i="16"/>
  <c r="K94" i="16"/>
  <c r="J94" i="16"/>
  <c r="I94" i="16"/>
  <c r="H94" i="16"/>
  <c r="G94" i="16"/>
  <c r="V93" i="16"/>
  <c r="U93" i="16"/>
  <c r="T93" i="16"/>
  <c r="S93" i="16"/>
  <c r="R93" i="16"/>
  <c r="Q93" i="16"/>
  <c r="P93" i="16"/>
  <c r="O93" i="16"/>
  <c r="N93" i="16"/>
  <c r="M93" i="16"/>
  <c r="L93" i="16"/>
  <c r="K93" i="16"/>
  <c r="J93" i="16"/>
  <c r="I93" i="16"/>
  <c r="H93" i="16"/>
  <c r="G93" i="16"/>
  <c r="V92" i="16"/>
  <c r="U92" i="16"/>
  <c r="T92" i="16"/>
  <c r="S92" i="16"/>
  <c r="R92" i="16"/>
  <c r="Q92" i="16"/>
  <c r="P92" i="16"/>
  <c r="O92" i="16"/>
  <c r="N92" i="16"/>
  <c r="M92" i="16"/>
  <c r="L92" i="16"/>
  <c r="K92" i="16"/>
  <c r="J92" i="16"/>
  <c r="I92" i="16"/>
  <c r="H92" i="16"/>
  <c r="G92" i="16"/>
  <c r="V91" i="16"/>
  <c r="U91" i="16"/>
  <c r="T91" i="16"/>
  <c r="S91" i="16"/>
  <c r="R91" i="16"/>
  <c r="Q91" i="16"/>
  <c r="P91" i="16"/>
  <c r="O91" i="16"/>
  <c r="N91" i="16"/>
  <c r="M91" i="16"/>
  <c r="L91" i="16"/>
  <c r="K91" i="16"/>
  <c r="J91" i="16"/>
  <c r="I91" i="16"/>
  <c r="H91" i="16"/>
  <c r="G91" i="16"/>
  <c r="V90" i="16"/>
  <c r="U90" i="16"/>
  <c r="T90" i="16"/>
  <c r="S90" i="16"/>
  <c r="R90" i="16"/>
  <c r="Q90" i="16"/>
  <c r="P90" i="16"/>
  <c r="O90" i="16"/>
  <c r="N90" i="16"/>
  <c r="M90" i="16"/>
  <c r="L90" i="16"/>
  <c r="K90" i="16"/>
  <c r="J90" i="16"/>
  <c r="I90" i="16"/>
  <c r="H90" i="16"/>
  <c r="G90" i="16"/>
  <c r="V89" i="16"/>
  <c r="U89" i="16"/>
  <c r="T89" i="16"/>
  <c r="S89" i="16"/>
  <c r="R89" i="16"/>
  <c r="Q89" i="16"/>
  <c r="P89" i="16"/>
  <c r="O89" i="16"/>
  <c r="N89" i="16"/>
  <c r="M89" i="16"/>
  <c r="L89" i="16"/>
  <c r="K89" i="16"/>
  <c r="J89" i="16"/>
  <c r="I89" i="16"/>
  <c r="H89" i="16"/>
  <c r="G89" i="16"/>
  <c r="V88" i="16"/>
  <c r="U88" i="16"/>
  <c r="T88" i="16"/>
  <c r="S88" i="16"/>
  <c r="R88" i="16"/>
  <c r="Q88" i="16"/>
  <c r="P88" i="16"/>
  <c r="O88" i="16"/>
  <c r="N88" i="16"/>
  <c r="M88" i="16"/>
  <c r="L88" i="16"/>
  <c r="K88" i="16"/>
  <c r="J88" i="16"/>
  <c r="I88" i="16"/>
  <c r="H88" i="16"/>
  <c r="G88" i="16"/>
  <c r="V87" i="16"/>
  <c r="U87" i="16"/>
  <c r="R87" i="16"/>
  <c r="Q87" i="16"/>
  <c r="P87" i="16"/>
  <c r="O87" i="16"/>
  <c r="N87" i="16"/>
  <c r="M87" i="16"/>
  <c r="L87" i="16"/>
  <c r="J87" i="16"/>
  <c r="H87" i="16"/>
  <c r="V86" i="16"/>
  <c r="U86" i="16"/>
  <c r="R86" i="16"/>
  <c r="Q86" i="16"/>
  <c r="P86" i="16"/>
  <c r="O86" i="16"/>
  <c r="N86" i="16"/>
  <c r="M86" i="16"/>
  <c r="L86" i="16"/>
  <c r="J86" i="16"/>
  <c r="H86" i="16"/>
  <c r="V85" i="16"/>
  <c r="U85" i="16"/>
  <c r="R85" i="16"/>
  <c r="Q85" i="16"/>
  <c r="P85" i="16"/>
  <c r="O85" i="16"/>
  <c r="N85" i="16"/>
  <c r="M85" i="16"/>
  <c r="L85" i="16"/>
  <c r="J85" i="16"/>
  <c r="H85" i="16"/>
  <c r="V84" i="16"/>
  <c r="U84" i="16"/>
  <c r="R84" i="16"/>
  <c r="Q84" i="16"/>
  <c r="P84" i="16"/>
  <c r="O84" i="16"/>
  <c r="N84" i="16"/>
  <c r="M84" i="16"/>
  <c r="L84" i="16"/>
  <c r="J84" i="16"/>
  <c r="H84" i="16"/>
  <c r="V83" i="16"/>
  <c r="U83" i="16"/>
  <c r="R83" i="16"/>
  <c r="Q83" i="16"/>
  <c r="P83" i="16"/>
  <c r="O83" i="16"/>
  <c r="N83" i="16"/>
  <c r="M83" i="16"/>
  <c r="L83" i="16"/>
  <c r="J83" i="16"/>
  <c r="H83" i="16"/>
  <c r="V82" i="16"/>
  <c r="U82" i="16"/>
  <c r="R82" i="16"/>
  <c r="Q82" i="16"/>
  <c r="P82" i="16"/>
  <c r="O82" i="16"/>
  <c r="N82" i="16"/>
  <c r="M82" i="16"/>
  <c r="L82" i="16"/>
  <c r="J82" i="16"/>
  <c r="H82" i="16"/>
  <c r="V81" i="16"/>
  <c r="U81" i="16"/>
  <c r="R81" i="16"/>
  <c r="Q81" i="16"/>
  <c r="P81" i="16"/>
  <c r="O81" i="16"/>
  <c r="N81" i="16"/>
  <c r="M81" i="16"/>
  <c r="L81" i="16"/>
  <c r="J81" i="16"/>
  <c r="H81" i="16"/>
  <c r="V80" i="16"/>
  <c r="U80" i="16"/>
  <c r="R80" i="16"/>
  <c r="Q80" i="16"/>
  <c r="P80" i="16"/>
  <c r="O80" i="16"/>
  <c r="N80" i="16"/>
  <c r="M80" i="16"/>
  <c r="L80" i="16"/>
  <c r="J80" i="16"/>
  <c r="H80" i="16"/>
  <c r="V79" i="16"/>
  <c r="U79" i="16"/>
  <c r="R79" i="16"/>
  <c r="Q79" i="16"/>
  <c r="P79" i="16"/>
  <c r="O79" i="16"/>
  <c r="N79" i="16"/>
  <c r="M79" i="16"/>
  <c r="L79" i="16"/>
  <c r="J79" i="16"/>
  <c r="H79" i="16"/>
  <c r="V78" i="16"/>
  <c r="U78" i="16"/>
  <c r="T78" i="16"/>
  <c r="S78" i="16"/>
  <c r="R78" i="16"/>
  <c r="Q78" i="16"/>
  <c r="P78" i="16"/>
  <c r="O78" i="16"/>
  <c r="N78" i="16"/>
  <c r="M78" i="16"/>
  <c r="L78" i="16"/>
  <c r="K78" i="16"/>
  <c r="J78" i="16"/>
  <c r="I78" i="16"/>
  <c r="H78" i="16"/>
  <c r="G78" i="16"/>
  <c r="T77" i="16"/>
  <c r="K63" i="20" s="1"/>
  <c r="S77" i="16"/>
  <c r="J63" i="20" s="1"/>
  <c r="R77" i="16"/>
  <c r="Q77" i="16"/>
  <c r="P77" i="16"/>
  <c r="O77" i="16"/>
  <c r="N77" i="16"/>
  <c r="M77" i="16"/>
  <c r="L77" i="16"/>
  <c r="K77" i="16"/>
  <c r="J77" i="16"/>
  <c r="I77" i="16"/>
  <c r="H77" i="16"/>
  <c r="V76" i="16"/>
  <c r="U76" i="16"/>
  <c r="S76" i="16"/>
  <c r="J62" i="20" s="1"/>
  <c r="R76" i="16"/>
  <c r="Q76" i="16"/>
  <c r="O76" i="16"/>
  <c r="N76" i="16"/>
  <c r="M76" i="16"/>
  <c r="L76" i="16"/>
  <c r="J76" i="16"/>
  <c r="H76" i="16"/>
  <c r="V75" i="16"/>
  <c r="U75" i="16"/>
  <c r="T75" i="16"/>
  <c r="S75" i="16"/>
  <c r="P75" i="16"/>
  <c r="O75" i="16"/>
  <c r="N75" i="16"/>
  <c r="M75" i="16"/>
  <c r="L75" i="16"/>
  <c r="K75" i="16"/>
  <c r="J75" i="16"/>
  <c r="I75" i="16"/>
  <c r="V74" i="16"/>
  <c r="U74" i="16"/>
  <c r="T74" i="16"/>
  <c r="S74" i="16"/>
  <c r="R74" i="16"/>
  <c r="Q74" i="16"/>
  <c r="P74" i="16"/>
  <c r="O74" i="16"/>
  <c r="N74" i="16"/>
  <c r="M74" i="16"/>
  <c r="L74" i="16"/>
  <c r="K74" i="16"/>
  <c r="J74" i="16"/>
  <c r="I74" i="16"/>
  <c r="H74" i="16"/>
  <c r="G74" i="16"/>
  <c r="V73" i="16"/>
  <c r="U73" i="16"/>
  <c r="S73" i="16"/>
  <c r="R73" i="16"/>
  <c r="Q73" i="16"/>
  <c r="O73" i="16"/>
  <c r="N73" i="16"/>
  <c r="M73" i="16"/>
  <c r="L73" i="16"/>
  <c r="J73" i="16"/>
  <c r="H73" i="16"/>
  <c r="V72" i="16"/>
  <c r="U72" i="16"/>
  <c r="R72" i="16"/>
  <c r="Q72" i="16"/>
  <c r="P72" i="16"/>
  <c r="O72" i="16"/>
  <c r="N72" i="16"/>
  <c r="M72" i="16"/>
  <c r="L72" i="16"/>
  <c r="J72" i="16"/>
  <c r="H72" i="16"/>
  <c r="V71" i="16"/>
  <c r="U71" i="16"/>
  <c r="T71" i="16"/>
  <c r="S71" i="16"/>
  <c r="R71" i="16"/>
  <c r="Q71" i="16"/>
  <c r="P71" i="16"/>
  <c r="O71" i="16"/>
  <c r="N71" i="16"/>
  <c r="M71" i="16"/>
  <c r="L71" i="16"/>
  <c r="K71" i="16"/>
  <c r="J71" i="16"/>
  <c r="I71" i="16"/>
  <c r="H71" i="16"/>
  <c r="G71" i="16"/>
  <c r="V70" i="16"/>
  <c r="U70" i="16"/>
  <c r="T70" i="16"/>
  <c r="S70" i="16"/>
  <c r="R70" i="16"/>
  <c r="Q70" i="16"/>
  <c r="P70" i="16"/>
  <c r="O70" i="16"/>
  <c r="N70" i="16"/>
  <c r="M70" i="16"/>
  <c r="L70" i="16"/>
  <c r="K70" i="16"/>
  <c r="J70" i="16"/>
  <c r="I70" i="16"/>
  <c r="H70" i="16"/>
  <c r="G70" i="16"/>
  <c r="V69" i="16"/>
  <c r="U69" i="16"/>
  <c r="S69" i="16"/>
  <c r="R69" i="16"/>
  <c r="Q69" i="16"/>
  <c r="O69" i="16"/>
  <c r="N69" i="16"/>
  <c r="M69" i="16"/>
  <c r="L69" i="16"/>
  <c r="J69" i="16"/>
  <c r="H69" i="16"/>
  <c r="V68" i="16"/>
  <c r="BD68" i="16" s="1"/>
  <c r="U68" i="16"/>
  <c r="BC68" i="16" s="1"/>
  <c r="BL68" i="16" s="1"/>
  <c r="R68" i="16"/>
  <c r="AZ68" i="16" s="1"/>
  <c r="Q68" i="16"/>
  <c r="AY68" i="16" s="1"/>
  <c r="P68" i="16"/>
  <c r="AX68" i="16" s="1"/>
  <c r="O68" i="16"/>
  <c r="AW68" i="16" s="1"/>
  <c r="N68" i="16"/>
  <c r="AV68" i="16" s="1"/>
  <c r="M68" i="16"/>
  <c r="AU68" i="16" s="1"/>
  <c r="L68" i="16"/>
  <c r="AT68" i="16" s="1"/>
  <c r="J68" i="16"/>
  <c r="AR68" i="16" s="1"/>
  <c r="H68" i="16"/>
  <c r="AP68" i="16" s="1"/>
  <c r="V54" i="16"/>
  <c r="BD54" i="16" s="1"/>
  <c r="U54" i="16"/>
  <c r="BC54" i="16" s="1"/>
  <c r="BL54" i="16" s="1"/>
  <c r="T54" i="16"/>
  <c r="BB54" i="16" s="1"/>
  <c r="S54" i="16"/>
  <c r="BA54" i="16" s="1"/>
  <c r="R54" i="16"/>
  <c r="AZ54" i="16" s="1"/>
  <c r="Q54" i="16"/>
  <c r="AY54" i="16" s="1"/>
  <c r="P54" i="16"/>
  <c r="AX54" i="16" s="1"/>
  <c r="O54" i="16"/>
  <c r="AW54" i="16" s="1"/>
  <c r="N54" i="16"/>
  <c r="AV54" i="16" s="1"/>
  <c r="M54" i="16"/>
  <c r="AU54" i="16" s="1"/>
  <c r="L54" i="16"/>
  <c r="AT54" i="16" s="1"/>
  <c r="K54" i="16"/>
  <c r="AS54" i="16" s="1"/>
  <c r="J54" i="16"/>
  <c r="AR54" i="16" s="1"/>
  <c r="I54" i="16"/>
  <c r="AQ54" i="16" s="1"/>
  <c r="H54" i="16"/>
  <c r="AP54" i="16" s="1"/>
  <c r="G54" i="16"/>
  <c r="AO54" i="16" s="1"/>
  <c r="BH54" i="16" s="1"/>
  <c r="T53" i="16"/>
  <c r="K38" i="20" s="1"/>
  <c r="S53" i="16"/>
  <c r="J38" i="20" s="1"/>
  <c r="R53" i="16"/>
  <c r="Q53" i="16"/>
  <c r="P53" i="16"/>
  <c r="O53" i="16"/>
  <c r="N53" i="16"/>
  <c r="M53" i="16"/>
  <c r="L53" i="16"/>
  <c r="J53" i="16"/>
  <c r="H53" i="16"/>
  <c r="V52" i="16"/>
  <c r="U52" i="16"/>
  <c r="T52" i="16"/>
  <c r="S52" i="16"/>
  <c r="P52" i="16"/>
  <c r="O52" i="16"/>
  <c r="N52" i="16"/>
  <c r="M52" i="16"/>
  <c r="L52" i="16"/>
  <c r="K52" i="16"/>
  <c r="J52" i="16"/>
  <c r="I52" i="16"/>
  <c r="V51" i="16"/>
  <c r="U51" i="16"/>
  <c r="T51" i="16"/>
  <c r="S51" i="16"/>
  <c r="R51" i="16"/>
  <c r="Q51" i="16"/>
  <c r="P51" i="16"/>
  <c r="O51" i="16"/>
  <c r="N51" i="16"/>
  <c r="M51" i="16"/>
  <c r="L51" i="16"/>
  <c r="K51" i="16"/>
  <c r="J51" i="16"/>
  <c r="I51" i="16"/>
  <c r="H51" i="16"/>
  <c r="G51" i="16"/>
  <c r="V50" i="16"/>
  <c r="U50" i="16"/>
  <c r="S50" i="16"/>
  <c r="R50" i="16"/>
  <c r="Q50" i="16"/>
  <c r="O50" i="16"/>
  <c r="N50" i="16"/>
  <c r="M50" i="16"/>
  <c r="L50" i="16"/>
  <c r="J50" i="16"/>
  <c r="H50" i="16"/>
  <c r="V49" i="16"/>
  <c r="U49" i="16"/>
  <c r="R49" i="16"/>
  <c r="Q49" i="16"/>
  <c r="P49" i="16"/>
  <c r="O49" i="16"/>
  <c r="N49" i="16"/>
  <c r="M49" i="16"/>
  <c r="L49" i="16"/>
  <c r="J49" i="16"/>
  <c r="H49" i="16"/>
  <c r="V48" i="16"/>
  <c r="U48" i="16"/>
  <c r="T48" i="16"/>
  <c r="S48" i="16"/>
  <c r="R48" i="16"/>
  <c r="Q48" i="16"/>
  <c r="P48" i="16"/>
  <c r="O48" i="16"/>
  <c r="N48" i="16"/>
  <c r="M48" i="16"/>
  <c r="L48" i="16"/>
  <c r="K48" i="16"/>
  <c r="J48" i="16"/>
  <c r="I48" i="16"/>
  <c r="H48" i="16"/>
  <c r="G48" i="16"/>
  <c r="V47" i="16"/>
  <c r="U47" i="16"/>
  <c r="T47" i="16"/>
  <c r="S47" i="16"/>
  <c r="R47" i="16"/>
  <c r="Q47" i="16"/>
  <c r="P47" i="16"/>
  <c r="O47" i="16"/>
  <c r="N47" i="16"/>
  <c r="M47" i="16"/>
  <c r="J47" i="16"/>
  <c r="H47" i="16"/>
  <c r="V46" i="16"/>
  <c r="U46" i="16"/>
  <c r="T46" i="16"/>
  <c r="S46" i="16"/>
  <c r="R46" i="16"/>
  <c r="Q46" i="16"/>
  <c r="P46" i="16"/>
  <c r="O46" i="16"/>
  <c r="N46" i="16"/>
  <c r="M46" i="16"/>
  <c r="L46" i="16"/>
  <c r="J46" i="16"/>
  <c r="H46" i="16"/>
  <c r="V45" i="16"/>
  <c r="U45" i="16"/>
  <c r="T45" i="16"/>
  <c r="S45" i="16"/>
  <c r="R45" i="16"/>
  <c r="Q45" i="16"/>
  <c r="P45" i="16"/>
  <c r="O45" i="16"/>
  <c r="N45" i="16"/>
  <c r="M45" i="16"/>
  <c r="K45" i="16"/>
  <c r="J45" i="16"/>
  <c r="I45" i="16"/>
  <c r="V44" i="16"/>
  <c r="U44" i="16"/>
  <c r="T44" i="16"/>
  <c r="S44" i="16"/>
  <c r="R44" i="16"/>
  <c r="Q44" i="16"/>
  <c r="P44" i="16"/>
  <c r="O44" i="16"/>
  <c r="N44" i="16"/>
  <c r="M44" i="16"/>
  <c r="L44" i="16"/>
  <c r="K44" i="16"/>
  <c r="J44" i="16"/>
  <c r="I44" i="16"/>
  <c r="V43" i="16"/>
  <c r="U43" i="16"/>
  <c r="T43" i="16"/>
  <c r="S43" i="16"/>
  <c r="R43" i="16"/>
  <c r="Q43" i="16"/>
  <c r="P43" i="16"/>
  <c r="O43" i="16"/>
  <c r="N43" i="16"/>
  <c r="M43" i="16"/>
  <c r="L43" i="16"/>
  <c r="K43" i="16"/>
  <c r="J43" i="16"/>
  <c r="I43" i="16"/>
  <c r="H43" i="16"/>
  <c r="G43" i="16"/>
  <c r="V42" i="16"/>
  <c r="U42" i="16"/>
  <c r="T42" i="16"/>
  <c r="S42" i="16"/>
  <c r="R42" i="16"/>
  <c r="Q42" i="16"/>
  <c r="P42" i="16"/>
  <c r="O42" i="16"/>
  <c r="N42" i="16"/>
  <c r="M42" i="16"/>
  <c r="L42" i="16"/>
  <c r="K42" i="16"/>
  <c r="J42" i="16"/>
  <c r="I42" i="16"/>
  <c r="H42" i="16"/>
  <c r="G42" i="16"/>
  <c r="V41" i="16"/>
  <c r="U41" i="16"/>
  <c r="T41" i="16"/>
  <c r="S41" i="16"/>
  <c r="P41" i="16"/>
  <c r="O41" i="16"/>
  <c r="N41" i="16"/>
  <c r="M41" i="16"/>
  <c r="L41" i="16"/>
  <c r="K41" i="16"/>
  <c r="J41" i="16"/>
  <c r="I41" i="16"/>
  <c r="V40" i="16"/>
  <c r="U40" i="16"/>
  <c r="S40" i="16"/>
  <c r="R40" i="16"/>
  <c r="Q40" i="16"/>
  <c r="P40" i="16"/>
  <c r="O40" i="16"/>
  <c r="N40" i="16"/>
  <c r="M40" i="16"/>
  <c r="L40" i="16"/>
  <c r="H40" i="16"/>
  <c r="V39" i="16"/>
  <c r="U39" i="16"/>
  <c r="T39" i="16"/>
  <c r="S39" i="16"/>
  <c r="R39" i="16"/>
  <c r="Q39" i="16"/>
  <c r="P39" i="16"/>
  <c r="O39" i="16"/>
  <c r="N39" i="16"/>
  <c r="M39" i="16"/>
  <c r="L39" i="16"/>
  <c r="H39" i="16"/>
  <c r="V38" i="16"/>
  <c r="U38" i="16"/>
  <c r="T38" i="16"/>
  <c r="S38" i="16"/>
  <c r="R38" i="16"/>
  <c r="Q38" i="16"/>
  <c r="P38" i="16"/>
  <c r="O38" i="16"/>
  <c r="N38" i="16"/>
  <c r="M38" i="16"/>
  <c r="L38" i="16"/>
  <c r="K38" i="16"/>
  <c r="J38" i="16"/>
  <c r="I38" i="16"/>
  <c r="H38" i="16"/>
  <c r="G38" i="16"/>
  <c r="V37" i="16"/>
  <c r="U37" i="16"/>
  <c r="T37" i="16"/>
  <c r="S37" i="16"/>
  <c r="R37" i="16"/>
  <c r="Q37" i="16"/>
  <c r="P37" i="16"/>
  <c r="O37" i="16"/>
  <c r="N37" i="16"/>
  <c r="M37" i="16"/>
  <c r="K37" i="16"/>
  <c r="J37" i="16"/>
  <c r="I37" i="16"/>
  <c r="H37" i="16"/>
  <c r="G37" i="16"/>
  <c r="V36" i="16"/>
  <c r="U36" i="16"/>
  <c r="T36" i="16"/>
  <c r="S36" i="16"/>
  <c r="R36" i="16"/>
  <c r="Q36" i="16"/>
  <c r="P36" i="16"/>
  <c r="O36" i="16"/>
  <c r="N36" i="16"/>
  <c r="M36" i="16"/>
  <c r="J36" i="16"/>
  <c r="H36" i="16"/>
  <c r="V35" i="16"/>
  <c r="U35" i="16"/>
  <c r="T35" i="16"/>
  <c r="S35" i="16"/>
  <c r="R35" i="16"/>
  <c r="Q35" i="16"/>
  <c r="P35" i="16"/>
  <c r="O35" i="16"/>
  <c r="N35" i="16"/>
  <c r="M35" i="16"/>
  <c r="L35" i="16"/>
  <c r="J35" i="16"/>
  <c r="H35" i="16"/>
  <c r="V34" i="16"/>
  <c r="U34" i="16"/>
  <c r="T34" i="16"/>
  <c r="S34" i="16"/>
  <c r="R34" i="16"/>
  <c r="Q34" i="16"/>
  <c r="P34" i="16"/>
  <c r="O34" i="16"/>
  <c r="N34" i="16"/>
  <c r="M34" i="16"/>
  <c r="K34" i="16"/>
  <c r="J34" i="16"/>
  <c r="I34" i="16"/>
  <c r="V33" i="16"/>
  <c r="U33" i="16"/>
  <c r="T33" i="16"/>
  <c r="S33" i="16"/>
  <c r="R33" i="16"/>
  <c r="Q33" i="16"/>
  <c r="P33" i="16"/>
  <c r="O33" i="16"/>
  <c r="N33" i="16"/>
  <c r="M33" i="16"/>
  <c r="L33" i="16"/>
  <c r="K33" i="16"/>
  <c r="J33" i="16"/>
  <c r="I33" i="16"/>
  <c r="V32" i="16"/>
  <c r="U32" i="16"/>
  <c r="T32" i="16"/>
  <c r="S32" i="16"/>
  <c r="R32" i="16"/>
  <c r="Q32" i="16"/>
  <c r="P32" i="16"/>
  <c r="O32" i="16"/>
  <c r="N32" i="16"/>
  <c r="M32" i="16"/>
  <c r="L32" i="16"/>
  <c r="K32" i="16"/>
  <c r="J32" i="16"/>
  <c r="I32" i="16"/>
  <c r="H32" i="16"/>
  <c r="G32" i="16"/>
  <c r="V31" i="16"/>
  <c r="U31" i="16"/>
  <c r="T31" i="16"/>
  <c r="S31" i="16"/>
  <c r="R31" i="16"/>
  <c r="Q31" i="16"/>
  <c r="P31" i="16"/>
  <c r="O31" i="16"/>
  <c r="N31" i="16"/>
  <c r="M31" i="16"/>
  <c r="L31" i="16"/>
  <c r="K31" i="16"/>
  <c r="J31" i="16"/>
  <c r="I31" i="16"/>
  <c r="G31" i="16"/>
  <c r="V30" i="16"/>
  <c r="U30" i="16"/>
  <c r="T30" i="16"/>
  <c r="S30" i="16"/>
  <c r="R30" i="16"/>
  <c r="Q30" i="16"/>
  <c r="P30" i="16"/>
  <c r="O30" i="16"/>
  <c r="N30" i="16"/>
  <c r="M30" i="16"/>
  <c r="L30" i="16"/>
  <c r="K30" i="16"/>
  <c r="J30" i="16"/>
  <c r="I30" i="16"/>
  <c r="G30" i="16"/>
  <c r="V29" i="16"/>
  <c r="U29" i="16"/>
  <c r="T29" i="16"/>
  <c r="S29" i="16"/>
  <c r="R29" i="16"/>
  <c r="Q29" i="16"/>
  <c r="P29" i="16"/>
  <c r="O29" i="16"/>
  <c r="N29" i="16"/>
  <c r="M29" i="16"/>
  <c r="L29" i="16"/>
  <c r="K29" i="16"/>
  <c r="J29" i="16"/>
  <c r="I29" i="16"/>
  <c r="H29" i="16"/>
  <c r="G29" i="16"/>
  <c r="V28" i="16"/>
  <c r="U28" i="16"/>
  <c r="T28" i="16"/>
  <c r="S28" i="16"/>
  <c r="R28" i="16"/>
  <c r="Q28" i="16"/>
  <c r="P28" i="16"/>
  <c r="O28" i="16"/>
  <c r="N28" i="16"/>
  <c r="M28" i="16"/>
  <c r="L28" i="16"/>
  <c r="K28" i="16"/>
  <c r="J28" i="16"/>
  <c r="I28" i="16"/>
  <c r="H28" i="16"/>
  <c r="G28" i="16"/>
  <c r="V25" i="16"/>
  <c r="T25" i="16"/>
  <c r="S25" i="16"/>
  <c r="R25" i="16"/>
  <c r="Q25" i="16"/>
  <c r="P25" i="16"/>
  <c r="L25" i="16"/>
  <c r="H25" i="16"/>
  <c r="V24" i="16"/>
  <c r="T24" i="16"/>
  <c r="S24" i="16"/>
  <c r="R24" i="16"/>
  <c r="Q24" i="16"/>
  <c r="P24" i="16"/>
  <c r="O24" i="16"/>
  <c r="N24" i="16"/>
  <c r="M24" i="16"/>
  <c r="L24" i="16"/>
  <c r="H24" i="16"/>
  <c r="V23" i="16"/>
  <c r="U23" i="16"/>
  <c r="T23" i="16"/>
  <c r="S23" i="16"/>
  <c r="R23" i="16"/>
  <c r="Q23" i="16"/>
  <c r="P23" i="16"/>
  <c r="L23" i="16"/>
  <c r="H23" i="16"/>
  <c r="V22" i="16"/>
  <c r="U22" i="16"/>
  <c r="T22" i="16"/>
  <c r="S22" i="16"/>
  <c r="R22" i="16"/>
  <c r="Q22" i="16"/>
  <c r="P22" i="16"/>
  <c r="O22" i="16"/>
  <c r="N22" i="16"/>
  <c r="M22" i="16"/>
  <c r="L22" i="16"/>
  <c r="H22" i="16"/>
  <c r="V21" i="16"/>
  <c r="U21" i="16"/>
  <c r="T21" i="16"/>
  <c r="S21" i="16"/>
  <c r="R21" i="16"/>
  <c r="Q21" i="16"/>
  <c r="P21" i="16"/>
  <c r="L21" i="16"/>
  <c r="K21" i="16"/>
  <c r="J21" i="16"/>
  <c r="I21" i="16"/>
  <c r="V20" i="16"/>
  <c r="U20" i="16"/>
  <c r="T20" i="16"/>
  <c r="S20" i="16"/>
  <c r="R20" i="16"/>
  <c r="Q20" i="16"/>
  <c r="P20" i="16"/>
  <c r="O20" i="16"/>
  <c r="N20" i="16"/>
  <c r="M20" i="16"/>
  <c r="L20" i="16"/>
  <c r="K20" i="16"/>
  <c r="J20" i="16"/>
  <c r="I20" i="16"/>
  <c r="H20" i="16"/>
  <c r="G20" i="16"/>
  <c r="V19" i="16"/>
  <c r="U19" i="16"/>
  <c r="T19" i="16"/>
  <c r="S19" i="16"/>
  <c r="R19" i="16"/>
  <c r="Q19" i="16"/>
  <c r="P19" i="16"/>
  <c r="O19" i="16"/>
  <c r="N19" i="16"/>
  <c r="M19" i="16"/>
  <c r="K19" i="16"/>
  <c r="J19" i="16"/>
  <c r="I19" i="16"/>
  <c r="V18" i="16"/>
  <c r="U18" i="16"/>
  <c r="T18" i="16"/>
  <c r="S18" i="16"/>
  <c r="R18" i="16"/>
  <c r="Q18" i="16"/>
  <c r="P18" i="16"/>
  <c r="O18" i="16"/>
  <c r="N18" i="16"/>
  <c r="M18" i="16"/>
  <c r="L18" i="16"/>
  <c r="K18" i="16"/>
  <c r="J18" i="16"/>
  <c r="I18" i="16"/>
  <c r="V17" i="16"/>
  <c r="U17" i="16"/>
  <c r="T17" i="16"/>
  <c r="S17" i="16"/>
  <c r="R17" i="16"/>
  <c r="Q17" i="16"/>
  <c r="P17" i="16"/>
  <c r="O17" i="16"/>
  <c r="N17" i="16"/>
  <c r="M17" i="16"/>
  <c r="L17" i="16"/>
  <c r="K17" i="16"/>
  <c r="J17" i="16"/>
  <c r="I17" i="16"/>
  <c r="H17" i="16"/>
  <c r="G17" i="16"/>
  <c r="V16" i="16"/>
  <c r="U16" i="16"/>
  <c r="T16" i="16"/>
  <c r="S16" i="16"/>
  <c r="R16" i="16"/>
  <c r="Q16" i="16"/>
  <c r="P16" i="16"/>
  <c r="O16" i="16"/>
  <c r="N16" i="16"/>
  <c r="M16" i="16"/>
  <c r="L16" i="16"/>
  <c r="K16" i="16"/>
  <c r="J16" i="16"/>
  <c r="I16" i="16"/>
  <c r="H16" i="16"/>
  <c r="G16" i="16"/>
  <c r="AK86" i="8"/>
  <c r="AJ86" i="8"/>
  <c r="AB86" i="8"/>
  <c r="Z86" i="8"/>
  <c r="BJ54" i="16" l="1"/>
  <c r="BI54" i="16"/>
  <c r="BK54" i="16"/>
  <c r="BJ68" i="16"/>
  <c r="BF86" i="8"/>
  <c r="BM54" i="16" l="1"/>
  <c r="G20" i="19"/>
  <c r="H15" i="19" l="1"/>
  <c r="H18" i="19"/>
  <c r="H17" i="19"/>
  <c r="H19" i="19"/>
  <c r="H16" i="19"/>
  <c r="H20" i="19" l="1"/>
  <c r="K19" i="10"/>
  <c r="G23" i="10"/>
  <c r="G22" i="10"/>
  <c r="G21" i="10"/>
  <c r="E21" i="10"/>
  <c r="E22" i="10" s="1"/>
  <c r="E23" i="10" s="1"/>
  <c r="H19" i="10"/>
  <c r="J19" i="10"/>
  <c r="I19" i="10" l="1"/>
  <c r="B19" i="3" l="1"/>
  <c r="B21" i="3" s="1"/>
  <c r="B22" i="3" s="1"/>
  <c r="B19" i="16"/>
  <c r="B21" i="16" s="1"/>
  <c r="B22" i="16" s="1"/>
  <c r="B19" i="9"/>
  <c r="B21" i="9" s="1"/>
  <c r="B22" i="9" s="1"/>
  <c r="B19" i="8"/>
  <c r="B21" i="8" s="1"/>
  <c r="B22" i="8" s="1"/>
  <c r="X21" i="8"/>
  <c r="Y21" i="8"/>
  <c r="Z21" i="8"/>
  <c r="AQ21" i="8" s="1"/>
  <c r="AA21" i="8"/>
  <c r="AR21" i="8" s="1"/>
  <c r="AB21" i="8"/>
  <c r="AS21" i="8" s="1"/>
  <c r="AC21" i="8"/>
  <c r="AT21" i="8" s="1"/>
  <c r="AD21" i="8"/>
  <c r="AE21" i="8"/>
  <c r="AF21" i="8"/>
  <c r="AG21" i="8"/>
  <c r="AX21" i="8" s="1"/>
  <c r="AH21" i="8"/>
  <c r="AY21" i="8" s="1"/>
  <c r="AI21" i="8"/>
  <c r="AZ21" i="8" s="1"/>
  <c r="AJ21" i="8"/>
  <c r="BA21" i="8" s="1"/>
  <c r="AK21" i="8"/>
  <c r="BB21" i="8" s="1"/>
  <c r="AL21" i="8"/>
  <c r="BC21" i="8" s="1"/>
  <c r="AM21" i="8"/>
  <c r="BD21" i="8" s="1"/>
  <c r="X21" i="9"/>
  <c r="Y21" i="9"/>
  <c r="Z21" i="9"/>
  <c r="AQ21" i="9" s="1"/>
  <c r="AA21" i="9"/>
  <c r="AR21" i="9" s="1"/>
  <c r="AB21" i="9"/>
  <c r="AS21" i="9" s="1"/>
  <c r="AC21" i="9"/>
  <c r="AT21" i="9" s="1"/>
  <c r="AD21" i="9"/>
  <c r="AE21" i="9"/>
  <c r="AF21" i="9"/>
  <c r="AG21" i="9"/>
  <c r="AX21" i="9" s="1"/>
  <c r="AH21" i="9"/>
  <c r="AY21" i="9" s="1"/>
  <c r="AI21" i="9"/>
  <c r="AZ21" i="9" s="1"/>
  <c r="AJ21" i="9"/>
  <c r="BA21" i="9" s="1"/>
  <c r="AK21" i="9"/>
  <c r="BB21" i="9" s="1"/>
  <c r="AL21" i="9"/>
  <c r="BC21" i="9" s="1"/>
  <c r="AM21" i="9"/>
  <c r="BD21" i="9" s="1"/>
  <c r="X21" i="16"/>
  <c r="Y21" i="16"/>
  <c r="Z21" i="16"/>
  <c r="AQ21" i="16" s="1"/>
  <c r="AA21" i="16"/>
  <c r="AR21" i="16" s="1"/>
  <c r="AB21" i="16"/>
  <c r="AS21" i="16" s="1"/>
  <c r="AC21" i="16"/>
  <c r="AT21" i="16" s="1"/>
  <c r="AD21" i="16"/>
  <c r="AE21" i="16"/>
  <c r="AF21" i="16"/>
  <c r="AG21" i="16"/>
  <c r="AX21" i="16" s="1"/>
  <c r="AH21" i="16"/>
  <c r="AY21" i="16" s="1"/>
  <c r="AI21" i="16"/>
  <c r="AZ21" i="16" s="1"/>
  <c r="AJ21" i="16"/>
  <c r="BA21" i="16" s="1"/>
  <c r="AK21" i="16"/>
  <c r="BB21" i="16" s="1"/>
  <c r="AL21" i="16"/>
  <c r="BC21" i="16" s="1"/>
  <c r="AM21" i="16"/>
  <c r="BD21" i="16" s="1"/>
  <c r="X21" i="3"/>
  <c r="AA21" i="3"/>
  <c r="AB21" i="3"/>
  <c r="X21" i="2"/>
  <c r="Y21" i="2"/>
  <c r="Z21" i="2"/>
  <c r="AQ21" i="2" s="1"/>
  <c r="AA21" i="2"/>
  <c r="AR21" i="2" s="1"/>
  <c r="AB21" i="2"/>
  <c r="AS21" i="2" s="1"/>
  <c r="AC21" i="2"/>
  <c r="AT21" i="2" s="1"/>
  <c r="AD21" i="2"/>
  <c r="AE21" i="2"/>
  <c r="AF21" i="2"/>
  <c r="AG21" i="2"/>
  <c r="AX21" i="2" s="1"/>
  <c r="AH21" i="2"/>
  <c r="AY21" i="2" s="1"/>
  <c r="AI21" i="2"/>
  <c r="AZ21" i="2" s="1"/>
  <c r="AJ21" i="2"/>
  <c r="BA21" i="2" s="1"/>
  <c r="AK21" i="2"/>
  <c r="BB21" i="2" s="1"/>
  <c r="AL21" i="2"/>
  <c r="BC21" i="2" s="1"/>
  <c r="AM21" i="2"/>
  <c r="BD21" i="2" s="1"/>
  <c r="AC21" i="3" l="1"/>
  <c r="BL21" i="8"/>
  <c r="BL21" i="2"/>
  <c r="BL21" i="16"/>
  <c r="BK21" i="8"/>
  <c r="BK21" i="2"/>
  <c r="BK21" i="16"/>
  <c r="BL21" i="9"/>
  <c r="BK21" i="9"/>
  <c r="BF21" i="8"/>
  <c r="BO21" i="8" s="1"/>
  <c r="BF21" i="9"/>
  <c r="BO21" i="9" s="1"/>
  <c r="BF21" i="2"/>
  <c r="BO21" i="2" s="1"/>
  <c r="BF21" i="16"/>
  <c r="BO21" i="16" s="1"/>
  <c r="W7" i="3"/>
  <c r="BE7" i="16"/>
  <c r="BE101" i="16" s="1"/>
  <c r="BE7" i="9"/>
  <c r="BE7" i="8"/>
  <c r="BE7" i="2"/>
  <c r="W101" i="3" l="1"/>
  <c r="W65" i="3"/>
  <c r="W54" i="3"/>
  <c r="W57" i="3"/>
  <c r="W63" i="3"/>
  <c r="W64" i="3"/>
  <c r="W58" i="3"/>
  <c r="W59" i="3"/>
  <c r="W62" i="3"/>
  <c r="W61" i="3"/>
  <c r="W56" i="3"/>
  <c r="W55" i="3"/>
  <c r="W67" i="3"/>
  <c r="W60" i="3"/>
  <c r="W66" i="3"/>
  <c r="BE101" i="2"/>
  <c r="BE57" i="2"/>
  <c r="BE65" i="2"/>
  <c r="BE54" i="2"/>
  <c r="BE67" i="2"/>
  <c r="BE55" i="2"/>
  <c r="BE58" i="2"/>
  <c r="BE62" i="2"/>
  <c r="BE64" i="2"/>
  <c r="BE61" i="2"/>
  <c r="BE63" i="2"/>
  <c r="BE59" i="2"/>
  <c r="BE66" i="2"/>
  <c r="BE60" i="2"/>
  <c r="BE56" i="2"/>
  <c r="BE101" i="9"/>
  <c r="BE57" i="9"/>
  <c r="BE65" i="9"/>
  <c r="BE54" i="9"/>
  <c r="BE60" i="9"/>
  <c r="BE62" i="9"/>
  <c r="BE63" i="9"/>
  <c r="BE61" i="9"/>
  <c r="BE55" i="9"/>
  <c r="BE68" i="9"/>
  <c r="BE58" i="9"/>
  <c r="BE59" i="9"/>
  <c r="BE66" i="9"/>
  <c r="BE56" i="9"/>
  <c r="BE64" i="9"/>
  <c r="BE67" i="9"/>
  <c r="BE101" i="8"/>
  <c r="BE57" i="8"/>
  <c r="BE54" i="8"/>
  <c r="BE65" i="8"/>
  <c r="BE67" i="8"/>
  <c r="BE66" i="8"/>
  <c r="BE68" i="8"/>
  <c r="BE58" i="8"/>
  <c r="BE63" i="8"/>
  <c r="BE55" i="8"/>
  <c r="BE61" i="8"/>
  <c r="BE56" i="8"/>
  <c r="BE59" i="8"/>
  <c r="BE64" i="8"/>
  <c r="BE62" i="8"/>
  <c r="BE60" i="8"/>
  <c r="W26" i="3"/>
  <c r="W27" i="3"/>
  <c r="BE21" i="16"/>
  <c r="BE26" i="16"/>
  <c r="BE27" i="16"/>
  <c r="BE21" i="9"/>
  <c r="BE26" i="9"/>
  <c r="BE27" i="9"/>
  <c r="BE21" i="8"/>
  <c r="BE26" i="8"/>
  <c r="BE27" i="8"/>
  <c r="BE5" i="2"/>
  <c r="BE27" i="2"/>
  <c r="BE26" i="2"/>
  <c r="BE21" i="2"/>
  <c r="X86" i="8"/>
  <c r="BE86" i="8" s="1"/>
  <c r="X86" i="2" l="1"/>
  <c r="Y86" i="2"/>
  <c r="AP86" i="2" s="1"/>
  <c r="Z86" i="2"/>
  <c r="AA86" i="2"/>
  <c r="AR86" i="2" s="1"/>
  <c r="AB86" i="2"/>
  <c r="AC86" i="2"/>
  <c r="AT86" i="2" s="1"/>
  <c r="AD86" i="2"/>
  <c r="AU86" i="2" s="1"/>
  <c r="AE86" i="2"/>
  <c r="AV86" i="2" s="1"/>
  <c r="AF86" i="2"/>
  <c r="AG86" i="2"/>
  <c r="AX86" i="2" s="1"/>
  <c r="AH86" i="2"/>
  <c r="AY86" i="2" s="1"/>
  <c r="AI86" i="2"/>
  <c r="AZ86" i="2" s="1"/>
  <c r="AJ86" i="2"/>
  <c r="AK86" i="2"/>
  <c r="AL86" i="2"/>
  <c r="BC86" i="2" s="1"/>
  <c r="AM86" i="2"/>
  <c r="BD86" i="2" s="1"/>
  <c r="AW86" i="2"/>
  <c r="X86" i="3"/>
  <c r="AA86" i="3"/>
  <c r="AB86" i="3"/>
  <c r="X87" i="3"/>
  <c r="AA87" i="3"/>
  <c r="AB87" i="3"/>
  <c r="X88" i="3"/>
  <c r="AA88" i="3"/>
  <c r="AB88" i="3"/>
  <c r="X86" i="16"/>
  <c r="Y86" i="16"/>
  <c r="Z86" i="16"/>
  <c r="AA86" i="16"/>
  <c r="AB86" i="16"/>
  <c r="AC86" i="16"/>
  <c r="AD86" i="16"/>
  <c r="AE86" i="16"/>
  <c r="AF86" i="16"/>
  <c r="AG86" i="16"/>
  <c r="AH86" i="16"/>
  <c r="AI86" i="16"/>
  <c r="AJ86" i="16"/>
  <c r="AK86" i="16"/>
  <c r="AL86" i="16"/>
  <c r="BC86" i="16" s="1"/>
  <c r="AM86" i="16"/>
  <c r="BD86" i="16" s="1"/>
  <c r="X86" i="9"/>
  <c r="Y86" i="9"/>
  <c r="AP86" i="9" s="1"/>
  <c r="Z86" i="9"/>
  <c r="AA86" i="9"/>
  <c r="AR86" i="9" s="1"/>
  <c r="AB86" i="9"/>
  <c r="AC86" i="9"/>
  <c r="AT86" i="9" s="1"/>
  <c r="AD86" i="9"/>
  <c r="AU86" i="9" s="1"/>
  <c r="AE86" i="9"/>
  <c r="AV86" i="9" s="1"/>
  <c r="AF86" i="9"/>
  <c r="AW86" i="9" s="1"/>
  <c r="AG86" i="9"/>
  <c r="AX86" i="9" s="1"/>
  <c r="AH86" i="9"/>
  <c r="AY86" i="9" s="1"/>
  <c r="AI86" i="9"/>
  <c r="AZ86" i="9" s="1"/>
  <c r="AJ86" i="9"/>
  <c r="AK86" i="9"/>
  <c r="AL86" i="9"/>
  <c r="BC86" i="9" s="1"/>
  <c r="AM86" i="9"/>
  <c r="BD86" i="9" s="1"/>
  <c r="O425" i="17"/>
  <c r="O426" i="17"/>
  <c r="O427" i="17"/>
  <c r="O428" i="17"/>
  <c r="N424" i="17"/>
  <c r="O424" i="17" s="1"/>
  <c r="M191" i="17"/>
  <c r="Q194" i="17"/>
  <c r="M194" i="17"/>
  <c r="Q193" i="17"/>
  <c r="M193" i="17"/>
  <c r="Q192" i="17"/>
  <c r="M192" i="17"/>
  <c r="Q191" i="17"/>
  <c r="Q190" i="17"/>
  <c r="M190" i="17"/>
  <c r="AC87" i="3" l="1"/>
  <c r="AC86" i="3"/>
  <c r="AC88" i="3"/>
  <c r="AW86" i="16"/>
  <c r="BL86" i="16"/>
  <c r="AZ86" i="16"/>
  <c r="AR86" i="16"/>
  <c r="AX86" i="16"/>
  <c r="AT86" i="16"/>
  <c r="AV86" i="16"/>
  <c r="BL86" i="9"/>
  <c r="AP86" i="16"/>
  <c r="AY86" i="16"/>
  <c r="AU86" i="16"/>
  <c r="BL86" i="2"/>
  <c r="BF86" i="16"/>
  <c r="BJ86" i="9"/>
  <c r="BJ86" i="2"/>
  <c r="BF86" i="9"/>
  <c r="BF86" i="2"/>
  <c r="BJ86" i="16" l="1"/>
  <c r="AT21" i="20"/>
  <c r="AT20" i="20"/>
  <c r="G80" i="19" s="1"/>
  <c r="BF5" i="2" l="1"/>
  <c r="BO60" i="20" l="1"/>
  <c r="G49" i="16" l="1"/>
  <c r="Q52" i="16"/>
  <c r="S72" i="16"/>
  <c r="G116" i="16"/>
  <c r="U77" i="16"/>
  <c r="V53" i="16"/>
  <c r="G77" i="16"/>
  <c r="U24" i="16"/>
  <c r="R41" i="16"/>
  <c r="G50" i="16"/>
  <c r="G72" i="16"/>
  <c r="T76" i="16"/>
  <c r="T96" i="16"/>
  <c r="T40" i="16"/>
  <c r="G53" i="16"/>
  <c r="V77" i="16"/>
  <c r="S49" i="16"/>
  <c r="P50" i="16"/>
  <c r="R52" i="16"/>
  <c r="T72" i="16"/>
  <c r="G76" i="16"/>
  <c r="G96" i="16"/>
  <c r="S116" i="16"/>
  <c r="U53" i="16"/>
  <c r="T49" i="16"/>
  <c r="T50" i="16"/>
  <c r="G73" i="16"/>
  <c r="P76" i="16"/>
  <c r="S96" i="16"/>
  <c r="T116" i="16"/>
  <c r="H326" i="17"/>
  <c r="H284" i="17"/>
  <c r="H270" i="17"/>
  <c r="H319" i="17"/>
  <c r="H305" i="17"/>
  <c r="H291" i="17"/>
  <c r="H277" i="17"/>
  <c r="H263" i="17"/>
  <c r="H245" i="17"/>
  <c r="H224" i="17"/>
  <c r="H210" i="17"/>
  <c r="H312" i="17"/>
  <c r="H298" i="17"/>
  <c r="H231" i="17"/>
  <c r="H252" i="17"/>
  <c r="H217" i="17"/>
  <c r="G124" i="17"/>
  <c r="F198" i="17"/>
  <c r="F190" i="17"/>
  <c r="F182" i="17"/>
  <c r="F174" i="17"/>
  <c r="F166" i="17"/>
  <c r="F158" i="17"/>
  <c r="F150" i="17"/>
  <c r="F142" i="17"/>
  <c r="F134" i="17"/>
  <c r="G122" i="17"/>
  <c r="F114" i="17"/>
  <c r="F106" i="17"/>
  <c r="F90" i="17"/>
  <c r="F82" i="17"/>
  <c r="F74" i="17"/>
  <c r="F50" i="17"/>
  <c r="F42" i="17"/>
  <c r="F58" i="17"/>
  <c r="F34" i="17"/>
  <c r="F26" i="17"/>
  <c r="F18" i="17"/>
  <c r="F191" i="17"/>
  <c r="F418" i="17"/>
  <c r="F411" i="17"/>
  <c r="F404" i="17"/>
  <c r="F397" i="17"/>
  <c r="F390" i="17"/>
  <c r="F383" i="17"/>
  <c r="F376" i="17"/>
  <c r="F369" i="17"/>
  <c r="F362" i="17"/>
  <c r="F351" i="17"/>
  <c r="F344" i="17"/>
  <c r="F337" i="17"/>
  <c r="H122" i="17"/>
  <c r="H190" i="17"/>
  <c r="T190" i="17" s="1"/>
  <c r="H174" i="17"/>
  <c r="H158" i="17"/>
  <c r="H142" i="17"/>
  <c r="H166" i="17"/>
  <c r="H182" i="17"/>
  <c r="H198" i="17"/>
  <c r="H134" i="17"/>
  <c r="H150" i="17"/>
  <c r="G114" i="17"/>
  <c r="G106" i="17"/>
  <c r="G90" i="17"/>
  <c r="G82" i="17"/>
  <c r="G74" i="17"/>
  <c r="G50" i="17"/>
  <c r="G42" i="17"/>
  <c r="G58" i="17"/>
  <c r="G34" i="17"/>
  <c r="G26" i="17"/>
  <c r="G18" i="17"/>
  <c r="AU36" i="20"/>
  <c r="G125" i="17"/>
  <c r="G191" i="17"/>
  <c r="S191" i="17" s="1"/>
  <c r="S86" i="8" s="1"/>
  <c r="G418" i="17"/>
  <c r="G411" i="17"/>
  <c r="K411" i="17" s="1"/>
  <c r="G404" i="17"/>
  <c r="K404" i="17" s="1"/>
  <c r="G397" i="17"/>
  <c r="K397" i="17" s="1"/>
  <c r="G390" i="17"/>
  <c r="K390" i="17" s="1"/>
  <c r="G383" i="17"/>
  <c r="G376" i="17"/>
  <c r="K376" i="17" s="1"/>
  <c r="G369" i="17"/>
  <c r="K369" i="17" s="1"/>
  <c r="G362" i="17"/>
  <c r="K362" i="17" s="1"/>
  <c r="G351" i="17"/>
  <c r="G344" i="17"/>
  <c r="G337" i="17"/>
  <c r="F123" i="17"/>
  <c r="F192" i="17"/>
  <c r="F326" i="17"/>
  <c r="F319" i="17"/>
  <c r="F312" i="17"/>
  <c r="F305" i="17"/>
  <c r="F298" i="17"/>
  <c r="F291" i="17"/>
  <c r="F284" i="17"/>
  <c r="F277" i="17"/>
  <c r="F270" i="17"/>
  <c r="F263" i="17"/>
  <c r="F252" i="17"/>
  <c r="F245" i="17"/>
  <c r="F231" i="17"/>
  <c r="F224" i="17"/>
  <c r="F217" i="17"/>
  <c r="F210" i="17"/>
  <c r="H123" i="17"/>
  <c r="H192" i="17"/>
  <c r="T192" i="17" s="1"/>
  <c r="T86" i="9" s="1"/>
  <c r="F122" i="17"/>
  <c r="H124" i="17"/>
  <c r="G198" i="17"/>
  <c r="G190" i="17"/>
  <c r="S190" i="17" s="1"/>
  <c r="G86" i="8" s="1"/>
  <c r="G182" i="17"/>
  <c r="K182" i="17" s="1"/>
  <c r="G174" i="17"/>
  <c r="G166" i="17"/>
  <c r="G158" i="17"/>
  <c r="G150" i="17"/>
  <c r="G142" i="17"/>
  <c r="G134" i="17"/>
  <c r="H106" i="17"/>
  <c r="H82" i="17"/>
  <c r="H50" i="17"/>
  <c r="H58" i="17"/>
  <c r="H26" i="17"/>
  <c r="H90" i="17"/>
  <c r="H18" i="17"/>
  <c r="H114" i="17"/>
  <c r="H34" i="17"/>
  <c r="H42" i="17"/>
  <c r="H74" i="17"/>
  <c r="BO36" i="20"/>
  <c r="H125" i="17"/>
  <c r="H191" i="17"/>
  <c r="T191" i="17" s="1"/>
  <c r="S86" i="9" s="1"/>
  <c r="H418" i="17"/>
  <c r="H390" i="17"/>
  <c r="H362" i="17"/>
  <c r="H411" i="17"/>
  <c r="H397" i="17"/>
  <c r="H383" i="17"/>
  <c r="H369" i="17"/>
  <c r="H351" i="17"/>
  <c r="H337" i="17"/>
  <c r="H404" i="17"/>
  <c r="H376" i="17"/>
  <c r="H344" i="17"/>
  <c r="G123" i="17"/>
  <c r="G192" i="17"/>
  <c r="S192" i="17" s="1"/>
  <c r="T86" i="8" s="1"/>
  <c r="G326" i="17"/>
  <c r="G319" i="17"/>
  <c r="K319" i="17" s="1"/>
  <c r="G312" i="17"/>
  <c r="K312" i="17" s="1"/>
  <c r="G305" i="17"/>
  <c r="G298" i="17"/>
  <c r="G291" i="17"/>
  <c r="G284" i="17"/>
  <c r="K284" i="17" s="1"/>
  <c r="G277" i="17"/>
  <c r="K277" i="17" s="1"/>
  <c r="G270" i="17"/>
  <c r="K270" i="17" s="1"/>
  <c r="G263" i="17"/>
  <c r="K263" i="17" s="1"/>
  <c r="G252" i="17"/>
  <c r="K252" i="17" s="1"/>
  <c r="G245" i="17"/>
  <c r="G231" i="17"/>
  <c r="G224" i="17"/>
  <c r="G217" i="17"/>
  <c r="G210" i="17"/>
  <c r="F124" i="17"/>
  <c r="N124" i="17" s="1"/>
  <c r="AO86" i="23" l="1"/>
  <c r="BH86" i="23" s="1"/>
  <c r="G86" i="9"/>
  <c r="BM66" i="20" s="1"/>
  <c r="BA86" i="22"/>
  <c r="AY66" i="20"/>
  <c r="BB86" i="22"/>
  <c r="AO86" i="8"/>
  <c r="BH86" i="8" s="1"/>
  <c r="AO86" i="22"/>
  <c r="BH86" i="22" s="1"/>
  <c r="BA86" i="9"/>
  <c r="BA86" i="23"/>
  <c r="BB86" i="23"/>
  <c r="N122" i="17"/>
  <c r="R122" i="17" s="1"/>
  <c r="AS66" i="20"/>
  <c r="U25" i="16"/>
  <c r="AX66" i="20"/>
  <c r="BA86" i="8"/>
  <c r="BB86" i="9"/>
  <c r="BS66" i="20"/>
  <c r="R192" i="17"/>
  <c r="I192" i="17"/>
  <c r="R190" i="17"/>
  <c r="I190" i="17"/>
  <c r="R191" i="17"/>
  <c r="I191" i="17"/>
  <c r="Q126" i="17"/>
  <c r="M126" i="17"/>
  <c r="Q125" i="17"/>
  <c r="M125" i="17"/>
  <c r="Q124" i="17"/>
  <c r="M124" i="17"/>
  <c r="T124" i="17"/>
  <c r="T69" i="9" s="1"/>
  <c r="BS51" i="20" s="1"/>
  <c r="S124" i="17"/>
  <c r="T69" i="8" s="1"/>
  <c r="AY51" i="20" s="1"/>
  <c r="R124" i="17"/>
  <c r="Q123" i="17"/>
  <c r="M123" i="17"/>
  <c r="T123" i="17"/>
  <c r="P69" i="9" s="1"/>
  <c r="BT51" i="20" s="1"/>
  <c r="S123" i="17"/>
  <c r="P69" i="8" s="1"/>
  <c r="AZ51" i="20" s="1"/>
  <c r="R123" i="17"/>
  <c r="T122" i="17"/>
  <c r="G69" i="9" s="1"/>
  <c r="BM51" i="20" s="1"/>
  <c r="Q122" i="17"/>
  <c r="M122" i="17"/>
  <c r="S122" i="17"/>
  <c r="G69" i="8" s="1"/>
  <c r="AS51" i="20" s="1"/>
  <c r="Q118" i="17"/>
  <c r="M118" i="17"/>
  <c r="Q117" i="17"/>
  <c r="M117" i="17"/>
  <c r="M116" i="17"/>
  <c r="H116" i="17"/>
  <c r="T116" i="17" s="1"/>
  <c r="T68" i="9" s="1"/>
  <c r="G116" i="17"/>
  <c r="S116" i="17" s="1"/>
  <c r="T68" i="8" s="1"/>
  <c r="F116" i="17"/>
  <c r="Q115" i="17"/>
  <c r="M115" i="17"/>
  <c r="H115" i="17"/>
  <c r="T115" i="17" s="1"/>
  <c r="S68" i="9" s="1"/>
  <c r="G115" i="17"/>
  <c r="S115" i="17" s="1"/>
  <c r="S68" i="8" s="1"/>
  <c r="F115" i="17"/>
  <c r="R115" i="17" s="1"/>
  <c r="M114" i="17"/>
  <c r="T114" i="17"/>
  <c r="G68" i="9" s="1"/>
  <c r="S114" i="17"/>
  <c r="G68" i="8" s="1"/>
  <c r="Q110" i="17"/>
  <c r="M110" i="17"/>
  <c r="Q109" i="17"/>
  <c r="M109" i="17"/>
  <c r="M108" i="17"/>
  <c r="H108" i="17"/>
  <c r="T108" i="17" s="1"/>
  <c r="T67" i="9" s="1"/>
  <c r="G108" i="17"/>
  <c r="S108" i="17" s="1"/>
  <c r="T67" i="8" s="1"/>
  <c r="F108" i="17"/>
  <c r="Q107" i="17"/>
  <c r="M107" i="17"/>
  <c r="H107" i="17"/>
  <c r="T107" i="17" s="1"/>
  <c r="S67" i="9" s="1"/>
  <c r="G107" i="17"/>
  <c r="S107" i="17" s="1"/>
  <c r="S67" i="8" s="1"/>
  <c r="F107" i="17"/>
  <c r="R107" i="17" s="1"/>
  <c r="T106" i="17"/>
  <c r="G67" i="9" s="1"/>
  <c r="S106" i="17"/>
  <c r="G67" i="8" s="1"/>
  <c r="M106" i="17"/>
  <c r="Q94" i="17"/>
  <c r="M94" i="17"/>
  <c r="Q93" i="17"/>
  <c r="M93" i="17"/>
  <c r="Q92" i="17"/>
  <c r="M92" i="17"/>
  <c r="H92" i="17"/>
  <c r="T92" i="17" s="1"/>
  <c r="G92" i="17"/>
  <c r="S92" i="17" s="1"/>
  <c r="F92" i="17"/>
  <c r="R92" i="17" s="1"/>
  <c r="Q91" i="17"/>
  <c r="M91" i="17"/>
  <c r="H91" i="17"/>
  <c r="T91" i="17" s="1"/>
  <c r="G91" i="17"/>
  <c r="S91" i="17" s="1"/>
  <c r="F91" i="17"/>
  <c r="R91" i="17" s="1"/>
  <c r="S90" i="17"/>
  <c r="Q90" i="17"/>
  <c r="M90" i="17"/>
  <c r="T90" i="17"/>
  <c r="R90" i="17"/>
  <c r="Q86" i="17"/>
  <c r="M86" i="17"/>
  <c r="Q85" i="17"/>
  <c r="M85" i="17"/>
  <c r="M84" i="17"/>
  <c r="H84" i="17"/>
  <c r="T84" i="17" s="1"/>
  <c r="T64" i="9" s="1"/>
  <c r="G84" i="17"/>
  <c r="S84" i="17" s="1"/>
  <c r="T64" i="8" s="1"/>
  <c r="F84" i="17"/>
  <c r="Q83" i="17"/>
  <c r="M83" i="17"/>
  <c r="H83" i="17"/>
  <c r="T83" i="17" s="1"/>
  <c r="S64" i="9" s="1"/>
  <c r="G83" i="17"/>
  <c r="S83" i="17" s="1"/>
  <c r="S64" i="8" s="1"/>
  <c r="F83" i="17"/>
  <c r="R83" i="17" s="1"/>
  <c r="T82" i="17"/>
  <c r="G64" i="9" s="1"/>
  <c r="M82" i="17"/>
  <c r="S82" i="17"/>
  <c r="G64" i="8" s="1"/>
  <c r="Q78" i="17"/>
  <c r="M78" i="17"/>
  <c r="Q77" i="17"/>
  <c r="M77" i="17"/>
  <c r="M76" i="17"/>
  <c r="H76" i="17"/>
  <c r="T76" i="17" s="1"/>
  <c r="T63" i="9" s="1"/>
  <c r="G76" i="17"/>
  <c r="S76" i="17" s="1"/>
  <c r="T63" i="8" s="1"/>
  <c r="F76" i="17"/>
  <c r="N74" i="17" s="1"/>
  <c r="Q75" i="17"/>
  <c r="M75" i="17"/>
  <c r="H75" i="17"/>
  <c r="T75" i="17" s="1"/>
  <c r="S63" i="9" s="1"/>
  <c r="G75" i="17"/>
  <c r="S75" i="17" s="1"/>
  <c r="S63" i="8" s="1"/>
  <c r="F75" i="17"/>
  <c r="R75" i="17" s="1"/>
  <c r="M74" i="17"/>
  <c r="T74" i="17"/>
  <c r="G63" i="9" s="1"/>
  <c r="S74" i="17"/>
  <c r="G63" i="8" s="1"/>
  <c r="Q54" i="17"/>
  <c r="M54" i="17"/>
  <c r="Q53" i="17"/>
  <c r="M53" i="17"/>
  <c r="M52" i="17"/>
  <c r="H52" i="17"/>
  <c r="T52" i="17" s="1"/>
  <c r="T60" i="9" s="1"/>
  <c r="G52" i="17"/>
  <c r="S52" i="17" s="1"/>
  <c r="T60" i="8" s="1"/>
  <c r="F52" i="17"/>
  <c r="N52" i="17" s="1"/>
  <c r="Q52" i="17" s="1"/>
  <c r="Q51" i="17"/>
  <c r="M51" i="17"/>
  <c r="H51" i="17"/>
  <c r="T51" i="17" s="1"/>
  <c r="S60" i="9" s="1"/>
  <c r="G51" i="17"/>
  <c r="S51" i="17" s="1"/>
  <c r="S60" i="8" s="1"/>
  <c r="F51" i="17"/>
  <c r="T50" i="17"/>
  <c r="G60" i="9" s="1"/>
  <c r="S50" i="17"/>
  <c r="G60" i="8" s="1"/>
  <c r="M50" i="17"/>
  <c r="I50" i="17"/>
  <c r="Q46" i="17"/>
  <c r="M46" i="17"/>
  <c r="Q45" i="17"/>
  <c r="M45" i="17"/>
  <c r="M44" i="17"/>
  <c r="H44" i="17"/>
  <c r="T44" i="17" s="1"/>
  <c r="T59" i="9" s="1"/>
  <c r="G44" i="17"/>
  <c r="S44" i="17" s="1"/>
  <c r="T59" i="8" s="1"/>
  <c r="F44" i="17"/>
  <c r="N42" i="17" s="1"/>
  <c r="Q43" i="17"/>
  <c r="M43" i="17"/>
  <c r="H43" i="17"/>
  <c r="T43" i="17" s="1"/>
  <c r="S59" i="9" s="1"/>
  <c r="G43" i="17"/>
  <c r="S43" i="17" s="1"/>
  <c r="S59" i="8" s="1"/>
  <c r="F43" i="17"/>
  <c r="R43" i="17" s="1"/>
  <c r="T42" i="17"/>
  <c r="G59" i="9" s="1"/>
  <c r="S42" i="17"/>
  <c r="G59" i="8" s="1"/>
  <c r="M42" i="17"/>
  <c r="Q62" i="17"/>
  <c r="M62" i="17"/>
  <c r="Q61" i="17"/>
  <c r="M61" i="17"/>
  <c r="M60" i="17"/>
  <c r="H60" i="17"/>
  <c r="T60" i="17" s="1"/>
  <c r="T61" i="9" s="1"/>
  <c r="G60" i="17"/>
  <c r="S60" i="17" s="1"/>
  <c r="T61" i="8" s="1"/>
  <c r="F60" i="17"/>
  <c r="N60" i="17" s="1"/>
  <c r="Q60" i="17" s="1"/>
  <c r="Q59" i="17"/>
  <c r="M59" i="17"/>
  <c r="H59" i="17"/>
  <c r="T59" i="17" s="1"/>
  <c r="S61" i="9" s="1"/>
  <c r="G59" i="17"/>
  <c r="S59" i="17" s="1"/>
  <c r="S61" i="8" s="1"/>
  <c r="F59" i="17"/>
  <c r="S58" i="17"/>
  <c r="G61" i="8" s="1"/>
  <c r="M58" i="17"/>
  <c r="T58" i="17"/>
  <c r="G61" i="9" s="1"/>
  <c r="I58" i="17"/>
  <c r="Q38" i="17"/>
  <c r="M38" i="17"/>
  <c r="Q37" i="17"/>
  <c r="M37" i="17"/>
  <c r="M36" i="17"/>
  <c r="H36" i="17"/>
  <c r="T36" i="17" s="1"/>
  <c r="T58" i="9" s="1"/>
  <c r="G36" i="17"/>
  <c r="S36" i="17" s="1"/>
  <c r="T58" i="8" s="1"/>
  <c r="F36" i="17"/>
  <c r="Q35" i="17"/>
  <c r="M35" i="17"/>
  <c r="H35" i="17"/>
  <c r="T35" i="17" s="1"/>
  <c r="S58" i="9" s="1"/>
  <c r="G35" i="17"/>
  <c r="S35" i="17" s="1"/>
  <c r="S58" i="8" s="1"/>
  <c r="F35" i="17"/>
  <c r="R35" i="17" s="1"/>
  <c r="M34" i="17"/>
  <c r="T34" i="17"/>
  <c r="G58" i="9" s="1"/>
  <c r="S34" i="17"/>
  <c r="G58" i="8" s="1"/>
  <c r="Q30" i="17"/>
  <c r="M30" i="17"/>
  <c r="Q29" i="17"/>
  <c r="M29" i="17"/>
  <c r="Q28" i="17"/>
  <c r="M28" i="17"/>
  <c r="H28" i="17"/>
  <c r="T28" i="17" s="1"/>
  <c r="G28" i="17"/>
  <c r="S28" i="17" s="1"/>
  <c r="F28" i="17"/>
  <c r="R28" i="17" s="1"/>
  <c r="Q27" i="17"/>
  <c r="M27" i="17"/>
  <c r="H27" i="17"/>
  <c r="T27" i="17" s="1"/>
  <c r="G27" i="17"/>
  <c r="S27" i="17" s="1"/>
  <c r="F27" i="17"/>
  <c r="R27" i="17" s="1"/>
  <c r="S26" i="17"/>
  <c r="Q26" i="17"/>
  <c r="M26" i="17"/>
  <c r="T26" i="17"/>
  <c r="R26" i="17"/>
  <c r="H20" i="17"/>
  <c r="H19" i="17"/>
  <c r="G20" i="17"/>
  <c r="G19" i="17"/>
  <c r="Q21" i="17"/>
  <c r="M21" i="17"/>
  <c r="F20" i="17"/>
  <c r="N20" i="17" s="1"/>
  <c r="F19" i="17"/>
  <c r="BR47" i="20" l="1"/>
  <c r="BA64" i="9"/>
  <c r="BM41" i="20"/>
  <c r="AO58" i="9"/>
  <c r="BH58" i="9" s="1"/>
  <c r="AX49" i="20"/>
  <c r="BA67" i="8"/>
  <c r="BS41" i="20"/>
  <c r="BB58" i="9"/>
  <c r="AY44" i="20"/>
  <c r="BB61" i="8"/>
  <c r="AS42" i="20"/>
  <c r="AO59" i="8"/>
  <c r="BH59" i="8" s="1"/>
  <c r="AY42" i="20"/>
  <c r="BB59" i="8"/>
  <c r="AS46" i="20"/>
  <c r="AO63" i="8"/>
  <c r="BH63" i="8" s="1"/>
  <c r="AS47" i="20"/>
  <c r="AO64" i="8"/>
  <c r="BH64" i="8" s="1"/>
  <c r="BR49" i="20"/>
  <c r="BA67" i="9"/>
  <c r="BR50" i="20"/>
  <c r="BA68" i="9"/>
  <c r="BR43" i="20"/>
  <c r="BA60" i="9"/>
  <c r="BM44" i="20"/>
  <c r="AO61" i="9"/>
  <c r="BH61" i="9" s="1"/>
  <c r="AS44" i="20"/>
  <c r="AO61" i="8"/>
  <c r="BH61" i="8" s="1"/>
  <c r="BS44" i="20"/>
  <c r="BB61" i="9"/>
  <c r="BM42" i="20"/>
  <c r="AO59" i="9"/>
  <c r="BH59" i="9" s="1"/>
  <c r="BS42" i="20"/>
  <c r="BB59" i="9"/>
  <c r="AS43" i="20"/>
  <c r="AO60" i="8"/>
  <c r="BH60" i="8" s="1"/>
  <c r="AY43" i="20"/>
  <c r="BB60" i="8"/>
  <c r="BM46" i="20"/>
  <c r="AO63" i="9"/>
  <c r="BH63" i="9" s="1"/>
  <c r="AY46" i="20"/>
  <c r="BB63" i="8"/>
  <c r="AY47" i="20"/>
  <c r="BB64" i="8"/>
  <c r="BR46" i="20"/>
  <c r="BA63" i="9"/>
  <c r="BS49" i="20"/>
  <c r="BB67" i="9"/>
  <c r="AY41" i="20"/>
  <c r="BB58" i="8"/>
  <c r="AX41" i="20"/>
  <c r="BA58" i="8"/>
  <c r="BK58" i="8" s="1"/>
  <c r="BM43" i="20"/>
  <c r="AO60" i="9"/>
  <c r="BH60" i="9" s="1"/>
  <c r="BS43" i="20"/>
  <c r="BB60" i="9"/>
  <c r="BS46" i="20"/>
  <c r="BB63" i="9"/>
  <c r="BM47" i="20"/>
  <c r="AO64" i="9"/>
  <c r="BH64" i="9" s="1"/>
  <c r="BS47" i="20"/>
  <c r="BB64" i="9"/>
  <c r="BM49" i="20"/>
  <c r="AO67" i="9"/>
  <c r="BH67" i="9" s="1"/>
  <c r="BR41" i="20"/>
  <c r="BA58" i="9"/>
  <c r="AX44" i="20"/>
  <c r="BA61" i="8"/>
  <c r="BK61" i="8" s="1"/>
  <c r="AX42" i="20"/>
  <c r="BA59" i="8"/>
  <c r="BK59" i="8" s="1"/>
  <c r="AS50" i="20"/>
  <c r="AO68" i="8"/>
  <c r="BH68" i="8" s="1"/>
  <c r="BS50" i="20"/>
  <c r="BB68" i="9"/>
  <c r="AS41" i="20"/>
  <c r="AO58" i="8"/>
  <c r="BH58" i="8" s="1"/>
  <c r="AX50" i="20"/>
  <c r="BA68" i="8"/>
  <c r="BR44" i="20"/>
  <c r="BA61" i="9"/>
  <c r="BR42" i="20"/>
  <c r="BA59" i="9"/>
  <c r="BK59" i="9" s="1"/>
  <c r="AX43" i="20"/>
  <c r="BA60" i="8"/>
  <c r="AX46" i="20"/>
  <c r="BA63" i="8"/>
  <c r="AX47" i="20"/>
  <c r="BA64" i="8"/>
  <c r="AS49" i="20"/>
  <c r="AO67" i="8"/>
  <c r="BH67" i="8" s="1"/>
  <c r="AY49" i="20"/>
  <c r="BB67" i="8"/>
  <c r="BM50" i="20"/>
  <c r="AO68" i="9"/>
  <c r="BH68" i="9" s="1"/>
  <c r="AY50" i="20"/>
  <c r="BB68" i="8"/>
  <c r="BK86" i="22"/>
  <c r="BB86" i="8"/>
  <c r="BK86" i="8" s="1"/>
  <c r="BR66" i="20"/>
  <c r="AX69" i="22"/>
  <c r="AO68" i="22"/>
  <c r="BB68" i="22"/>
  <c r="AO69" i="22"/>
  <c r="BB69" i="22"/>
  <c r="BA68" i="22"/>
  <c r="BA58" i="23"/>
  <c r="BA59" i="23"/>
  <c r="AO68" i="23"/>
  <c r="BH68" i="23" s="1"/>
  <c r="BA60" i="23"/>
  <c r="BB68" i="23"/>
  <c r="BB57" i="23"/>
  <c r="AO58" i="23"/>
  <c r="BH58" i="23" s="1"/>
  <c r="S65" i="16"/>
  <c r="BA65" i="16" s="1"/>
  <c r="AO69" i="23"/>
  <c r="BB69" i="23"/>
  <c r="AO57" i="23"/>
  <c r="BH57" i="23" s="1"/>
  <c r="BA68" i="23"/>
  <c r="BK86" i="23"/>
  <c r="AO59" i="23"/>
  <c r="BH59" i="23" s="1"/>
  <c r="BB59" i="23"/>
  <c r="BB58" i="23"/>
  <c r="BA57" i="23"/>
  <c r="AO60" i="23"/>
  <c r="BH60" i="23" s="1"/>
  <c r="BB60" i="23"/>
  <c r="AX69" i="23"/>
  <c r="G86" i="24"/>
  <c r="AO86" i="24" s="1"/>
  <c r="BH86" i="24" s="1"/>
  <c r="AO86" i="21"/>
  <c r="BH86" i="21" s="1"/>
  <c r="T86" i="24"/>
  <c r="BB86" i="24" s="1"/>
  <c r="BB86" i="21"/>
  <c r="S86" i="24"/>
  <c r="BA86" i="24" s="1"/>
  <c r="BA86" i="21"/>
  <c r="P69" i="2"/>
  <c r="AF51" i="20" s="1"/>
  <c r="G69" i="2"/>
  <c r="Y51" i="20" s="1"/>
  <c r="BB69" i="21"/>
  <c r="BA67" i="21"/>
  <c r="BA68" i="21"/>
  <c r="G57" i="16"/>
  <c r="AO57" i="16" s="1"/>
  <c r="BH57" i="16" s="1"/>
  <c r="G65" i="16"/>
  <c r="AO65" i="16" s="1"/>
  <c r="BH65" i="16" s="1"/>
  <c r="Q74" i="17"/>
  <c r="R74" i="17"/>
  <c r="Q42" i="17"/>
  <c r="R42" i="17"/>
  <c r="U42" i="17" s="1"/>
  <c r="N36" i="17"/>
  <c r="Q36" i="17" s="1"/>
  <c r="N84" i="17"/>
  <c r="Q84" i="17" s="1"/>
  <c r="N82" i="17"/>
  <c r="N116" i="17"/>
  <c r="Q116" i="17" s="1"/>
  <c r="N50" i="17"/>
  <c r="Q50" i="17" s="1"/>
  <c r="N76" i="17"/>
  <c r="Q76" i="17" s="1"/>
  <c r="N58" i="17"/>
  <c r="N108" i="17"/>
  <c r="Q108" i="17" s="1"/>
  <c r="N106" i="17"/>
  <c r="N114" i="17"/>
  <c r="N44" i="17"/>
  <c r="Q44" i="17" s="1"/>
  <c r="N18" i="17"/>
  <c r="N34" i="17"/>
  <c r="BK86" i="9"/>
  <c r="AO86" i="9"/>
  <c r="BH86" i="9" s="1"/>
  <c r="U191" i="17"/>
  <c r="S86" i="2"/>
  <c r="U192" i="17"/>
  <c r="T86" i="2"/>
  <c r="U190" i="17"/>
  <c r="G86" i="2"/>
  <c r="I51" i="17"/>
  <c r="I60" i="17"/>
  <c r="I59" i="17"/>
  <c r="R60" i="17"/>
  <c r="T57" i="16"/>
  <c r="BB57" i="16" s="1"/>
  <c r="R59" i="17"/>
  <c r="T69" i="2"/>
  <c r="AE51" i="20" s="1"/>
  <c r="S59" i="2"/>
  <c r="R51" i="17"/>
  <c r="U75" i="17"/>
  <c r="S68" i="2"/>
  <c r="S57" i="16"/>
  <c r="BA57" i="16" s="1"/>
  <c r="U35" i="17"/>
  <c r="U83" i="17"/>
  <c r="U91" i="17"/>
  <c r="U92" i="17"/>
  <c r="I52" i="17"/>
  <c r="U107" i="17"/>
  <c r="U90" i="17"/>
  <c r="R52" i="17"/>
  <c r="S64" i="2"/>
  <c r="BA64" i="2" s="1"/>
  <c r="S67" i="2"/>
  <c r="BA67" i="2" s="1"/>
  <c r="I123" i="17"/>
  <c r="S58" i="2"/>
  <c r="BA58" i="2" s="1"/>
  <c r="S63" i="2"/>
  <c r="BA63" i="2" s="1"/>
  <c r="I82" i="17"/>
  <c r="U122" i="17"/>
  <c r="U123" i="17"/>
  <c r="U124" i="17"/>
  <c r="I122" i="17"/>
  <c r="I124" i="17"/>
  <c r="U115" i="17"/>
  <c r="I115" i="17"/>
  <c r="I114" i="17"/>
  <c r="I116" i="17"/>
  <c r="I106" i="17"/>
  <c r="I107" i="17"/>
  <c r="I108" i="17"/>
  <c r="I91" i="17"/>
  <c r="I92" i="17"/>
  <c r="I90" i="17"/>
  <c r="I83" i="17"/>
  <c r="I84" i="17"/>
  <c r="U74" i="17"/>
  <c r="I75" i="17"/>
  <c r="I76" i="17"/>
  <c r="I74" i="17"/>
  <c r="U43" i="17"/>
  <c r="I42" i="17"/>
  <c r="I43" i="17"/>
  <c r="I44" i="17"/>
  <c r="I34" i="17"/>
  <c r="I35" i="17"/>
  <c r="I36" i="17"/>
  <c r="U26" i="17"/>
  <c r="U27" i="17"/>
  <c r="U28" i="17"/>
  <c r="I26" i="17"/>
  <c r="I28" i="17"/>
  <c r="I27" i="17"/>
  <c r="BK61" i="9" l="1"/>
  <c r="BK64" i="8"/>
  <c r="BK63" i="8"/>
  <c r="BH69" i="22"/>
  <c r="G156" i="22"/>
  <c r="BH68" i="22"/>
  <c r="G155" i="22"/>
  <c r="BH69" i="23"/>
  <c r="G156" i="23"/>
  <c r="BK60" i="8"/>
  <c r="BK57" i="16"/>
  <c r="BK68" i="8"/>
  <c r="BK63" i="9"/>
  <c r="BK68" i="9"/>
  <c r="BK67" i="8"/>
  <c r="BK60" i="9"/>
  <c r="BK67" i="9"/>
  <c r="AD42" i="20"/>
  <c r="BA59" i="2"/>
  <c r="BK58" i="9"/>
  <c r="BK64" i="9"/>
  <c r="G69" i="16"/>
  <c r="E51" i="20" s="1"/>
  <c r="P69" i="16"/>
  <c r="L51" i="20" s="1"/>
  <c r="S64" i="16"/>
  <c r="AD47" i="20"/>
  <c r="S68" i="16"/>
  <c r="AD50" i="20"/>
  <c r="S63" i="16"/>
  <c r="AD46" i="20"/>
  <c r="S58" i="16"/>
  <c r="AD41" i="20"/>
  <c r="S67" i="16"/>
  <c r="AD49" i="20"/>
  <c r="BK68" i="23"/>
  <c r="BK57" i="23"/>
  <c r="S63" i="24"/>
  <c r="BA63" i="24" s="1"/>
  <c r="T57" i="24"/>
  <c r="BB57" i="24" s="1"/>
  <c r="S58" i="24"/>
  <c r="BA58" i="24" s="1"/>
  <c r="S65" i="24"/>
  <c r="BA65" i="24" s="1"/>
  <c r="BK65" i="24" s="1"/>
  <c r="S67" i="24"/>
  <c r="BA67" i="24" s="1"/>
  <c r="T65" i="16"/>
  <c r="BB65" i="16" s="1"/>
  <c r="BK65" i="16" s="1"/>
  <c r="S59" i="16"/>
  <c r="S59" i="24"/>
  <c r="BA59" i="24" s="1"/>
  <c r="T65" i="24"/>
  <c r="BB65" i="24" s="1"/>
  <c r="BK68" i="22"/>
  <c r="S64" i="24"/>
  <c r="BA64" i="24" s="1"/>
  <c r="BK60" i="23"/>
  <c r="BK69" i="22"/>
  <c r="AX133" i="22"/>
  <c r="AX136" i="22" s="1"/>
  <c r="T69" i="24"/>
  <c r="BB69" i="24" s="1"/>
  <c r="BK59" i="23"/>
  <c r="BK69" i="23"/>
  <c r="AX133" i="23"/>
  <c r="AX136" i="23" s="1"/>
  <c r="T69" i="16"/>
  <c r="K51" i="20" s="1"/>
  <c r="S68" i="24"/>
  <c r="BA68" i="24" s="1"/>
  <c r="BK58" i="23"/>
  <c r="S57" i="24"/>
  <c r="BA57" i="24" s="1"/>
  <c r="BK86" i="24"/>
  <c r="BK86" i="21"/>
  <c r="R50" i="17"/>
  <c r="G60" i="2" s="1"/>
  <c r="AO60" i="2" s="1"/>
  <c r="BH60" i="2" s="1"/>
  <c r="G69" i="24"/>
  <c r="AO69" i="24" s="1"/>
  <c r="BH69" i="24" s="1"/>
  <c r="AO69" i="21"/>
  <c r="P69" i="24"/>
  <c r="AX69" i="24" s="1"/>
  <c r="AX69" i="21"/>
  <c r="T61" i="24"/>
  <c r="BB61" i="24" s="1"/>
  <c r="G57" i="24"/>
  <c r="AO57" i="24" s="1"/>
  <c r="BH57" i="24" s="1"/>
  <c r="S60" i="24"/>
  <c r="BA60" i="24" s="1"/>
  <c r="G59" i="2"/>
  <c r="AO59" i="2" s="1"/>
  <c r="BH59" i="2" s="1"/>
  <c r="S61" i="24"/>
  <c r="BA61" i="24" s="1"/>
  <c r="G63" i="2"/>
  <c r="AO63" i="2" s="1"/>
  <c r="BH63" i="2" s="1"/>
  <c r="G65" i="24"/>
  <c r="AO65" i="24" s="1"/>
  <c r="BH65" i="24" s="1"/>
  <c r="T60" i="24"/>
  <c r="BB60" i="24" s="1"/>
  <c r="R84" i="17"/>
  <c r="R108" i="17"/>
  <c r="R34" i="17"/>
  <c r="Q34" i="17"/>
  <c r="R58" i="17"/>
  <c r="Q58" i="17"/>
  <c r="R76" i="17"/>
  <c r="R36" i="17"/>
  <c r="R44" i="17"/>
  <c r="R114" i="17"/>
  <c r="Q114" i="17"/>
  <c r="Q106" i="17"/>
  <c r="R106" i="17"/>
  <c r="R116" i="17"/>
  <c r="R82" i="17"/>
  <c r="Q82" i="17"/>
  <c r="AE66" i="20"/>
  <c r="T86" i="16"/>
  <c r="Y66" i="20"/>
  <c r="G86" i="16"/>
  <c r="AD66" i="20"/>
  <c r="S86" i="16"/>
  <c r="BB86" i="2"/>
  <c r="AO86" i="2"/>
  <c r="BH86" i="2" s="1"/>
  <c r="BA86" i="2"/>
  <c r="T61" i="2"/>
  <c r="BB61" i="2" s="1"/>
  <c r="U60" i="17"/>
  <c r="S61" i="2"/>
  <c r="BA61" i="2" s="1"/>
  <c r="T60" i="2"/>
  <c r="BB60" i="2" s="1"/>
  <c r="U59" i="17"/>
  <c r="S60" i="2"/>
  <c r="BA60" i="2" s="1"/>
  <c r="U52" i="17"/>
  <c r="U51" i="17"/>
  <c r="BK57" i="24" l="1"/>
  <c r="BK60" i="24"/>
  <c r="BH69" i="21"/>
  <c r="G156" i="21"/>
  <c r="BK61" i="24"/>
  <c r="BK60" i="2"/>
  <c r="BK61" i="2"/>
  <c r="J49" i="20"/>
  <c r="BA67" i="16"/>
  <c r="J47" i="20"/>
  <c r="BA64" i="16"/>
  <c r="J41" i="20"/>
  <c r="BA58" i="16"/>
  <c r="J46" i="20"/>
  <c r="BA63" i="16"/>
  <c r="J42" i="20"/>
  <c r="BA59" i="16"/>
  <c r="J50" i="20"/>
  <c r="BA68" i="16"/>
  <c r="U50" i="17"/>
  <c r="S60" i="16"/>
  <c r="AD43" i="20"/>
  <c r="S61" i="16"/>
  <c r="AD44" i="20"/>
  <c r="T61" i="16"/>
  <c r="AE44" i="20"/>
  <c r="T60" i="16"/>
  <c r="AE43" i="20"/>
  <c r="G60" i="16"/>
  <c r="Y43" i="20"/>
  <c r="G59" i="16"/>
  <c r="Y42" i="20"/>
  <c r="G63" i="16"/>
  <c r="Y46" i="20"/>
  <c r="T68" i="24"/>
  <c r="BB68" i="24" s="1"/>
  <c r="BK68" i="24" s="1"/>
  <c r="BB68" i="21"/>
  <c r="BK68" i="21" s="1"/>
  <c r="G60" i="24"/>
  <c r="AO60" i="24" s="1"/>
  <c r="BH60" i="24" s="1"/>
  <c r="BK69" i="21"/>
  <c r="AX133" i="21"/>
  <c r="AX136" i="21" s="1"/>
  <c r="T63" i="24"/>
  <c r="BB63" i="24" s="1"/>
  <c r="BK63" i="24" s="1"/>
  <c r="G59" i="24"/>
  <c r="AO59" i="24" s="1"/>
  <c r="BH59" i="24" s="1"/>
  <c r="G67" i="24"/>
  <c r="AO67" i="24" s="1"/>
  <c r="BH67" i="24" s="1"/>
  <c r="AO67" i="21"/>
  <c r="G61" i="24"/>
  <c r="AO61" i="24" s="1"/>
  <c r="BH61" i="24" s="1"/>
  <c r="BK69" i="24"/>
  <c r="AX133" i="24"/>
  <c r="AX136" i="24" s="1"/>
  <c r="G58" i="24"/>
  <c r="AO58" i="24" s="1"/>
  <c r="BH58" i="24" s="1"/>
  <c r="G68" i="24"/>
  <c r="AO68" i="24" s="1"/>
  <c r="BH68" i="24" s="1"/>
  <c r="AO68" i="21"/>
  <c r="BH68" i="21" s="1"/>
  <c r="T67" i="24"/>
  <c r="BB67" i="24" s="1"/>
  <c r="BK67" i="24" s="1"/>
  <c r="BB67" i="21"/>
  <c r="BK67" i="21" s="1"/>
  <c r="G63" i="24"/>
  <c r="AO63" i="24" s="1"/>
  <c r="BH63" i="24" s="1"/>
  <c r="T59" i="24"/>
  <c r="BB59" i="24" s="1"/>
  <c r="BK59" i="24" s="1"/>
  <c r="T64" i="24"/>
  <c r="BB64" i="24" s="1"/>
  <c r="BK64" i="24" s="1"/>
  <c r="G64" i="24"/>
  <c r="AO64" i="24" s="1"/>
  <c r="BH64" i="24" s="1"/>
  <c r="T58" i="24"/>
  <c r="BB58" i="24" s="1"/>
  <c r="BK58" i="24" s="1"/>
  <c r="U84" i="17"/>
  <c r="T64" i="2"/>
  <c r="BB64" i="2" s="1"/>
  <c r="BK64" i="2" s="1"/>
  <c r="T67" i="2"/>
  <c r="BB67" i="2" s="1"/>
  <c r="BK67" i="2" s="1"/>
  <c r="U108" i="17"/>
  <c r="G68" i="2"/>
  <c r="Y50" i="20" s="1"/>
  <c r="U114" i="17"/>
  <c r="U44" i="17"/>
  <c r="T59" i="2"/>
  <c r="BB59" i="2" s="1"/>
  <c r="BK59" i="2" s="1"/>
  <c r="U36" i="17"/>
  <c r="T58" i="2"/>
  <c r="BB58" i="2" s="1"/>
  <c r="BK58" i="2" s="1"/>
  <c r="G64" i="2"/>
  <c r="AO64" i="2" s="1"/>
  <c r="BH64" i="2" s="1"/>
  <c r="U82" i="17"/>
  <c r="U76" i="17"/>
  <c r="T63" i="2"/>
  <c r="BB63" i="2" s="1"/>
  <c r="BK63" i="2" s="1"/>
  <c r="T68" i="2"/>
  <c r="AE50" i="20" s="1"/>
  <c r="U116" i="17"/>
  <c r="G67" i="2"/>
  <c r="AO67" i="2" s="1"/>
  <c r="BH67" i="2" s="1"/>
  <c r="U106" i="17"/>
  <c r="G61" i="2"/>
  <c r="AO61" i="2" s="1"/>
  <c r="BH61" i="2" s="1"/>
  <c r="U58" i="17"/>
  <c r="G58" i="2"/>
  <c r="AO58" i="2" s="1"/>
  <c r="BH58" i="2" s="1"/>
  <c r="U34" i="17"/>
  <c r="AO86" i="16"/>
  <c r="BH86" i="16" s="1"/>
  <c r="E66" i="20"/>
  <c r="BA86" i="16"/>
  <c r="J66" i="20"/>
  <c r="BK86" i="2"/>
  <c r="BB86" i="16"/>
  <c r="K66" i="20"/>
  <c r="X81" i="16"/>
  <c r="Y81" i="16"/>
  <c r="Z81" i="16"/>
  <c r="AA81" i="16"/>
  <c r="AB81" i="16"/>
  <c r="AC81" i="16"/>
  <c r="AD81" i="16"/>
  <c r="AE81" i="16"/>
  <c r="AF81" i="16"/>
  <c r="AG81" i="16"/>
  <c r="AH81" i="16"/>
  <c r="AI81" i="16"/>
  <c r="AJ81" i="16"/>
  <c r="AK81" i="16"/>
  <c r="AL81" i="16"/>
  <c r="AM81" i="16"/>
  <c r="X80" i="9"/>
  <c r="Y80" i="9"/>
  <c r="Z80" i="9"/>
  <c r="AA80" i="9"/>
  <c r="AR80" i="9" s="1"/>
  <c r="AB80" i="9"/>
  <c r="AC80" i="9"/>
  <c r="AT80" i="9" s="1"/>
  <c r="AD80" i="9"/>
  <c r="AU80" i="9" s="1"/>
  <c r="AE80" i="9"/>
  <c r="AV80" i="9" s="1"/>
  <c r="AF80" i="9"/>
  <c r="AW80" i="9" s="1"/>
  <c r="AG80" i="9"/>
  <c r="AX80" i="9" s="1"/>
  <c r="AH80" i="9"/>
  <c r="AY80" i="9" s="1"/>
  <c r="AI80" i="9"/>
  <c r="AZ80" i="9" s="1"/>
  <c r="AJ80" i="9"/>
  <c r="AK80" i="9"/>
  <c r="AL80" i="9"/>
  <c r="BC80" i="9" s="1"/>
  <c r="AM80" i="9"/>
  <c r="BD80" i="9" s="1"/>
  <c r="X81" i="9"/>
  <c r="Y81" i="9"/>
  <c r="Z81" i="9"/>
  <c r="AA81" i="9"/>
  <c r="AR81" i="9" s="1"/>
  <c r="AB81" i="9"/>
  <c r="AC81" i="9"/>
  <c r="AT81" i="9" s="1"/>
  <c r="AD81" i="9"/>
  <c r="AU81" i="9" s="1"/>
  <c r="AE81" i="9"/>
  <c r="AV81" i="9" s="1"/>
  <c r="AF81" i="9"/>
  <c r="AW81" i="9" s="1"/>
  <c r="AG81" i="9"/>
  <c r="AX81" i="9" s="1"/>
  <c r="AH81" i="9"/>
  <c r="AY81" i="9" s="1"/>
  <c r="AI81" i="9"/>
  <c r="AZ81" i="9" s="1"/>
  <c r="AJ81" i="9"/>
  <c r="AK81" i="9"/>
  <c r="AL81" i="9"/>
  <c r="BC81" i="9" s="1"/>
  <c r="AM81" i="9"/>
  <c r="BD81" i="9" s="1"/>
  <c r="X82" i="9"/>
  <c r="Y82" i="9"/>
  <c r="Z82" i="9"/>
  <c r="AA82" i="9"/>
  <c r="AR82" i="9" s="1"/>
  <c r="AB82" i="9"/>
  <c r="AC82" i="9"/>
  <c r="AT82" i="9" s="1"/>
  <c r="AD82" i="9"/>
  <c r="AU82" i="9" s="1"/>
  <c r="AE82" i="9"/>
  <c r="AV82" i="9" s="1"/>
  <c r="AF82" i="9"/>
  <c r="AW82" i="9" s="1"/>
  <c r="AG82" i="9"/>
  <c r="AX82" i="9" s="1"/>
  <c r="AH82" i="9"/>
  <c r="AY82" i="9" s="1"/>
  <c r="AI82" i="9"/>
  <c r="AZ82" i="9" s="1"/>
  <c r="AJ82" i="9"/>
  <c r="AK82" i="9"/>
  <c r="AL82" i="9"/>
  <c r="BC82" i="9" s="1"/>
  <c r="AM82" i="9"/>
  <c r="BD82" i="9" s="1"/>
  <c r="X83" i="9"/>
  <c r="Y83" i="9"/>
  <c r="Z83" i="9"/>
  <c r="AA83" i="9"/>
  <c r="AR83" i="9" s="1"/>
  <c r="AB83" i="9"/>
  <c r="AC83" i="9"/>
  <c r="AT83" i="9" s="1"/>
  <c r="AD83" i="9"/>
  <c r="AU83" i="9" s="1"/>
  <c r="AE83" i="9"/>
  <c r="AV83" i="9" s="1"/>
  <c r="AF83" i="9"/>
  <c r="AW83" i="9" s="1"/>
  <c r="AG83" i="9"/>
  <c r="AX83" i="9" s="1"/>
  <c r="AH83" i="9"/>
  <c r="AY83" i="9" s="1"/>
  <c r="AI83" i="9"/>
  <c r="AZ83" i="9" s="1"/>
  <c r="AJ83" i="9"/>
  <c r="AK83" i="9"/>
  <c r="AL83" i="9"/>
  <c r="BC83" i="9" s="1"/>
  <c r="AM83" i="9"/>
  <c r="BD83" i="9" s="1"/>
  <c r="X81" i="8"/>
  <c r="Y81" i="8"/>
  <c r="Z81" i="8"/>
  <c r="AA81" i="8"/>
  <c r="AR81" i="8" s="1"/>
  <c r="AB81" i="8"/>
  <c r="AC81" i="8"/>
  <c r="AT81" i="8" s="1"/>
  <c r="AD81" i="8"/>
  <c r="AU81" i="8" s="1"/>
  <c r="AE81" i="8"/>
  <c r="AV81" i="8" s="1"/>
  <c r="AF81" i="8"/>
  <c r="AW81" i="8" s="1"/>
  <c r="AG81" i="8"/>
  <c r="AX81" i="8" s="1"/>
  <c r="AH81" i="8"/>
  <c r="AY81" i="8" s="1"/>
  <c r="AI81" i="8"/>
  <c r="AZ81" i="8" s="1"/>
  <c r="AJ81" i="8"/>
  <c r="AK81" i="8"/>
  <c r="AL81" i="8"/>
  <c r="BC81" i="8" s="1"/>
  <c r="AM81" i="8"/>
  <c r="BD81" i="8" s="1"/>
  <c r="X82" i="8"/>
  <c r="Y82" i="8"/>
  <c r="Z82" i="8"/>
  <c r="AA82" i="8"/>
  <c r="AR82" i="8" s="1"/>
  <c r="AB82" i="8"/>
  <c r="AC82" i="8"/>
  <c r="AT82" i="8" s="1"/>
  <c r="AD82" i="8"/>
  <c r="AU82" i="8" s="1"/>
  <c r="AE82" i="8"/>
  <c r="AV82" i="8" s="1"/>
  <c r="AF82" i="8"/>
  <c r="AW82" i="8" s="1"/>
  <c r="AG82" i="8"/>
  <c r="AX82" i="8" s="1"/>
  <c r="AH82" i="8"/>
  <c r="AY82" i="8" s="1"/>
  <c r="AI82" i="8"/>
  <c r="AZ82" i="8" s="1"/>
  <c r="AJ82" i="8"/>
  <c r="AK82" i="8"/>
  <c r="AL82" i="8"/>
  <c r="BC82" i="8" s="1"/>
  <c r="AM82" i="8"/>
  <c r="BD82" i="8" s="1"/>
  <c r="X83" i="8"/>
  <c r="Y83" i="8"/>
  <c r="Z83" i="8"/>
  <c r="AA83" i="8"/>
  <c r="AR83" i="8" s="1"/>
  <c r="AB83" i="8"/>
  <c r="AC83" i="8"/>
  <c r="AT83" i="8" s="1"/>
  <c r="AD83" i="8"/>
  <c r="AU83" i="8" s="1"/>
  <c r="AE83" i="8"/>
  <c r="AV83" i="8" s="1"/>
  <c r="AF83" i="8"/>
  <c r="AW83" i="8" s="1"/>
  <c r="AG83" i="8"/>
  <c r="AX83" i="8" s="1"/>
  <c r="AH83" i="8"/>
  <c r="AY83" i="8" s="1"/>
  <c r="AI83" i="8"/>
  <c r="AZ83" i="8" s="1"/>
  <c r="AJ83" i="8"/>
  <c r="AK83" i="8"/>
  <c r="AL83" i="8"/>
  <c r="BC83" i="8" s="1"/>
  <c r="AM83" i="8"/>
  <c r="BD83" i="8" s="1"/>
  <c r="X84" i="8"/>
  <c r="Y84" i="8"/>
  <c r="Z84" i="8"/>
  <c r="AA84" i="8"/>
  <c r="AR84" i="8" s="1"/>
  <c r="AB84" i="8"/>
  <c r="AC84" i="8"/>
  <c r="AT84" i="8" s="1"/>
  <c r="AD84" i="8"/>
  <c r="AU84" i="8" s="1"/>
  <c r="AE84" i="8"/>
  <c r="AV84" i="8" s="1"/>
  <c r="AF84" i="8"/>
  <c r="AW84" i="8" s="1"/>
  <c r="AG84" i="8"/>
  <c r="AX84" i="8" s="1"/>
  <c r="AH84" i="8"/>
  <c r="AY84" i="8" s="1"/>
  <c r="AI84" i="8"/>
  <c r="AZ84" i="8" s="1"/>
  <c r="AJ84" i="8"/>
  <c r="AK84" i="8"/>
  <c r="AL84" i="8"/>
  <c r="BC84" i="8" s="1"/>
  <c r="AM84" i="8"/>
  <c r="BD84" i="8" s="1"/>
  <c r="X81" i="3"/>
  <c r="AA81" i="3"/>
  <c r="AB81" i="3"/>
  <c r="X82" i="3"/>
  <c r="AA82" i="3"/>
  <c r="AB82" i="3"/>
  <c r="X81" i="2"/>
  <c r="Y81" i="2"/>
  <c r="AP81" i="2" s="1"/>
  <c r="Z81" i="2"/>
  <c r="AA81" i="2"/>
  <c r="AR81" i="2" s="1"/>
  <c r="AB81" i="2"/>
  <c r="AC81" i="2"/>
  <c r="AT81" i="2" s="1"/>
  <c r="AD81" i="2"/>
  <c r="AU81" i="2" s="1"/>
  <c r="AE81" i="2"/>
  <c r="AV81" i="2" s="1"/>
  <c r="AF81" i="2"/>
  <c r="AW81" i="2" s="1"/>
  <c r="AG81" i="2"/>
  <c r="AX81" i="2" s="1"/>
  <c r="AH81" i="2"/>
  <c r="AY81" i="2" s="1"/>
  <c r="AI81" i="2"/>
  <c r="AZ81" i="2" s="1"/>
  <c r="AJ81" i="2"/>
  <c r="AK81" i="2"/>
  <c r="AL81" i="2"/>
  <c r="BC81" i="2" s="1"/>
  <c r="AM81" i="2"/>
  <c r="BD81" i="2" s="1"/>
  <c r="X82" i="2"/>
  <c r="Y82" i="2"/>
  <c r="AP82" i="2" s="1"/>
  <c r="Z82" i="2"/>
  <c r="AA82" i="2"/>
  <c r="AR82" i="2" s="1"/>
  <c r="AB82" i="2"/>
  <c r="AC82" i="2"/>
  <c r="AT82" i="2" s="1"/>
  <c r="AD82" i="2"/>
  <c r="AU82" i="2" s="1"/>
  <c r="AE82" i="2"/>
  <c r="AV82" i="2" s="1"/>
  <c r="AF82" i="2"/>
  <c r="AW82" i="2" s="1"/>
  <c r="AG82" i="2"/>
  <c r="AX82" i="2" s="1"/>
  <c r="AH82" i="2"/>
  <c r="AY82" i="2" s="1"/>
  <c r="AI82" i="2"/>
  <c r="AZ82" i="2" s="1"/>
  <c r="AJ82" i="2"/>
  <c r="AK82" i="2"/>
  <c r="AL82" i="2"/>
  <c r="BC82" i="2" s="1"/>
  <c r="AM82" i="2"/>
  <c r="BD82" i="2" s="1"/>
  <c r="X83" i="2"/>
  <c r="Y83" i="2"/>
  <c r="AP83" i="2" s="1"/>
  <c r="Z83" i="2"/>
  <c r="AA83" i="2"/>
  <c r="AR83" i="2" s="1"/>
  <c r="AB83" i="2"/>
  <c r="AC83" i="2"/>
  <c r="AT83" i="2" s="1"/>
  <c r="AD83" i="2"/>
  <c r="AU83" i="2" s="1"/>
  <c r="AE83" i="2"/>
  <c r="AV83" i="2" s="1"/>
  <c r="AF83" i="2"/>
  <c r="AW83" i="2" s="1"/>
  <c r="AG83" i="2"/>
  <c r="AX83" i="2" s="1"/>
  <c r="AH83" i="2"/>
  <c r="AY83" i="2" s="1"/>
  <c r="AI83" i="2"/>
  <c r="AZ83" i="2" s="1"/>
  <c r="AJ83" i="2"/>
  <c r="AK83" i="2"/>
  <c r="AL83" i="2"/>
  <c r="BC83" i="2" s="1"/>
  <c r="AM83" i="2"/>
  <c r="BD83" i="2" s="1"/>
  <c r="Q154" i="17"/>
  <c r="M154" i="17"/>
  <c r="Q153" i="17"/>
  <c r="M153" i="17"/>
  <c r="M152" i="17"/>
  <c r="H152" i="17"/>
  <c r="T152" i="17" s="1"/>
  <c r="T81" i="9" s="1"/>
  <c r="G152" i="17"/>
  <c r="S152" i="17" s="1"/>
  <c r="T81" i="8" s="1"/>
  <c r="F152" i="17"/>
  <c r="Q151" i="17"/>
  <c r="M151" i="17"/>
  <c r="H151" i="17"/>
  <c r="T151" i="17" s="1"/>
  <c r="S81" i="9" s="1"/>
  <c r="G151" i="17"/>
  <c r="S151" i="17" s="1"/>
  <c r="S81" i="8" s="1"/>
  <c r="F151" i="17"/>
  <c r="R151" i="17" s="1"/>
  <c r="M150" i="17"/>
  <c r="T150" i="17"/>
  <c r="G81" i="9" s="1"/>
  <c r="S150" i="17"/>
  <c r="G81" i="8" s="1"/>
  <c r="BH67" i="21" l="1"/>
  <c r="G155" i="21"/>
  <c r="E46" i="20"/>
  <c r="AO63" i="16"/>
  <c r="BH63" i="16" s="1"/>
  <c r="K44" i="20"/>
  <c r="BB61" i="16"/>
  <c r="K43" i="20"/>
  <c r="BB60" i="16"/>
  <c r="E42" i="20"/>
  <c r="AO59" i="16"/>
  <c r="BH59" i="16" s="1"/>
  <c r="J44" i="20"/>
  <c r="BA61" i="16"/>
  <c r="E43" i="20"/>
  <c r="AO60" i="16"/>
  <c r="BH60" i="16" s="1"/>
  <c r="J43" i="20"/>
  <c r="BA60" i="16"/>
  <c r="T67" i="16"/>
  <c r="AE49" i="20"/>
  <c r="T58" i="16"/>
  <c r="AE41" i="20"/>
  <c r="T64" i="16"/>
  <c r="AE47" i="20"/>
  <c r="T59" i="16"/>
  <c r="AE42" i="20"/>
  <c r="T63" i="16"/>
  <c r="AE46" i="20"/>
  <c r="G61" i="16"/>
  <c r="Y44" i="20"/>
  <c r="G64" i="16"/>
  <c r="Y47" i="20"/>
  <c r="G67" i="16"/>
  <c r="Y49" i="20"/>
  <c r="G58" i="16"/>
  <c r="Y41" i="20"/>
  <c r="AS64" i="20"/>
  <c r="AO81" i="22"/>
  <c r="BH81" i="22" s="1"/>
  <c r="AY64" i="20"/>
  <c r="BB81" i="22"/>
  <c r="AX64" i="20"/>
  <c r="BA81" i="22"/>
  <c r="BS64" i="20"/>
  <c r="BB81" i="23"/>
  <c r="BR64" i="20"/>
  <c r="BA81" i="23"/>
  <c r="BM64" i="20"/>
  <c r="AO81" i="23"/>
  <c r="BH81" i="23" s="1"/>
  <c r="BA81" i="21"/>
  <c r="AC81" i="3"/>
  <c r="N152" i="17"/>
  <c r="Q152" i="17" s="1"/>
  <c r="N150" i="17"/>
  <c r="T68" i="16"/>
  <c r="G68" i="16"/>
  <c r="AC82" i="3"/>
  <c r="AW81" i="16"/>
  <c r="BK86" i="16"/>
  <c r="BL82" i="8"/>
  <c r="BL81" i="8"/>
  <c r="BL82" i="9"/>
  <c r="BL81" i="9"/>
  <c r="AR81" i="16"/>
  <c r="BJ83" i="2"/>
  <c r="BJ81" i="2"/>
  <c r="BJ83" i="9"/>
  <c r="BJ83" i="8"/>
  <c r="BJ82" i="2"/>
  <c r="BF81" i="16"/>
  <c r="AZ81" i="16"/>
  <c r="AV81" i="16"/>
  <c r="AP81" i="16"/>
  <c r="AY81" i="16"/>
  <c r="AU81" i="16"/>
  <c r="BC81" i="16"/>
  <c r="BD81" i="16"/>
  <c r="AX81" i="16"/>
  <c r="AT81" i="16"/>
  <c r="AP82" i="9"/>
  <c r="BF82" i="9"/>
  <c r="AP83" i="9"/>
  <c r="BF83" i="9"/>
  <c r="BJ80" i="9"/>
  <c r="BJ82" i="9"/>
  <c r="AP81" i="9"/>
  <c r="BF81" i="9"/>
  <c r="BL80" i="9"/>
  <c r="BL83" i="9"/>
  <c r="BJ81" i="9"/>
  <c r="AP80" i="9"/>
  <c r="BF80" i="9"/>
  <c r="BJ84" i="8"/>
  <c r="AP83" i="8"/>
  <c r="BF83" i="8"/>
  <c r="AP82" i="8"/>
  <c r="BF82" i="8"/>
  <c r="BJ82" i="8"/>
  <c r="AP81" i="8"/>
  <c r="BF81" i="8"/>
  <c r="BL84" i="8"/>
  <c r="AP84" i="8"/>
  <c r="BF84" i="8"/>
  <c r="BL83" i="8"/>
  <c r="BJ81" i="8"/>
  <c r="BL83" i="2"/>
  <c r="BL82" i="2"/>
  <c r="BL81" i="2"/>
  <c r="BF83" i="2"/>
  <c r="BF82" i="2"/>
  <c r="BF81" i="2"/>
  <c r="AO81" i="9"/>
  <c r="BH81" i="9" s="1"/>
  <c r="AO81" i="8"/>
  <c r="BB81" i="9"/>
  <c r="BB81" i="8"/>
  <c r="S81" i="2"/>
  <c r="AD64" i="20" s="1"/>
  <c r="BA81" i="9"/>
  <c r="BA81" i="8"/>
  <c r="I151" i="17"/>
  <c r="I152" i="17"/>
  <c r="U151" i="17"/>
  <c r="I150" i="17"/>
  <c r="AB114" i="3"/>
  <c r="AB107" i="3"/>
  <c r="AB108" i="3"/>
  <c r="AB109" i="3"/>
  <c r="AB110" i="3"/>
  <c r="AB111" i="3"/>
  <c r="AB112" i="3"/>
  <c r="AB113" i="3"/>
  <c r="X109" i="16"/>
  <c r="AJ109" i="9"/>
  <c r="AK109" i="9"/>
  <c r="X110" i="16"/>
  <c r="Y110" i="9"/>
  <c r="AJ110" i="8"/>
  <c r="AK110" i="9"/>
  <c r="X111" i="8"/>
  <c r="Y111" i="8"/>
  <c r="AJ111" i="2"/>
  <c r="AK111" i="9"/>
  <c r="Z108" i="9"/>
  <c r="AQ108" i="9" s="1"/>
  <c r="AA108" i="9"/>
  <c r="AR108" i="9" s="1"/>
  <c r="AB108" i="9"/>
  <c r="AS108" i="9" s="1"/>
  <c r="AC108" i="9"/>
  <c r="AT108" i="9" s="1"/>
  <c r="AD108" i="9"/>
  <c r="AU108" i="9" s="1"/>
  <c r="AE108" i="9"/>
  <c r="AV108" i="9" s="1"/>
  <c r="AF108" i="9"/>
  <c r="AW108" i="9" s="1"/>
  <c r="AG108" i="9"/>
  <c r="AX108" i="9" s="1"/>
  <c r="AH108" i="9"/>
  <c r="AY108" i="9" s="1"/>
  <c r="AI108" i="9"/>
  <c r="AZ108" i="9" s="1"/>
  <c r="AL108" i="9"/>
  <c r="BC108" i="9" s="1"/>
  <c r="AM108" i="9"/>
  <c r="BD108" i="9" s="1"/>
  <c r="Z109" i="9"/>
  <c r="AQ109" i="9" s="1"/>
  <c r="AA109" i="9"/>
  <c r="AR109" i="9" s="1"/>
  <c r="AB109" i="9"/>
  <c r="AS109" i="9" s="1"/>
  <c r="AC109" i="9"/>
  <c r="AT109" i="9" s="1"/>
  <c r="AD109" i="9"/>
  <c r="AU109" i="9" s="1"/>
  <c r="AE109" i="9"/>
  <c r="AV109" i="9" s="1"/>
  <c r="AF109" i="9"/>
  <c r="AW109" i="9" s="1"/>
  <c r="AG109" i="9"/>
  <c r="AX109" i="9" s="1"/>
  <c r="AH109" i="9"/>
  <c r="AY109" i="9" s="1"/>
  <c r="AI109" i="9"/>
  <c r="AZ109" i="9" s="1"/>
  <c r="AL109" i="9"/>
  <c r="BC109" i="9" s="1"/>
  <c r="AM109" i="9"/>
  <c r="BD109" i="9" s="1"/>
  <c r="Z110" i="9"/>
  <c r="AQ110" i="9" s="1"/>
  <c r="AA110" i="9"/>
  <c r="AR110" i="9" s="1"/>
  <c r="AB110" i="9"/>
  <c r="AS110" i="9" s="1"/>
  <c r="AC110" i="9"/>
  <c r="AT110" i="9" s="1"/>
  <c r="AD110" i="9"/>
  <c r="AU110" i="9" s="1"/>
  <c r="AE110" i="9"/>
  <c r="AV110" i="9" s="1"/>
  <c r="AF110" i="9"/>
  <c r="AW110" i="9" s="1"/>
  <c r="AG110" i="9"/>
  <c r="AX110" i="9" s="1"/>
  <c r="AH110" i="9"/>
  <c r="AY110" i="9" s="1"/>
  <c r="AI110" i="9"/>
  <c r="AZ110" i="9" s="1"/>
  <c r="AL110" i="9"/>
  <c r="BC110" i="9" s="1"/>
  <c r="AM110" i="9"/>
  <c r="BD110" i="9" s="1"/>
  <c r="Z111" i="9"/>
  <c r="AQ111" i="9" s="1"/>
  <c r="AA111" i="9"/>
  <c r="AR111" i="9" s="1"/>
  <c r="AB111" i="9"/>
  <c r="AS111" i="9" s="1"/>
  <c r="AC111" i="9"/>
  <c r="AT111" i="9" s="1"/>
  <c r="AD111" i="9"/>
  <c r="AU111" i="9" s="1"/>
  <c r="AE111" i="9"/>
  <c r="AV111" i="9" s="1"/>
  <c r="AF111" i="9"/>
  <c r="AW111" i="9" s="1"/>
  <c r="AG111" i="9"/>
  <c r="AX111" i="9" s="1"/>
  <c r="AH111" i="9"/>
  <c r="AY111" i="9" s="1"/>
  <c r="AI111" i="9"/>
  <c r="AZ111" i="9" s="1"/>
  <c r="AL111" i="9"/>
  <c r="BC111" i="9" s="1"/>
  <c r="AM111" i="9"/>
  <c r="BD111" i="9" s="1"/>
  <c r="Z112" i="9"/>
  <c r="AQ112" i="9" s="1"/>
  <c r="AA112" i="9"/>
  <c r="AR112" i="9" s="1"/>
  <c r="AB112" i="9"/>
  <c r="AS112" i="9" s="1"/>
  <c r="AC112" i="9"/>
  <c r="AT112" i="9" s="1"/>
  <c r="AD112" i="9"/>
  <c r="AU112" i="9" s="1"/>
  <c r="AE112" i="9"/>
  <c r="AV112" i="9" s="1"/>
  <c r="AF112" i="9"/>
  <c r="AW112" i="9" s="1"/>
  <c r="AG112" i="9"/>
  <c r="AX112" i="9" s="1"/>
  <c r="AH112" i="9"/>
  <c r="AY112" i="9" s="1"/>
  <c r="AI112" i="9"/>
  <c r="AZ112" i="9" s="1"/>
  <c r="AL112" i="9"/>
  <c r="BC112" i="9" s="1"/>
  <c r="AM112" i="9"/>
  <c r="BD112" i="9" s="1"/>
  <c r="Z113" i="9"/>
  <c r="AQ113" i="9" s="1"/>
  <c r="AA113" i="9"/>
  <c r="AR113" i="9" s="1"/>
  <c r="AB113" i="9"/>
  <c r="AS113" i="9" s="1"/>
  <c r="AC113" i="9"/>
  <c r="AT113" i="9" s="1"/>
  <c r="AD113" i="9"/>
  <c r="AU113" i="9" s="1"/>
  <c r="AE113" i="9"/>
  <c r="AV113" i="9" s="1"/>
  <c r="AF113" i="9"/>
  <c r="AW113" i="9" s="1"/>
  <c r="AG113" i="9"/>
  <c r="AX113" i="9" s="1"/>
  <c r="AH113" i="9"/>
  <c r="AY113" i="9" s="1"/>
  <c r="AI113" i="9"/>
  <c r="AZ113" i="9" s="1"/>
  <c r="AL113" i="9"/>
  <c r="BC113" i="9" s="1"/>
  <c r="AM113" i="9"/>
  <c r="BD113" i="9" s="1"/>
  <c r="Z114" i="9"/>
  <c r="AQ114" i="9" s="1"/>
  <c r="AA114" i="9"/>
  <c r="AR114" i="9" s="1"/>
  <c r="AB114" i="9"/>
  <c r="AS114" i="9" s="1"/>
  <c r="AC114" i="9"/>
  <c r="AT114" i="9" s="1"/>
  <c r="AD114" i="9"/>
  <c r="AU114" i="9" s="1"/>
  <c r="AE114" i="9"/>
  <c r="AV114" i="9" s="1"/>
  <c r="AF114" i="9"/>
  <c r="AW114" i="9" s="1"/>
  <c r="AG114" i="9"/>
  <c r="AX114" i="9" s="1"/>
  <c r="AH114" i="9"/>
  <c r="AY114" i="9" s="1"/>
  <c r="AI114" i="9"/>
  <c r="AZ114" i="9" s="1"/>
  <c r="AL114" i="9"/>
  <c r="BC114" i="9" s="1"/>
  <c r="AM114" i="9"/>
  <c r="BD114" i="9" s="1"/>
  <c r="Z107" i="8"/>
  <c r="AQ107" i="8" s="1"/>
  <c r="AA107" i="8"/>
  <c r="AR107" i="8" s="1"/>
  <c r="AB107" i="8"/>
  <c r="AS107" i="8" s="1"/>
  <c r="AC107" i="8"/>
  <c r="AT107" i="8" s="1"/>
  <c r="AD107" i="8"/>
  <c r="AU107" i="8" s="1"/>
  <c r="AE107" i="8"/>
  <c r="AV107" i="8" s="1"/>
  <c r="AF107" i="8"/>
  <c r="AW107" i="8" s="1"/>
  <c r="AG107" i="8"/>
  <c r="AX107" i="8" s="1"/>
  <c r="AH107" i="8"/>
  <c r="AY107" i="8" s="1"/>
  <c r="AI107" i="8"/>
  <c r="AZ107" i="8" s="1"/>
  <c r="AL107" i="8"/>
  <c r="BC107" i="8" s="1"/>
  <c r="AM107" i="8"/>
  <c r="BD107" i="8" s="1"/>
  <c r="Z108" i="8"/>
  <c r="AQ108" i="8" s="1"/>
  <c r="AA108" i="8"/>
  <c r="AR108" i="8" s="1"/>
  <c r="AB108" i="8"/>
  <c r="AS108" i="8" s="1"/>
  <c r="AC108" i="8"/>
  <c r="AT108" i="8" s="1"/>
  <c r="AD108" i="8"/>
  <c r="AU108" i="8" s="1"/>
  <c r="AE108" i="8"/>
  <c r="AV108" i="8" s="1"/>
  <c r="AF108" i="8"/>
  <c r="AW108" i="8" s="1"/>
  <c r="AG108" i="8"/>
  <c r="AX108" i="8" s="1"/>
  <c r="AH108" i="8"/>
  <c r="AY108" i="8" s="1"/>
  <c r="AI108" i="8"/>
  <c r="AZ108" i="8" s="1"/>
  <c r="AL108" i="8"/>
  <c r="BC108" i="8" s="1"/>
  <c r="AM108" i="8"/>
  <c r="BD108" i="8" s="1"/>
  <c r="Z109" i="8"/>
  <c r="AQ109" i="8" s="1"/>
  <c r="AA109" i="8"/>
  <c r="AR109" i="8" s="1"/>
  <c r="AB109" i="8"/>
  <c r="AS109" i="8" s="1"/>
  <c r="AC109" i="8"/>
  <c r="AT109" i="8" s="1"/>
  <c r="AD109" i="8"/>
  <c r="AU109" i="8" s="1"/>
  <c r="AE109" i="8"/>
  <c r="AV109" i="8" s="1"/>
  <c r="AF109" i="8"/>
  <c r="AW109" i="8" s="1"/>
  <c r="AG109" i="8"/>
  <c r="AX109" i="8" s="1"/>
  <c r="AH109" i="8"/>
  <c r="AY109" i="8" s="1"/>
  <c r="AI109" i="8"/>
  <c r="AZ109" i="8" s="1"/>
  <c r="AL109" i="8"/>
  <c r="BC109" i="8" s="1"/>
  <c r="AM109" i="8"/>
  <c r="BD109" i="8" s="1"/>
  <c r="Z110" i="8"/>
  <c r="AQ110" i="8" s="1"/>
  <c r="AA110" i="8"/>
  <c r="AR110" i="8" s="1"/>
  <c r="AB110" i="8"/>
  <c r="AS110" i="8" s="1"/>
  <c r="AC110" i="8"/>
  <c r="AT110" i="8" s="1"/>
  <c r="AD110" i="8"/>
  <c r="AU110" i="8" s="1"/>
  <c r="AE110" i="8"/>
  <c r="AV110" i="8" s="1"/>
  <c r="AF110" i="8"/>
  <c r="AW110" i="8" s="1"/>
  <c r="AG110" i="8"/>
  <c r="AX110" i="8" s="1"/>
  <c r="AH110" i="8"/>
  <c r="AY110" i="8" s="1"/>
  <c r="AI110" i="8"/>
  <c r="AZ110" i="8" s="1"/>
  <c r="AL110" i="8"/>
  <c r="BC110" i="8" s="1"/>
  <c r="AM110" i="8"/>
  <c r="BD110" i="8" s="1"/>
  <c r="Z111" i="8"/>
  <c r="AQ111" i="8" s="1"/>
  <c r="AA111" i="8"/>
  <c r="AR111" i="8" s="1"/>
  <c r="AB111" i="8"/>
  <c r="AS111" i="8" s="1"/>
  <c r="AC111" i="8"/>
  <c r="AT111" i="8" s="1"/>
  <c r="AD111" i="8"/>
  <c r="AU111" i="8" s="1"/>
  <c r="AE111" i="8"/>
  <c r="AV111" i="8" s="1"/>
  <c r="AF111" i="8"/>
  <c r="AW111" i="8" s="1"/>
  <c r="AG111" i="8"/>
  <c r="AX111" i="8" s="1"/>
  <c r="AH111" i="8"/>
  <c r="AY111" i="8" s="1"/>
  <c r="AI111" i="8"/>
  <c r="AZ111" i="8" s="1"/>
  <c r="AL111" i="8"/>
  <c r="BC111" i="8" s="1"/>
  <c r="AM111" i="8"/>
  <c r="BD111" i="8" s="1"/>
  <c r="Z112" i="8"/>
  <c r="AQ112" i="8" s="1"/>
  <c r="AA112" i="8"/>
  <c r="AR112" i="8" s="1"/>
  <c r="AB112" i="8"/>
  <c r="AS112" i="8" s="1"/>
  <c r="AC112" i="8"/>
  <c r="AT112" i="8" s="1"/>
  <c r="AD112" i="8"/>
  <c r="AU112" i="8" s="1"/>
  <c r="AE112" i="8"/>
  <c r="AV112" i="8" s="1"/>
  <c r="AF112" i="8"/>
  <c r="AW112" i="8" s="1"/>
  <c r="AG112" i="8"/>
  <c r="AX112" i="8" s="1"/>
  <c r="AH112" i="8"/>
  <c r="AY112" i="8" s="1"/>
  <c r="AI112" i="8"/>
  <c r="AZ112" i="8" s="1"/>
  <c r="AL112" i="8"/>
  <c r="BC112" i="8" s="1"/>
  <c r="AM112" i="8"/>
  <c r="BD112" i="8" s="1"/>
  <c r="Z113" i="8"/>
  <c r="AQ113" i="8" s="1"/>
  <c r="AA113" i="8"/>
  <c r="AR113" i="8" s="1"/>
  <c r="AB113" i="8"/>
  <c r="AS113" i="8" s="1"/>
  <c r="AC113" i="8"/>
  <c r="AT113" i="8" s="1"/>
  <c r="AD113" i="8"/>
  <c r="AU113" i="8" s="1"/>
  <c r="AE113" i="8"/>
  <c r="AV113" i="8" s="1"/>
  <c r="AF113" i="8"/>
  <c r="AW113" i="8" s="1"/>
  <c r="AG113" i="8"/>
  <c r="AX113" i="8" s="1"/>
  <c r="AH113" i="8"/>
  <c r="AY113" i="8" s="1"/>
  <c r="AI113" i="8"/>
  <c r="AZ113" i="8" s="1"/>
  <c r="AL113" i="8"/>
  <c r="BC113" i="8" s="1"/>
  <c r="AM113" i="8"/>
  <c r="BD113" i="8" s="1"/>
  <c r="Z114" i="8"/>
  <c r="AQ114" i="8" s="1"/>
  <c r="AA114" i="8"/>
  <c r="AR114" i="8" s="1"/>
  <c r="AB114" i="8"/>
  <c r="AS114" i="8" s="1"/>
  <c r="AC114" i="8"/>
  <c r="AT114" i="8" s="1"/>
  <c r="AD114" i="8"/>
  <c r="AU114" i="8" s="1"/>
  <c r="AE114" i="8"/>
  <c r="AV114" i="8" s="1"/>
  <c r="AF114" i="8"/>
  <c r="AW114" i="8" s="1"/>
  <c r="AG114" i="8"/>
  <c r="AX114" i="8" s="1"/>
  <c r="AH114" i="8"/>
  <c r="AY114" i="8" s="1"/>
  <c r="AI114" i="8"/>
  <c r="AZ114" i="8" s="1"/>
  <c r="AL114" i="8"/>
  <c r="BC114" i="8" s="1"/>
  <c r="AM114" i="8"/>
  <c r="BD114" i="8" s="1"/>
  <c r="Z106" i="2"/>
  <c r="AQ106" i="2" s="1"/>
  <c r="AA106" i="2"/>
  <c r="AR106" i="2" s="1"/>
  <c r="AB106" i="2"/>
  <c r="AS106" i="2" s="1"/>
  <c r="AC106" i="2"/>
  <c r="AT106" i="2" s="1"/>
  <c r="AD106" i="2"/>
  <c r="AU106" i="2" s="1"/>
  <c r="AE106" i="2"/>
  <c r="AV106" i="2" s="1"/>
  <c r="AF106" i="2"/>
  <c r="AW106" i="2" s="1"/>
  <c r="AG106" i="2"/>
  <c r="AX106" i="2" s="1"/>
  <c r="AH106" i="2"/>
  <c r="AY106" i="2" s="1"/>
  <c r="AI106" i="2"/>
  <c r="AZ106" i="2" s="1"/>
  <c r="AL106" i="2"/>
  <c r="BC106" i="2" s="1"/>
  <c r="AM106" i="2"/>
  <c r="BD106" i="2" s="1"/>
  <c r="Z107" i="2"/>
  <c r="AQ107" i="2" s="1"/>
  <c r="AA107" i="2"/>
  <c r="AR107" i="2" s="1"/>
  <c r="AB107" i="2"/>
  <c r="AS107" i="2" s="1"/>
  <c r="AC107" i="2"/>
  <c r="AT107" i="2" s="1"/>
  <c r="AD107" i="2"/>
  <c r="AU107" i="2" s="1"/>
  <c r="AE107" i="2"/>
  <c r="AV107" i="2" s="1"/>
  <c r="AF107" i="2"/>
  <c r="AW107" i="2" s="1"/>
  <c r="AG107" i="2"/>
  <c r="AX107" i="2" s="1"/>
  <c r="AH107" i="2"/>
  <c r="AY107" i="2" s="1"/>
  <c r="AI107" i="2"/>
  <c r="AZ107" i="2" s="1"/>
  <c r="AL107" i="2"/>
  <c r="BC107" i="2" s="1"/>
  <c r="AM107" i="2"/>
  <c r="BD107" i="2" s="1"/>
  <c r="Z108" i="2"/>
  <c r="AQ108" i="2" s="1"/>
  <c r="AA108" i="2"/>
  <c r="AR108" i="2" s="1"/>
  <c r="AB108" i="2"/>
  <c r="AS108" i="2" s="1"/>
  <c r="AC108" i="2"/>
  <c r="AT108" i="2" s="1"/>
  <c r="AD108" i="2"/>
  <c r="AU108" i="2" s="1"/>
  <c r="AE108" i="2"/>
  <c r="AV108" i="2" s="1"/>
  <c r="AF108" i="2"/>
  <c r="AW108" i="2" s="1"/>
  <c r="AG108" i="2"/>
  <c r="AX108" i="2" s="1"/>
  <c r="AH108" i="2"/>
  <c r="AY108" i="2" s="1"/>
  <c r="AI108" i="2"/>
  <c r="AZ108" i="2" s="1"/>
  <c r="AL108" i="2"/>
  <c r="BC108" i="2" s="1"/>
  <c r="AM108" i="2"/>
  <c r="BD108" i="2" s="1"/>
  <c r="Z109" i="2"/>
  <c r="AQ109" i="2" s="1"/>
  <c r="AA109" i="2"/>
  <c r="AR109" i="2" s="1"/>
  <c r="AB109" i="2"/>
  <c r="AS109" i="2" s="1"/>
  <c r="AC109" i="2"/>
  <c r="AT109" i="2" s="1"/>
  <c r="AD109" i="2"/>
  <c r="AU109" i="2" s="1"/>
  <c r="AE109" i="2"/>
  <c r="AV109" i="2" s="1"/>
  <c r="AF109" i="2"/>
  <c r="AW109" i="2" s="1"/>
  <c r="AG109" i="2"/>
  <c r="AX109" i="2" s="1"/>
  <c r="AH109" i="2"/>
  <c r="AY109" i="2" s="1"/>
  <c r="AI109" i="2"/>
  <c r="AZ109" i="2" s="1"/>
  <c r="AL109" i="2"/>
  <c r="BC109" i="2" s="1"/>
  <c r="AM109" i="2"/>
  <c r="BD109" i="2" s="1"/>
  <c r="Z110" i="2"/>
  <c r="AQ110" i="2" s="1"/>
  <c r="AA110" i="2"/>
  <c r="AR110" i="2" s="1"/>
  <c r="AB110" i="2"/>
  <c r="AS110" i="2" s="1"/>
  <c r="AC110" i="2"/>
  <c r="AT110" i="2" s="1"/>
  <c r="AD110" i="2"/>
  <c r="AU110" i="2" s="1"/>
  <c r="AE110" i="2"/>
  <c r="AV110" i="2" s="1"/>
  <c r="AF110" i="2"/>
  <c r="AW110" i="2" s="1"/>
  <c r="AG110" i="2"/>
  <c r="AX110" i="2" s="1"/>
  <c r="AH110" i="2"/>
  <c r="AY110" i="2" s="1"/>
  <c r="AI110" i="2"/>
  <c r="AZ110" i="2" s="1"/>
  <c r="AL110" i="2"/>
  <c r="BC110" i="2" s="1"/>
  <c r="AM110" i="2"/>
  <c r="BD110" i="2" s="1"/>
  <c r="Z111" i="2"/>
  <c r="AQ111" i="2" s="1"/>
  <c r="AA111" i="2"/>
  <c r="AR111" i="2" s="1"/>
  <c r="AB111" i="2"/>
  <c r="AS111" i="2" s="1"/>
  <c r="AC111" i="2"/>
  <c r="AT111" i="2" s="1"/>
  <c r="AD111" i="2"/>
  <c r="AU111" i="2" s="1"/>
  <c r="AE111" i="2"/>
  <c r="AV111" i="2" s="1"/>
  <c r="AF111" i="2"/>
  <c r="AW111" i="2" s="1"/>
  <c r="AG111" i="2"/>
  <c r="AX111" i="2" s="1"/>
  <c r="AH111" i="2"/>
  <c r="AY111" i="2" s="1"/>
  <c r="AI111" i="2"/>
  <c r="AZ111" i="2" s="1"/>
  <c r="AL111" i="2"/>
  <c r="BC111" i="2" s="1"/>
  <c r="AM111" i="2"/>
  <c r="BD111" i="2" s="1"/>
  <c r="Z112" i="2"/>
  <c r="AQ112" i="2" s="1"/>
  <c r="AA112" i="2"/>
  <c r="AR112" i="2" s="1"/>
  <c r="AB112" i="2"/>
  <c r="AS112" i="2" s="1"/>
  <c r="AC112" i="2"/>
  <c r="AT112" i="2" s="1"/>
  <c r="AD112" i="2"/>
  <c r="AU112" i="2" s="1"/>
  <c r="AE112" i="2"/>
  <c r="AV112" i="2" s="1"/>
  <c r="AF112" i="2"/>
  <c r="AW112" i="2" s="1"/>
  <c r="AG112" i="2"/>
  <c r="AX112" i="2" s="1"/>
  <c r="AH112" i="2"/>
  <c r="AY112" i="2" s="1"/>
  <c r="AI112" i="2"/>
  <c r="AZ112" i="2" s="1"/>
  <c r="AL112" i="2"/>
  <c r="BC112" i="2" s="1"/>
  <c r="AM112" i="2"/>
  <c r="BD112" i="2" s="1"/>
  <c r="Z113" i="2"/>
  <c r="AQ113" i="2" s="1"/>
  <c r="AA113" i="2"/>
  <c r="AR113" i="2" s="1"/>
  <c r="AB113" i="2"/>
  <c r="AS113" i="2" s="1"/>
  <c r="AC113" i="2"/>
  <c r="AT113" i="2" s="1"/>
  <c r="AD113" i="2"/>
  <c r="AU113" i="2" s="1"/>
  <c r="AE113" i="2"/>
  <c r="AV113" i="2" s="1"/>
  <c r="AF113" i="2"/>
  <c r="AW113" i="2" s="1"/>
  <c r="AG113" i="2"/>
  <c r="AX113" i="2" s="1"/>
  <c r="AH113" i="2"/>
  <c r="AY113" i="2" s="1"/>
  <c r="AI113" i="2"/>
  <c r="AZ113" i="2" s="1"/>
  <c r="AL113" i="2"/>
  <c r="BC113" i="2" s="1"/>
  <c r="AM113" i="2"/>
  <c r="BD113" i="2" s="1"/>
  <c r="Z114" i="2"/>
  <c r="AQ114" i="2" s="1"/>
  <c r="AA114" i="2"/>
  <c r="AR114" i="2" s="1"/>
  <c r="AB114" i="2"/>
  <c r="AS114" i="2" s="1"/>
  <c r="AC114" i="2"/>
  <c r="AT114" i="2" s="1"/>
  <c r="AD114" i="2"/>
  <c r="AU114" i="2" s="1"/>
  <c r="AE114" i="2"/>
  <c r="AV114" i="2" s="1"/>
  <c r="AF114" i="2"/>
  <c r="AW114" i="2" s="1"/>
  <c r="AG114" i="2"/>
  <c r="AX114" i="2" s="1"/>
  <c r="AH114" i="2"/>
  <c r="AY114" i="2" s="1"/>
  <c r="AI114" i="2"/>
  <c r="AZ114" i="2" s="1"/>
  <c r="AL114" i="2"/>
  <c r="BC114" i="2" s="1"/>
  <c r="AM114" i="2"/>
  <c r="BD114" i="2" s="1"/>
  <c r="Z109" i="16"/>
  <c r="AA109" i="16"/>
  <c r="AB109" i="16"/>
  <c r="AC109" i="16"/>
  <c r="AD109" i="16"/>
  <c r="AE109" i="16"/>
  <c r="AF109" i="16"/>
  <c r="AG109" i="16"/>
  <c r="AH109" i="16"/>
  <c r="AI109" i="16"/>
  <c r="AL109" i="16"/>
  <c r="AM109" i="16"/>
  <c r="Z110" i="16"/>
  <c r="AA110" i="16"/>
  <c r="AB110" i="16"/>
  <c r="AC110" i="16"/>
  <c r="AD110" i="16"/>
  <c r="AE110" i="16"/>
  <c r="AF110" i="16"/>
  <c r="AG110" i="16"/>
  <c r="AH110" i="16"/>
  <c r="AI110" i="16"/>
  <c r="AL110" i="16"/>
  <c r="AM110" i="16"/>
  <c r="Z111" i="16"/>
  <c r="AA111" i="16"/>
  <c r="AB111" i="16"/>
  <c r="AC111" i="16"/>
  <c r="AD111" i="16"/>
  <c r="AE111" i="16"/>
  <c r="AF111" i="16"/>
  <c r="AG111" i="16"/>
  <c r="AH111" i="16"/>
  <c r="AI111" i="16"/>
  <c r="AL111" i="16"/>
  <c r="AM111" i="16"/>
  <c r="Z112" i="16"/>
  <c r="AA112" i="16"/>
  <c r="AB112" i="16"/>
  <c r="AC112" i="16"/>
  <c r="AD112" i="16"/>
  <c r="AE112" i="16"/>
  <c r="AF112" i="16"/>
  <c r="AG112" i="16"/>
  <c r="AH112" i="16"/>
  <c r="AI112" i="16"/>
  <c r="AL112" i="16"/>
  <c r="AM112" i="16"/>
  <c r="Z113" i="16"/>
  <c r="AA113" i="16"/>
  <c r="AB113" i="16"/>
  <c r="AC113" i="16"/>
  <c r="AD113" i="16"/>
  <c r="AE113" i="16"/>
  <c r="AF113" i="16"/>
  <c r="AG113" i="16"/>
  <c r="AH113" i="16"/>
  <c r="AI113" i="16"/>
  <c r="AL113" i="16"/>
  <c r="AM113" i="16"/>
  <c r="Z114" i="16"/>
  <c r="AA114" i="16"/>
  <c r="AB114" i="16"/>
  <c r="AC114" i="16"/>
  <c r="AD114" i="16"/>
  <c r="AE114" i="16"/>
  <c r="AF114" i="16"/>
  <c r="AG114" i="16"/>
  <c r="AH114" i="16"/>
  <c r="AI114" i="16"/>
  <c r="AL114" i="16"/>
  <c r="AM114" i="16"/>
  <c r="Q294" i="17"/>
  <c r="M294" i="17"/>
  <c r="Q293" i="17"/>
  <c r="M293" i="17"/>
  <c r="H293" i="17"/>
  <c r="T293" i="17" s="1"/>
  <c r="T109" i="9" s="1"/>
  <c r="G293" i="17"/>
  <c r="S293" i="17" s="1"/>
  <c r="T109" i="8" s="1"/>
  <c r="F293" i="17"/>
  <c r="R293" i="17" s="1"/>
  <c r="Q292" i="17"/>
  <c r="M292" i="17"/>
  <c r="H292" i="17"/>
  <c r="T292" i="17" s="1"/>
  <c r="S109" i="9" s="1"/>
  <c r="G292" i="17"/>
  <c r="S292" i="17" s="1"/>
  <c r="S109" i="8" s="1"/>
  <c r="F292" i="17"/>
  <c r="Q291" i="17"/>
  <c r="M291" i="17"/>
  <c r="T291" i="17"/>
  <c r="G109" i="9" s="1"/>
  <c r="S291" i="17"/>
  <c r="G109" i="8" s="1"/>
  <c r="Q301" i="17"/>
  <c r="M301" i="17"/>
  <c r="Q300" i="17"/>
  <c r="M300" i="17"/>
  <c r="H300" i="17"/>
  <c r="T300" i="17" s="1"/>
  <c r="T110" i="9" s="1"/>
  <c r="G300" i="17"/>
  <c r="S300" i="17" s="1"/>
  <c r="T110" i="8" s="1"/>
  <c r="F300" i="17"/>
  <c r="R300" i="17" s="1"/>
  <c r="Q299" i="17"/>
  <c r="M299" i="17"/>
  <c r="H299" i="17"/>
  <c r="T299" i="17" s="1"/>
  <c r="S110" i="9" s="1"/>
  <c r="G299" i="17"/>
  <c r="S299" i="17" s="1"/>
  <c r="S110" i="8" s="1"/>
  <c r="F299" i="17"/>
  <c r="R299" i="17" s="1"/>
  <c r="Q298" i="17"/>
  <c r="M298" i="17"/>
  <c r="T298" i="17"/>
  <c r="G110" i="9" s="1"/>
  <c r="S298" i="17"/>
  <c r="G110" i="8" s="1"/>
  <c r="R298" i="17"/>
  <c r="BH81" i="8" l="1"/>
  <c r="BK61" i="16"/>
  <c r="E47" i="20"/>
  <c r="AO64" i="16"/>
  <c r="BH64" i="16" s="1"/>
  <c r="K47" i="20"/>
  <c r="BB64" i="16"/>
  <c r="BK64" i="16" s="1"/>
  <c r="K42" i="20"/>
  <c r="BB59" i="16"/>
  <c r="BK59" i="16" s="1"/>
  <c r="E50" i="20"/>
  <c r="AO68" i="16"/>
  <c r="BH68" i="16" s="1"/>
  <c r="BK60" i="16"/>
  <c r="K50" i="20"/>
  <c r="BB68" i="16"/>
  <c r="BK68" i="16" s="1"/>
  <c r="E44" i="20"/>
  <c r="AO61" i="16"/>
  <c r="BH61" i="16" s="1"/>
  <c r="K41" i="20"/>
  <c r="BB58" i="16"/>
  <c r="BK58" i="16" s="1"/>
  <c r="E49" i="20"/>
  <c r="AO67" i="16"/>
  <c r="BH67" i="16" s="1"/>
  <c r="E41" i="20"/>
  <c r="AO58" i="16"/>
  <c r="BH58" i="16" s="1"/>
  <c r="K46" i="20"/>
  <c r="BB63" i="16"/>
  <c r="BK63" i="16" s="1"/>
  <c r="K49" i="20"/>
  <c r="BB67" i="16"/>
  <c r="BK67" i="16" s="1"/>
  <c r="S81" i="24"/>
  <c r="BA81" i="24" s="1"/>
  <c r="BK81" i="22"/>
  <c r="BK81" i="23"/>
  <c r="BB110" i="22"/>
  <c r="BA109" i="22"/>
  <c r="BA110" i="22"/>
  <c r="AO109" i="22"/>
  <c r="BH109" i="22" s="1"/>
  <c r="AO110" i="22"/>
  <c r="BH110" i="22" s="1"/>
  <c r="BB109" i="22"/>
  <c r="BA110" i="23"/>
  <c r="BA109" i="23"/>
  <c r="AO109" i="23"/>
  <c r="BH109" i="23" s="1"/>
  <c r="AO110" i="23"/>
  <c r="BH110" i="23" s="1"/>
  <c r="BB109" i="23"/>
  <c r="BB110" i="9"/>
  <c r="BB110" i="23"/>
  <c r="BB109" i="21"/>
  <c r="BB110" i="21"/>
  <c r="BA110" i="21"/>
  <c r="AO110" i="21"/>
  <c r="BH110" i="21" s="1"/>
  <c r="Q150" i="17"/>
  <c r="R150" i="17"/>
  <c r="R152" i="17"/>
  <c r="X109" i="2"/>
  <c r="AJ111" i="16"/>
  <c r="AJ109" i="16"/>
  <c r="BA81" i="2"/>
  <c r="S81" i="16"/>
  <c r="AJ110" i="9"/>
  <c r="AK109" i="16"/>
  <c r="AK110" i="8"/>
  <c r="BB110" i="8" s="1"/>
  <c r="BJ108" i="9"/>
  <c r="AK110" i="16"/>
  <c r="BL114" i="2"/>
  <c r="AJ110" i="16"/>
  <c r="AJ109" i="2"/>
  <c r="AK111" i="8"/>
  <c r="AJ109" i="8"/>
  <c r="BL108" i="8"/>
  <c r="BL107" i="8"/>
  <c r="BL113" i="2"/>
  <c r="AK109" i="2"/>
  <c r="AK109" i="8"/>
  <c r="BB109" i="8" s="1"/>
  <c r="AK111" i="16"/>
  <c r="AK110" i="2"/>
  <c r="AJ111" i="8"/>
  <c r="AJ111" i="9"/>
  <c r="AK111" i="2"/>
  <c r="AJ110" i="2"/>
  <c r="Y110" i="8"/>
  <c r="BF110" i="8" s="1"/>
  <c r="Y110" i="16"/>
  <c r="BF110" i="16" s="1"/>
  <c r="Y110" i="2"/>
  <c r="BF110" i="2" s="1"/>
  <c r="Y109" i="9"/>
  <c r="BF109" i="9" s="1"/>
  <c r="BL114" i="9"/>
  <c r="BL113" i="9"/>
  <c r="BL112" i="9"/>
  <c r="BL111" i="9"/>
  <c r="BJ111" i="9"/>
  <c r="BL81" i="16"/>
  <c r="AZ110" i="16"/>
  <c r="BD109" i="16"/>
  <c r="AY110" i="16"/>
  <c r="AU110" i="16"/>
  <c r="AQ110" i="16"/>
  <c r="BC109" i="16"/>
  <c r="BJ114" i="8"/>
  <c r="BJ113" i="8"/>
  <c r="BJ112" i="8"/>
  <c r="BJ110" i="8"/>
  <c r="BJ81" i="16"/>
  <c r="BL109" i="2"/>
  <c r="BJ112" i="2"/>
  <c r="BL111" i="2"/>
  <c r="BJ107" i="2"/>
  <c r="BL112" i="2"/>
  <c r="BJ109" i="2"/>
  <c r="BD114" i="16"/>
  <c r="AX114" i="16"/>
  <c r="AT114" i="16"/>
  <c r="BD113" i="16"/>
  <c r="AX113" i="16"/>
  <c r="AT113" i="16"/>
  <c r="BD112" i="16"/>
  <c r="AX112" i="16"/>
  <c r="AT112" i="16"/>
  <c r="AZ111" i="16"/>
  <c r="AV111" i="16"/>
  <c r="AR111" i="16"/>
  <c r="AV110" i="16"/>
  <c r="AR110" i="16"/>
  <c r="AX109" i="16"/>
  <c r="AT109" i="16"/>
  <c r="BC114" i="16"/>
  <c r="AW114" i="16"/>
  <c r="AS114" i="16"/>
  <c r="BC113" i="16"/>
  <c r="AW113" i="16"/>
  <c r="AS113" i="16"/>
  <c r="BC112" i="16"/>
  <c r="AW112" i="16"/>
  <c r="AS112" i="16"/>
  <c r="AY111" i="16"/>
  <c r="AU111" i="16"/>
  <c r="AQ111" i="16"/>
  <c r="AW109" i="16"/>
  <c r="AS109" i="16"/>
  <c r="AZ114" i="16"/>
  <c r="AV114" i="16"/>
  <c r="AR114" i="16"/>
  <c r="AZ113" i="16"/>
  <c r="AV113" i="16"/>
  <c r="AR113" i="16"/>
  <c r="AZ112" i="16"/>
  <c r="AV112" i="16"/>
  <c r="AR112" i="16"/>
  <c r="BD111" i="16"/>
  <c r="AX111" i="16"/>
  <c r="AT111" i="16"/>
  <c r="BD110" i="16"/>
  <c r="AX110" i="16"/>
  <c r="AT110" i="16"/>
  <c r="AZ109" i="16"/>
  <c r="AV109" i="16"/>
  <c r="AR109" i="16"/>
  <c r="AY114" i="16"/>
  <c r="AU114" i="16"/>
  <c r="AQ114" i="16"/>
  <c r="AY113" i="16"/>
  <c r="AU113" i="16"/>
  <c r="AQ113" i="16"/>
  <c r="AY112" i="16"/>
  <c r="AU112" i="16"/>
  <c r="AQ112" i="16"/>
  <c r="BC111" i="16"/>
  <c r="AW111" i="16"/>
  <c r="AS111" i="16"/>
  <c r="BC110" i="16"/>
  <c r="AW110" i="16"/>
  <c r="AS110" i="16"/>
  <c r="AY109" i="16"/>
  <c r="AU109" i="16"/>
  <c r="AQ109" i="16"/>
  <c r="BL110" i="9"/>
  <c r="BL108" i="9"/>
  <c r="BJ110" i="9"/>
  <c r="BF110" i="9"/>
  <c r="BJ114" i="9"/>
  <c r="BJ113" i="9"/>
  <c r="BJ112" i="9"/>
  <c r="BL109" i="9"/>
  <c r="BJ109" i="9"/>
  <c r="BK81" i="9"/>
  <c r="BL114" i="8"/>
  <c r="BL113" i="8"/>
  <c r="BL112" i="8"/>
  <c r="BL111" i="8"/>
  <c r="BJ111" i="8"/>
  <c r="BL109" i="8"/>
  <c r="BF111" i="8"/>
  <c r="BL110" i="8"/>
  <c r="BJ109" i="8"/>
  <c r="BJ108" i="8"/>
  <c r="BJ107" i="8"/>
  <c r="BL107" i="2"/>
  <c r="BJ106" i="2"/>
  <c r="BJ108" i="2"/>
  <c r="BJ110" i="2"/>
  <c r="BJ114" i="2"/>
  <c r="BJ113" i="2"/>
  <c r="BJ111" i="2"/>
  <c r="BL110" i="2"/>
  <c r="BL108" i="2"/>
  <c r="BL106" i="2"/>
  <c r="BK81" i="8"/>
  <c r="T110" i="2"/>
  <c r="S110" i="2"/>
  <c r="BA110" i="8"/>
  <c r="G110" i="2"/>
  <c r="T109" i="2"/>
  <c r="T109" i="16" s="1"/>
  <c r="BB109" i="9"/>
  <c r="X111" i="2"/>
  <c r="X110" i="2"/>
  <c r="X110" i="3"/>
  <c r="X111" i="16"/>
  <c r="X109" i="3"/>
  <c r="I291" i="17"/>
  <c r="X110" i="8"/>
  <c r="X109" i="9"/>
  <c r="X109" i="8"/>
  <c r="X111" i="9"/>
  <c r="X110" i="9"/>
  <c r="AA111" i="3"/>
  <c r="AC111" i="3" s="1"/>
  <c r="X111" i="3"/>
  <c r="AA110" i="3"/>
  <c r="AC110" i="3" s="1"/>
  <c r="AA109" i="3"/>
  <c r="AC109" i="3" s="1"/>
  <c r="I292" i="17"/>
  <c r="R291" i="17"/>
  <c r="I293" i="17"/>
  <c r="R292" i="17"/>
  <c r="AY82" i="20"/>
  <c r="Y111" i="9"/>
  <c r="BF111" i="9" s="1"/>
  <c r="Y109" i="16"/>
  <c r="BF109" i="16" s="1"/>
  <c r="Y111" i="2"/>
  <c r="BF111" i="2" s="1"/>
  <c r="Y109" i="8"/>
  <c r="BF109" i="8" s="1"/>
  <c r="Y111" i="16"/>
  <c r="BF111" i="16" s="1"/>
  <c r="Y109" i="2"/>
  <c r="BF109" i="2" s="1"/>
  <c r="U293" i="17"/>
  <c r="U298" i="17"/>
  <c r="U299" i="17"/>
  <c r="U300" i="17"/>
  <c r="I298" i="17"/>
  <c r="I299" i="17"/>
  <c r="I300" i="17"/>
  <c r="BS89" i="20"/>
  <c r="BR89" i="20"/>
  <c r="BM89" i="20"/>
  <c r="BS69" i="20"/>
  <c r="BR69" i="20"/>
  <c r="BM69" i="20"/>
  <c r="AY89" i="20"/>
  <c r="AX89" i="20"/>
  <c r="AS89" i="20"/>
  <c r="AY69" i="20"/>
  <c r="AX69" i="20"/>
  <c r="AS69" i="20"/>
  <c r="AE89" i="20"/>
  <c r="AD89" i="20"/>
  <c r="Y89" i="20"/>
  <c r="AE69" i="20"/>
  <c r="AD69" i="20"/>
  <c r="Y69" i="20"/>
  <c r="BK110" i="22" l="1"/>
  <c r="G110" i="24"/>
  <c r="AO110" i="24" s="1"/>
  <c r="BH110" i="24" s="1"/>
  <c r="S110" i="16"/>
  <c r="BA110" i="16" s="1"/>
  <c r="T110" i="24"/>
  <c r="BB110" i="24" s="1"/>
  <c r="T110" i="16"/>
  <c r="BB110" i="16" s="1"/>
  <c r="S110" i="24"/>
  <c r="BA110" i="24" s="1"/>
  <c r="T109" i="24"/>
  <c r="BB109" i="24" s="1"/>
  <c r="BK109" i="23"/>
  <c r="BK109" i="22"/>
  <c r="BK110" i="23"/>
  <c r="AO110" i="9"/>
  <c r="BH110" i="9" s="1"/>
  <c r="S109" i="24"/>
  <c r="BA109" i="24" s="1"/>
  <c r="BA109" i="21"/>
  <c r="BK109" i="21" s="1"/>
  <c r="BK110" i="21"/>
  <c r="G109" i="24"/>
  <c r="AO109" i="24" s="1"/>
  <c r="BH109" i="24" s="1"/>
  <c r="AO109" i="21"/>
  <c r="BH109" i="21" s="1"/>
  <c r="T81" i="24"/>
  <c r="BB81" i="24" s="1"/>
  <c r="BK81" i="24" s="1"/>
  <c r="BB81" i="21"/>
  <c r="BK81" i="21" s="1"/>
  <c r="G81" i="24"/>
  <c r="AO81" i="24" s="1"/>
  <c r="BH81" i="24" s="1"/>
  <c r="AO81" i="21"/>
  <c r="BH81" i="21" s="1"/>
  <c r="T81" i="2"/>
  <c r="U152" i="17"/>
  <c r="G81" i="2"/>
  <c r="U150" i="17"/>
  <c r="BL109" i="16"/>
  <c r="BA81" i="16"/>
  <c r="J64" i="20"/>
  <c r="Y83" i="20"/>
  <c r="G110" i="16"/>
  <c r="AO110" i="16" s="1"/>
  <c r="BH110" i="16" s="1"/>
  <c r="BL111" i="16"/>
  <c r="BL114" i="16"/>
  <c r="BL110" i="16"/>
  <c r="BJ113" i="16"/>
  <c r="BL113" i="16"/>
  <c r="BJ109" i="16"/>
  <c r="BJ112" i="16"/>
  <c r="BJ110" i="16"/>
  <c r="BJ114" i="16"/>
  <c r="BL112" i="16"/>
  <c r="BJ111" i="16"/>
  <c r="AO110" i="8"/>
  <c r="BH110" i="8" s="1"/>
  <c r="BK110" i="8"/>
  <c r="AE83" i="20"/>
  <c r="BB110" i="2"/>
  <c r="AD83" i="20"/>
  <c r="BA110" i="2"/>
  <c r="BM83" i="20"/>
  <c r="AO110" i="2"/>
  <c r="BH110" i="2" s="1"/>
  <c r="AS83" i="20"/>
  <c r="AX83" i="20"/>
  <c r="AE82" i="20"/>
  <c r="BB109" i="2"/>
  <c r="BR83" i="20"/>
  <c r="BA110" i="9"/>
  <c r="BK110" i="9" s="1"/>
  <c r="BS83" i="20"/>
  <c r="BB109" i="16"/>
  <c r="G109" i="2"/>
  <c r="AO109" i="9"/>
  <c r="BH109" i="9" s="1"/>
  <c r="BS82" i="20"/>
  <c r="AY83" i="20"/>
  <c r="S109" i="2"/>
  <c r="BA109" i="8"/>
  <c r="BK109" i="8" s="1"/>
  <c r="BA109" i="9"/>
  <c r="BK109" i="9" s="1"/>
  <c r="U292" i="17"/>
  <c r="U291" i="17"/>
  <c r="BK110" i="24" l="1"/>
  <c r="BK109" i="24"/>
  <c r="Y64" i="20"/>
  <c r="G81" i="16"/>
  <c r="AO81" i="2"/>
  <c r="BH81" i="2" s="1"/>
  <c r="AE64" i="20"/>
  <c r="BB81" i="2"/>
  <c r="BK81" i="2" s="1"/>
  <c r="T81" i="16"/>
  <c r="BA109" i="2"/>
  <c r="BK109" i="2" s="1"/>
  <c r="S109" i="16"/>
  <c r="BA109" i="16" s="1"/>
  <c r="BK109" i="16" s="1"/>
  <c r="AO109" i="2"/>
  <c r="BH109" i="2" s="1"/>
  <c r="G109" i="16"/>
  <c r="BK110" i="16"/>
  <c r="K83" i="20"/>
  <c r="J83" i="20"/>
  <c r="K82" i="20"/>
  <c r="E83" i="20"/>
  <c r="AS82" i="20"/>
  <c r="AO109" i="8"/>
  <c r="BH109" i="8" s="1"/>
  <c r="BK110" i="2"/>
  <c r="Y82" i="20"/>
  <c r="AD82" i="20"/>
  <c r="BR82" i="20"/>
  <c r="BM82" i="20"/>
  <c r="AX82" i="20"/>
  <c r="E64" i="20" l="1"/>
  <c r="AO81" i="16"/>
  <c r="BH81" i="16" s="1"/>
  <c r="BB81" i="16"/>
  <c r="BK81" i="16" s="1"/>
  <c r="K64" i="20"/>
  <c r="J82" i="20"/>
  <c r="E82" i="20"/>
  <c r="AO109" i="16"/>
  <c r="BH109" i="16" s="1"/>
  <c r="Q201" i="17"/>
  <c r="Q185" i="17"/>
  <c r="Q177" i="17"/>
  <c r="Q169" i="17"/>
  <c r="Q161" i="17"/>
  <c r="Q145" i="17"/>
  <c r="Q137" i="17"/>
  <c r="H200" i="17"/>
  <c r="T200" i="17" s="1"/>
  <c r="G200" i="17"/>
  <c r="F200" i="17"/>
  <c r="H199" i="17"/>
  <c r="T199" i="17" s="1"/>
  <c r="G199" i="17"/>
  <c r="F199" i="17"/>
  <c r="T198" i="17"/>
  <c r="S198" i="17"/>
  <c r="H184" i="17"/>
  <c r="T184" i="17" s="1"/>
  <c r="T85" i="9" s="1"/>
  <c r="G184" i="17"/>
  <c r="F184" i="17"/>
  <c r="H183" i="17"/>
  <c r="T183" i="17" s="1"/>
  <c r="S85" i="9" s="1"/>
  <c r="G183" i="17"/>
  <c r="F183" i="17"/>
  <c r="R183" i="17" s="1"/>
  <c r="T182" i="17"/>
  <c r="G85" i="9" s="1"/>
  <c r="S182" i="17"/>
  <c r="G85" i="8" s="1"/>
  <c r="H176" i="17"/>
  <c r="T176" i="17" s="1"/>
  <c r="G176" i="17"/>
  <c r="F176" i="17"/>
  <c r="R176" i="17" s="1"/>
  <c r="H175" i="17"/>
  <c r="T175" i="17" s="1"/>
  <c r="G175" i="17"/>
  <c r="F175" i="17"/>
  <c r="R175" i="17" s="1"/>
  <c r="T174" i="17"/>
  <c r="S174" i="17"/>
  <c r="R174" i="17"/>
  <c r="H168" i="17"/>
  <c r="T168" i="17" s="1"/>
  <c r="G168" i="17"/>
  <c r="F168" i="17"/>
  <c r="R168" i="17" s="1"/>
  <c r="H167" i="17"/>
  <c r="T167" i="17" s="1"/>
  <c r="G167" i="17"/>
  <c r="F167" i="17"/>
  <c r="R167" i="17" s="1"/>
  <c r="T166" i="17"/>
  <c r="S166" i="17"/>
  <c r="R166" i="17"/>
  <c r="H160" i="17"/>
  <c r="G160" i="17"/>
  <c r="F160" i="17"/>
  <c r="H159" i="17"/>
  <c r="G159" i="17"/>
  <c r="F159" i="17"/>
  <c r="H144" i="17"/>
  <c r="G144" i="17"/>
  <c r="F144" i="17"/>
  <c r="H143" i="17"/>
  <c r="G143" i="17"/>
  <c r="F143" i="17"/>
  <c r="F136" i="17"/>
  <c r="H136" i="17"/>
  <c r="G136" i="17"/>
  <c r="H135" i="17"/>
  <c r="G135" i="17"/>
  <c r="F135" i="17"/>
  <c r="Q329" i="17"/>
  <c r="Q328" i="17"/>
  <c r="H328" i="17"/>
  <c r="T328" i="17" s="1"/>
  <c r="T114" i="9" s="1"/>
  <c r="G328" i="17"/>
  <c r="F328" i="17"/>
  <c r="R328" i="17" s="1"/>
  <c r="Q327" i="17"/>
  <c r="H327" i="17"/>
  <c r="T327" i="17" s="1"/>
  <c r="S114" i="9" s="1"/>
  <c r="G327" i="17"/>
  <c r="F327" i="17"/>
  <c r="R327" i="17" s="1"/>
  <c r="Q326" i="17"/>
  <c r="T326" i="17"/>
  <c r="G114" i="9" s="1"/>
  <c r="S326" i="17"/>
  <c r="G114" i="8" s="1"/>
  <c r="R326" i="17"/>
  <c r="Q308" i="17"/>
  <c r="Q307" i="17"/>
  <c r="H307" i="17"/>
  <c r="T307" i="17" s="1"/>
  <c r="T111" i="9" s="1"/>
  <c r="G307" i="17"/>
  <c r="F307" i="17"/>
  <c r="R307" i="17" s="1"/>
  <c r="Q306" i="17"/>
  <c r="H306" i="17"/>
  <c r="T306" i="17" s="1"/>
  <c r="S111" i="9" s="1"/>
  <c r="G306" i="17"/>
  <c r="F306" i="17"/>
  <c r="R306" i="17" s="1"/>
  <c r="Q305" i="17"/>
  <c r="T305" i="17"/>
  <c r="G111" i="9" s="1"/>
  <c r="S305" i="17"/>
  <c r="G111" i="8" s="1"/>
  <c r="R305" i="17"/>
  <c r="Q202" i="17"/>
  <c r="Q200" i="17"/>
  <c r="Q199" i="17"/>
  <c r="Q198" i="17"/>
  <c r="Q186" i="17"/>
  <c r="Q183" i="17"/>
  <c r="Q182" i="17"/>
  <c r="M182" i="17"/>
  <c r="Q178" i="17"/>
  <c r="Q176" i="17"/>
  <c r="Q175" i="17"/>
  <c r="Q174" i="17"/>
  <c r="Q170" i="17"/>
  <c r="Q168" i="17"/>
  <c r="Q167" i="17"/>
  <c r="Q166" i="17"/>
  <c r="AO83" i="22" l="1"/>
  <c r="BH83" i="22" s="1"/>
  <c r="AO85" i="22"/>
  <c r="BH85" i="22" s="1"/>
  <c r="AO87" i="22"/>
  <c r="BH87" i="22" s="1"/>
  <c r="AO84" i="8"/>
  <c r="BH84" i="8" s="1"/>
  <c r="AO84" i="22"/>
  <c r="BH84" i="22" s="1"/>
  <c r="AO114" i="22"/>
  <c r="BH114" i="22" s="1"/>
  <c r="AO111" i="22"/>
  <c r="BH111" i="22" s="1"/>
  <c r="AO83" i="23"/>
  <c r="BH83" i="23" s="1"/>
  <c r="BB84" i="23"/>
  <c r="BA111" i="23"/>
  <c r="BM87" i="20"/>
  <c r="AO114" i="23"/>
  <c r="BH114" i="23" s="1"/>
  <c r="BB114" i="23"/>
  <c r="AO84" i="23"/>
  <c r="BH84" i="23" s="1"/>
  <c r="AO85" i="23"/>
  <c r="BH85" i="23" s="1"/>
  <c r="AO87" i="23"/>
  <c r="BH87" i="23" s="1"/>
  <c r="BB87" i="23"/>
  <c r="BB83" i="23"/>
  <c r="BA83" i="23"/>
  <c r="BS84" i="20"/>
  <c r="BB111" i="23"/>
  <c r="BA84" i="23"/>
  <c r="BA85" i="23"/>
  <c r="BA87" i="23"/>
  <c r="BB85" i="23"/>
  <c r="AO111" i="23"/>
  <c r="BH111" i="23" s="1"/>
  <c r="BA114" i="23"/>
  <c r="BA111" i="21"/>
  <c r="BB114" i="21"/>
  <c r="BA114" i="21"/>
  <c r="BB111" i="21"/>
  <c r="AO111" i="21"/>
  <c r="BH111" i="21" s="1"/>
  <c r="AO114" i="21"/>
  <c r="BH114" i="21" s="1"/>
  <c r="AO84" i="21"/>
  <c r="BH84" i="21" s="1"/>
  <c r="BA83" i="21"/>
  <c r="AO83" i="21"/>
  <c r="BH83" i="21" s="1"/>
  <c r="BA84" i="21"/>
  <c r="BA85" i="21"/>
  <c r="BB83" i="21"/>
  <c r="BB84" i="21"/>
  <c r="G84" i="16"/>
  <c r="G83" i="16"/>
  <c r="K183" i="17"/>
  <c r="M183" i="17" s="1"/>
  <c r="K184" i="17"/>
  <c r="M184" i="17" s="1"/>
  <c r="R184" i="17"/>
  <c r="Q184" i="17"/>
  <c r="S111" i="2"/>
  <c r="BA111" i="9"/>
  <c r="S114" i="2"/>
  <c r="AD87" i="20" s="1"/>
  <c r="G111" i="2"/>
  <c r="AO111" i="9"/>
  <c r="BH111" i="9" s="1"/>
  <c r="AO111" i="8"/>
  <c r="BH111" i="8" s="1"/>
  <c r="T111" i="2"/>
  <c r="G114" i="2"/>
  <c r="T114" i="2"/>
  <c r="AO83" i="2"/>
  <c r="BH83" i="2" s="1"/>
  <c r="BB83" i="9"/>
  <c r="S85" i="2"/>
  <c r="AJ112" i="8"/>
  <c r="AJ112" i="9"/>
  <c r="AJ112" i="2"/>
  <c r="AJ112" i="16"/>
  <c r="AK114" i="8"/>
  <c r="AK114" i="9"/>
  <c r="AK114" i="2"/>
  <c r="AK114" i="16"/>
  <c r="AK113" i="8"/>
  <c r="AK113" i="9"/>
  <c r="AK113" i="2"/>
  <c r="AK113" i="16"/>
  <c r="AK112" i="9"/>
  <c r="AK112" i="8"/>
  <c r="AK112" i="2"/>
  <c r="AK112" i="16"/>
  <c r="AJ113" i="9"/>
  <c r="AJ113" i="8"/>
  <c r="AJ113" i="2"/>
  <c r="AJ113" i="16"/>
  <c r="AJ114" i="8"/>
  <c r="AJ114" i="9"/>
  <c r="AJ114" i="16"/>
  <c r="AJ114" i="2"/>
  <c r="X114" i="3"/>
  <c r="Y114" i="8"/>
  <c r="BF114" i="8" s="1"/>
  <c r="AA114" i="3"/>
  <c r="AC114" i="3" s="1"/>
  <c r="Y114" i="9"/>
  <c r="BF114" i="9" s="1"/>
  <c r="Y114" i="2"/>
  <c r="Y114" i="16"/>
  <c r="BF114" i="16" s="1"/>
  <c r="X113" i="3"/>
  <c r="Y113" i="8"/>
  <c r="BF113" i="8" s="1"/>
  <c r="AA113" i="3"/>
  <c r="AC113" i="3" s="1"/>
  <c r="Y113" i="9"/>
  <c r="BF113" i="9" s="1"/>
  <c r="Y113" i="2"/>
  <c r="BF113" i="2" s="1"/>
  <c r="Y113" i="16"/>
  <c r="BF113" i="16" s="1"/>
  <c r="X112" i="3"/>
  <c r="Y112" i="9"/>
  <c r="BF112" i="9" s="1"/>
  <c r="AA112" i="3"/>
  <c r="AC112" i="3" s="1"/>
  <c r="Y112" i="8"/>
  <c r="BF112" i="8" s="1"/>
  <c r="Y112" i="2"/>
  <c r="BF112" i="2" s="1"/>
  <c r="Y112" i="16"/>
  <c r="BF112" i="16" s="1"/>
  <c r="X114" i="8"/>
  <c r="X114" i="9"/>
  <c r="X114" i="2"/>
  <c r="X114" i="16"/>
  <c r="X113" i="9"/>
  <c r="X113" i="2"/>
  <c r="X113" i="16"/>
  <c r="X113" i="8"/>
  <c r="X112" i="8"/>
  <c r="X112" i="9"/>
  <c r="X112" i="2"/>
  <c r="X112" i="16"/>
  <c r="AS87" i="20"/>
  <c r="BR84" i="20"/>
  <c r="I182" i="17"/>
  <c r="I183" i="17"/>
  <c r="I198" i="17"/>
  <c r="I199" i="17"/>
  <c r="I200" i="17"/>
  <c r="R198" i="17"/>
  <c r="I142" i="17"/>
  <c r="I143" i="17"/>
  <c r="I144" i="17"/>
  <c r="I158" i="17"/>
  <c r="I159" i="17"/>
  <c r="I160" i="17"/>
  <c r="I166" i="17"/>
  <c r="I167" i="17"/>
  <c r="I174" i="17"/>
  <c r="I175" i="17"/>
  <c r="I176" i="17"/>
  <c r="R182" i="17"/>
  <c r="R200" i="17"/>
  <c r="R199" i="17"/>
  <c r="I184" i="17"/>
  <c r="U174" i="17"/>
  <c r="I168" i="17"/>
  <c r="U166" i="17"/>
  <c r="I134" i="17"/>
  <c r="U326" i="17"/>
  <c r="I326" i="17"/>
  <c r="I327" i="17"/>
  <c r="I328" i="17"/>
  <c r="U305" i="17"/>
  <c r="I305" i="17"/>
  <c r="I306" i="17"/>
  <c r="I307" i="17"/>
  <c r="BK114" i="23" l="1"/>
  <c r="G83" i="24"/>
  <c r="AO83" i="24" s="1"/>
  <c r="BH83" i="24" s="1"/>
  <c r="G114" i="24"/>
  <c r="AO114" i="24" s="1"/>
  <c r="BH114" i="24" s="1"/>
  <c r="BK84" i="23"/>
  <c r="BK87" i="23"/>
  <c r="G84" i="24"/>
  <c r="AO84" i="24" s="1"/>
  <c r="BH84" i="24" s="1"/>
  <c r="BK83" i="23"/>
  <c r="BK111" i="23"/>
  <c r="G114" i="16"/>
  <c r="AO114" i="16" s="1"/>
  <c r="BH114" i="16" s="1"/>
  <c r="G111" i="24"/>
  <c r="AO111" i="24" s="1"/>
  <c r="BH111" i="24" s="1"/>
  <c r="BB111" i="9"/>
  <c r="BK111" i="9" s="1"/>
  <c r="BK85" i="23"/>
  <c r="BK114" i="21"/>
  <c r="BK111" i="21"/>
  <c r="BB87" i="21"/>
  <c r="BK84" i="21"/>
  <c r="G85" i="2"/>
  <c r="G85" i="16" s="1"/>
  <c r="BK83" i="21"/>
  <c r="G87" i="16"/>
  <c r="T85" i="2"/>
  <c r="AE65" i="20" s="1"/>
  <c r="BA87" i="21"/>
  <c r="BB111" i="2"/>
  <c r="BA83" i="2"/>
  <c r="AO111" i="2"/>
  <c r="BH111" i="2" s="1"/>
  <c r="G111" i="16"/>
  <c r="AO111" i="16" s="1"/>
  <c r="BH111" i="16" s="1"/>
  <c r="BB83" i="2"/>
  <c r="S327" i="17"/>
  <c r="S114" i="8" s="1"/>
  <c r="S199" i="17"/>
  <c r="S175" i="17"/>
  <c r="S184" i="17"/>
  <c r="T85" i="8" s="1"/>
  <c r="S167" i="17"/>
  <c r="S328" i="17"/>
  <c r="S200" i="17"/>
  <c r="S168" i="17"/>
  <c r="S307" i="17"/>
  <c r="S183" i="17"/>
  <c r="S176" i="17"/>
  <c r="S306" i="17"/>
  <c r="AE84" i="20"/>
  <c r="Y84" i="20"/>
  <c r="BM84" i="20"/>
  <c r="AO114" i="9"/>
  <c r="BH114" i="9" s="1"/>
  <c r="AO114" i="8"/>
  <c r="BH114" i="8" s="1"/>
  <c r="BS65" i="20"/>
  <c r="AD65" i="20"/>
  <c r="BS87" i="20"/>
  <c r="BB114" i="9"/>
  <c r="Y87" i="20"/>
  <c r="AO114" i="2"/>
  <c r="BH114" i="2" s="1"/>
  <c r="AD84" i="20"/>
  <c r="BA111" i="2"/>
  <c r="AO83" i="9"/>
  <c r="BH83" i="9" s="1"/>
  <c r="BB114" i="2"/>
  <c r="BA114" i="2"/>
  <c r="BR65" i="20"/>
  <c r="BA83" i="9"/>
  <c r="BK83" i="9" s="1"/>
  <c r="AO83" i="8"/>
  <c r="BH83" i="8" s="1"/>
  <c r="BR87" i="20"/>
  <c r="BA114" i="9"/>
  <c r="BF114" i="2"/>
  <c r="AE87" i="20"/>
  <c r="AS84" i="20"/>
  <c r="U198" i="17"/>
  <c r="U182" i="17"/>
  <c r="BA111" i="22" l="1"/>
  <c r="S111" i="8"/>
  <c r="S111" i="16" s="1"/>
  <c r="BA85" i="22"/>
  <c r="S85" i="8"/>
  <c r="BB111" i="22"/>
  <c r="T111" i="8"/>
  <c r="T111" i="16" s="1"/>
  <c r="T114" i="24"/>
  <c r="BB114" i="24" s="1"/>
  <c r="T114" i="8"/>
  <c r="T114" i="16" s="1"/>
  <c r="BA83" i="22"/>
  <c r="S83" i="24"/>
  <c r="BA83" i="24" s="1"/>
  <c r="AY65" i="20"/>
  <c r="BB85" i="22"/>
  <c r="BB84" i="22"/>
  <c r="T84" i="24"/>
  <c r="BB84" i="24" s="1"/>
  <c r="BA84" i="22"/>
  <c r="S84" i="24"/>
  <c r="BA84" i="24" s="1"/>
  <c r="BA114" i="8"/>
  <c r="BB83" i="22"/>
  <c r="T83" i="24"/>
  <c r="BB83" i="24" s="1"/>
  <c r="T87" i="16"/>
  <c r="G85" i="24"/>
  <c r="AO85" i="24" s="1"/>
  <c r="BH85" i="24" s="1"/>
  <c r="AO85" i="21"/>
  <c r="BH85" i="21" s="1"/>
  <c r="G87" i="24"/>
  <c r="AO87" i="24" s="1"/>
  <c r="BH87" i="24" s="1"/>
  <c r="AO87" i="21"/>
  <c r="BH87" i="21" s="1"/>
  <c r="BB85" i="21"/>
  <c r="BK85" i="21" s="1"/>
  <c r="BK87" i="21"/>
  <c r="BK111" i="2"/>
  <c r="T85" i="16"/>
  <c r="BK83" i="2"/>
  <c r="S87" i="16"/>
  <c r="U199" i="17"/>
  <c r="U327" i="17"/>
  <c r="U200" i="17"/>
  <c r="U328" i="17"/>
  <c r="S84" i="16"/>
  <c r="U175" i="17"/>
  <c r="S83" i="16"/>
  <c r="U167" i="17"/>
  <c r="U307" i="17"/>
  <c r="U306" i="17"/>
  <c r="T83" i="16"/>
  <c r="U168" i="17"/>
  <c r="U183" i="17"/>
  <c r="T84" i="16"/>
  <c r="U176" i="17"/>
  <c r="U184" i="17"/>
  <c r="BK114" i="2"/>
  <c r="BK114" i="9"/>
  <c r="E84" i="20"/>
  <c r="E87" i="20"/>
  <c r="Y65" i="20"/>
  <c r="AS65" i="20"/>
  <c r="BM65" i="20"/>
  <c r="H154" i="3"/>
  <c r="I154" i="3" s="1"/>
  <c r="S85" i="24" l="1"/>
  <c r="BA85" i="24" s="1"/>
  <c r="BB114" i="22"/>
  <c r="BK84" i="22"/>
  <c r="S111" i="24"/>
  <c r="BA111" i="24" s="1"/>
  <c r="T111" i="24"/>
  <c r="BB111" i="24" s="1"/>
  <c r="T85" i="24"/>
  <c r="BB85" i="24" s="1"/>
  <c r="BK111" i="22"/>
  <c r="AX87" i="20"/>
  <c r="BA114" i="22"/>
  <c r="S114" i="24"/>
  <c r="BA114" i="24" s="1"/>
  <c r="BK114" i="24" s="1"/>
  <c r="BA87" i="22"/>
  <c r="S87" i="24"/>
  <c r="BA87" i="24" s="1"/>
  <c r="BB87" i="22"/>
  <c r="T87" i="24"/>
  <c r="BB87" i="24" s="1"/>
  <c r="BK85" i="22"/>
  <c r="BK84" i="24"/>
  <c r="BK83" i="24"/>
  <c r="S114" i="16"/>
  <c r="BA114" i="16" s="1"/>
  <c r="BK83" i="22"/>
  <c r="AX65" i="20"/>
  <c r="S85" i="16"/>
  <c r="BA84" i="8"/>
  <c r="BA83" i="8"/>
  <c r="AY87" i="20"/>
  <c r="BB114" i="8"/>
  <c r="BK114" i="8" s="1"/>
  <c r="BB84" i="8"/>
  <c r="BB83" i="8"/>
  <c r="AY84" i="20"/>
  <c r="BB111" i="8"/>
  <c r="BA111" i="8"/>
  <c r="AX84" i="20"/>
  <c r="Y107" i="8"/>
  <c r="BF107" i="8" s="1"/>
  <c r="X107" i="3"/>
  <c r="Y107" i="2"/>
  <c r="BF107" i="2" s="1"/>
  <c r="AA107" i="3"/>
  <c r="AC107" i="3" s="1"/>
  <c r="AK107" i="8"/>
  <c r="AK107" i="2"/>
  <c r="H150" i="3"/>
  <c r="I150" i="3" s="1"/>
  <c r="X107" i="8"/>
  <c r="X107" i="2"/>
  <c r="AJ107" i="2"/>
  <c r="AJ107" i="8"/>
  <c r="X106" i="2"/>
  <c r="X108" i="8"/>
  <c r="X108" i="9"/>
  <c r="X108" i="2"/>
  <c r="AJ106" i="2"/>
  <c r="AJ108" i="8"/>
  <c r="AJ108" i="9"/>
  <c r="AJ108" i="2"/>
  <c r="Y106" i="2"/>
  <c r="BF106" i="2" s="1"/>
  <c r="Y108" i="8"/>
  <c r="BF108" i="8" s="1"/>
  <c r="X108" i="3"/>
  <c r="Y108" i="9"/>
  <c r="BF108" i="9" s="1"/>
  <c r="Y108" i="2"/>
  <c r="BF108" i="2" s="1"/>
  <c r="AA108" i="3"/>
  <c r="AC108" i="3" s="1"/>
  <c r="AK106" i="2"/>
  <c r="AK108" i="8"/>
  <c r="AK108" i="9"/>
  <c r="AK108" i="2"/>
  <c r="H164" i="3"/>
  <c r="I164" i="3" s="1"/>
  <c r="H146" i="3"/>
  <c r="I146" i="3" s="1"/>
  <c r="H145" i="3"/>
  <c r="I145" i="3" s="1"/>
  <c r="H149" i="3"/>
  <c r="I149" i="3" s="1"/>
  <c r="H153" i="3"/>
  <c r="I153" i="3" s="1"/>
  <c r="H152" i="3"/>
  <c r="I152" i="3" s="1"/>
  <c r="H148" i="3"/>
  <c r="I148" i="3" s="1"/>
  <c r="H151" i="3"/>
  <c r="I151" i="3" s="1"/>
  <c r="H163" i="3"/>
  <c r="I163" i="3" s="1"/>
  <c r="BK114" i="22" l="1"/>
  <c r="BK85" i="24"/>
  <c r="BK111" i="24"/>
  <c r="J87" i="20"/>
  <c r="BK87" i="24"/>
  <c r="BK87" i="22"/>
  <c r="BK84" i="8"/>
  <c r="BK111" i="8"/>
  <c r="BB114" i="16"/>
  <c r="BK114" i="16" s="1"/>
  <c r="K87" i="20"/>
  <c r="BK83" i="8"/>
  <c r="BA111" i="16"/>
  <c r="J84" i="20"/>
  <c r="BB111" i="16"/>
  <c r="K84" i="20"/>
  <c r="BK111" i="16" l="1"/>
  <c r="BJ54" i="20"/>
  <c r="AP54" i="20"/>
  <c r="V54" i="20"/>
  <c r="B54" i="20"/>
  <c r="BS62" i="20"/>
  <c r="BS59" i="20"/>
  <c r="BR59" i="20"/>
  <c r="BM63" i="20"/>
  <c r="BM62" i="20"/>
  <c r="BM60" i="20"/>
  <c r="BM59" i="20"/>
  <c r="BS36" i="20"/>
  <c r="BS35" i="20"/>
  <c r="BR35" i="20"/>
  <c r="BV37" i="20"/>
  <c r="BU37" i="20"/>
  <c r="BT36" i="20"/>
  <c r="BM38" i="20"/>
  <c r="BM36" i="20"/>
  <c r="BM35" i="20"/>
  <c r="BS28" i="20" l="1"/>
  <c r="BV29" i="20"/>
  <c r="BU29" i="20"/>
  <c r="BM25" i="20"/>
  <c r="BM21" i="20"/>
  <c r="BM20" i="20"/>
  <c r="BW16" i="20"/>
  <c r="BC16" i="20"/>
  <c r="AY28" i="20"/>
  <c r="BB29" i="20"/>
  <c r="BA29" i="20"/>
  <c r="AS21" i="20"/>
  <c r="AS20" i="20"/>
  <c r="AS25" i="20"/>
  <c r="AY35" i="20"/>
  <c r="AY36" i="20"/>
  <c r="AX35" i="20"/>
  <c r="BB37" i="20"/>
  <c r="BA37" i="20"/>
  <c r="AZ36" i="20"/>
  <c r="AS38" i="20"/>
  <c r="AS36" i="20"/>
  <c r="AS35" i="20"/>
  <c r="AY62" i="20"/>
  <c r="AY59" i="20"/>
  <c r="AX59" i="20"/>
  <c r="AS60" i="20"/>
  <c r="AS62" i="20"/>
  <c r="AS63" i="20"/>
  <c r="AS59" i="20"/>
  <c r="AE62" i="20"/>
  <c r="AE59" i="20"/>
  <c r="AD59" i="20"/>
  <c r="Y60" i="20"/>
  <c r="Y62" i="20"/>
  <c r="Y63" i="20"/>
  <c r="Y59" i="20"/>
  <c r="AE36" i="20"/>
  <c r="AE35" i="20"/>
  <c r="AD35" i="20"/>
  <c r="AH37" i="20"/>
  <c r="AG37" i="20"/>
  <c r="AF36" i="20"/>
  <c r="Y38" i="20"/>
  <c r="Y36" i="20"/>
  <c r="Y35" i="20"/>
  <c r="AE28" i="20"/>
  <c r="AH29" i="20"/>
  <c r="AG29" i="20"/>
  <c r="Y25" i="20"/>
  <c r="Y21" i="20"/>
  <c r="Y20" i="20"/>
  <c r="AI16" i="20"/>
  <c r="BJ8" i="20"/>
  <c r="AP8" i="20"/>
  <c r="V8" i="20"/>
  <c r="G9" i="10" l="1"/>
  <c r="B8" i="20"/>
  <c r="G56" i="19" l="1"/>
  <c r="B1" i="20"/>
  <c r="C33" i="20"/>
  <c r="C32" i="20"/>
  <c r="C29" i="20"/>
  <c r="C28" i="20"/>
  <c r="C27" i="20"/>
  <c r="C25" i="20"/>
  <c r="C24" i="20"/>
  <c r="C23" i="20"/>
  <c r="C21" i="20"/>
  <c r="C20" i="20"/>
  <c r="C16" i="20"/>
  <c r="C15" i="20"/>
  <c r="C13" i="20"/>
  <c r="I77" i="11" l="1"/>
  <c r="I18" i="11"/>
  <c r="D38" i="14" l="1"/>
  <c r="D32" i="14"/>
  <c r="D13" i="14" l="1"/>
  <c r="H66" i="18" s="1"/>
  <c r="H68" i="18" s="1"/>
  <c r="H72" i="18" s="1"/>
  <c r="H73" i="18" s="1"/>
  <c r="E42" i="18"/>
  <c r="F42" i="18"/>
  <c r="H42" i="18"/>
  <c r="I42" i="18"/>
  <c r="I43" i="18" s="1"/>
  <c r="D42" i="18"/>
  <c r="I72" i="18"/>
  <c r="I73" i="18" s="1"/>
  <c r="G58" i="18"/>
  <c r="H58" i="18"/>
  <c r="I58" i="18"/>
  <c r="I59" i="18" s="1"/>
  <c r="D58" i="18"/>
  <c r="E67" i="18" l="1"/>
  <c r="F67" i="18"/>
  <c r="G67" i="18"/>
  <c r="D67" i="18"/>
  <c r="E20" i="18" l="1"/>
  <c r="F20" i="18"/>
  <c r="G20" i="18"/>
  <c r="D20" i="18"/>
  <c r="F68" i="18" l="1"/>
  <c r="F69" i="18" s="1"/>
  <c r="E68" i="18"/>
  <c r="E69" i="18" s="1"/>
  <c r="D68" i="18"/>
  <c r="D69" i="18" s="1"/>
  <c r="E51" i="18"/>
  <c r="E52" i="18" s="1"/>
  <c r="E53" i="18" s="1"/>
  <c r="F51" i="18"/>
  <c r="F52" i="18" s="1"/>
  <c r="F53" i="18" s="1"/>
  <c r="G51" i="18"/>
  <c r="D51" i="18"/>
  <c r="D52" i="18" s="1"/>
  <c r="E36" i="18"/>
  <c r="E35" i="18"/>
  <c r="F35" i="18"/>
  <c r="F36" i="18" s="1"/>
  <c r="G35" i="18"/>
  <c r="D35" i="18"/>
  <c r="D36" i="18" s="1"/>
  <c r="D43" i="18" l="1"/>
  <c r="D37" i="18"/>
  <c r="F43" i="18"/>
  <c r="F37" i="18"/>
  <c r="E43" i="18"/>
  <c r="E37" i="18"/>
  <c r="D59" i="18"/>
  <c r="D53" i="18"/>
  <c r="E72" i="18"/>
  <c r="E73" i="18"/>
  <c r="F72" i="18"/>
  <c r="F73" i="18" s="1"/>
  <c r="D72" i="18"/>
  <c r="D73" i="18" s="1"/>
  <c r="E56" i="18"/>
  <c r="E58" i="18" l="1"/>
  <c r="E59" i="18" s="1"/>
  <c r="F57" i="18"/>
  <c r="F58" i="18" s="1"/>
  <c r="F59" i="18" s="1"/>
  <c r="G11" i="18" l="1"/>
  <c r="G13" i="18" s="1"/>
  <c r="G24" i="18" s="1"/>
  <c r="F12" i="18" l="1"/>
  <c r="E12" i="18"/>
  <c r="E11" i="18" s="1"/>
  <c r="E13" i="18" s="1"/>
  <c r="E24" i="18" s="1"/>
  <c r="D12" i="18"/>
  <c r="D11" i="18" s="1"/>
  <c r="D13" i="18" s="1"/>
  <c r="D24" i="18" s="1"/>
  <c r="F11" i="18" l="1"/>
  <c r="F13" i="18" s="1"/>
  <c r="F24" i="18" s="1"/>
  <c r="B1" i="3"/>
  <c r="B1" i="16"/>
  <c r="B1" i="9"/>
  <c r="B1" i="8"/>
  <c r="B1" i="2"/>
  <c r="O14" i="4" l="1"/>
  <c r="N14" i="4"/>
  <c r="Q421" i="17" l="1"/>
  <c r="Q420" i="17"/>
  <c r="H420" i="17"/>
  <c r="T420" i="17" s="1"/>
  <c r="G420" i="17"/>
  <c r="F420" i="17"/>
  <c r="R420" i="17" s="1"/>
  <c r="Q419" i="17"/>
  <c r="H419" i="17"/>
  <c r="T419" i="17" s="1"/>
  <c r="G419" i="17"/>
  <c r="F419" i="17"/>
  <c r="R419" i="17" s="1"/>
  <c r="Q418" i="17"/>
  <c r="T418" i="17"/>
  <c r="S418" i="17"/>
  <c r="R418" i="17"/>
  <c r="Q414" i="17"/>
  <c r="Q413" i="17"/>
  <c r="H413" i="17"/>
  <c r="T413" i="17" s="1"/>
  <c r="T128" i="9" s="1"/>
  <c r="G413" i="17"/>
  <c r="F413" i="17"/>
  <c r="R413" i="17" s="1"/>
  <c r="Q412" i="17"/>
  <c r="H412" i="17"/>
  <c r="T412" i="17" s="1"/>
  <c r="S128" i="9" s="1"/>
  <c r="G412" i="17"/>
  <c r="F412" i="17"/>
  <c r="R412" i="17" s="1"/>
  <c r="Q411" i="17"/>
  <c r="M411" i="17"/>
  <c r="T411" i="17"/>
  <c r="G128" i="9" s="1"/>
  <c r="S411" i="17"/>
  <c r="G128" i="8" s="1"/>
  <c r="R411" i="17"/>
  <c r="Q407" i="17"/>
  <c r="Q406" i="17"/>
  <c r="H406" i="17"/>
  <c r="T406" i="17" s="1"/>
  <c r="T127" i="9" s="1"/>
  <c r="G406" i="17"/>
  <c r="F406" i="17"/>
  <c r="R406" i="17" s="1"/>
  <c r="Q405" i="17"/>
  <c r="H405" i="17"/>
  <c r="T405" i="17" s="1"/>
  <c r="S127" i="9" s="1"/>
  <c r="G405" i="17"/>
  <c r="F405" i="17"/>
  <c r="Q404" i="17"/>
  <c r="M404" i="17"/>
  <c r="T404" i="17"/>
  <c r="G127" i="9" s="1"/>
  <c r="S404" i="17"/>
  <c r="G127" i="8" s="1"/>
  <c r="R404" i="17"/>
  <c r="H399" i="17"/>
  <c r="T399" i="17" s="1"/>
  <c r="T126" i="9" s="1"/>
  <c r="G399" i="17"/>
  <c r="F399" i="17"/>
  <c r="H398" i="17"/>
  <c r="T398" i="17" s="1"/>
  <c r="S126" i="9" s="1"/>
  <c r="G398" i="17"/>
  <c r="F398" i="17"/>
  <c r="R398" i="17" s="1"/>
  <c r="T397" i="17"/>
  <c r="G126" i="9" s="1"/>
  <c r="S397" i="17"/>
  <c r="G126" i="8" s="1"/>
  <c r="R397" i="17"/>
  <c r="H392" i="17"/>
  <c r="T392" i="17" s="1"/>
  <c r="T125" i="9" s="1"/>
  <c r="G392" i="17"/>
  <c r="F392" i="17"/>
  <c r="R392" i="17" s="1"/>
  <c r="H391" i="17"/>
  <c r="T391" i="17" s="1"/>
  <c r="S125" i="9" s="1"/>
  <c r="G391" i="17"/>
  <c r="F391" i="17"/>
  <c r="R391" i="17" s="1"/>
  <c r="T390" i="17"/>
  <c r="G125" i="9" s="1"/>
  <c r="S390" i="17"/>
  <c r="G125" i="8" s="1"/>
  <c r="R390" i="17"/>
  <c r="H385" i="17"/>
  <c r="T385" i="17" s="1"/>
  <c r="T124" i="9" s="1"/>
  <c r="G385" i="17"/>
  <c r="F385" i="17"/>
  <c r="R385" i="17" s="1"/>
  <c r="H384" i="17"/>
  <c r="T384" i="17" s="1"/>
  <c r="S124" i="9" s="1"/>
  <c r="G384" i="17"/>
  <c r="F384" i="17"/>
  <c r="T383" i="17"/>
  <c r="G124" i="9" s="1"/>
  <c r="S383" i="17"/>
  <c r="G124" i="8" s="1"/>
  <c r="H378" i="17"/>
  <c r="T378" i="17" s="1"/>
  <c r="T123" i="9" s="1"/>
  <c r="G378" i="17"/>
  <c r="F378" i="17"/>
  <c r="R378" i="17" s="1"/>
  <c r="H377" i="17"/>
  <c r="T377" i="17" s="1"/>
  <c r="S123" i="9" s="1"/>
  <c r="G377" i="17"/>
  <c r="F377" i="17"/>
  <c r="R377" i="17" s="1"/>
  <c r="T376" i="17"/>
  <c r="G123" i="9" s="1"/>
  <c r="S376" i="17"/>
  <c r="G123" i="8" s="1"/>
  <c r="R376" i="17"/>
  <c r="H371" i="17"/>
  <c r="T371" i="17" s="1"/>
  <c r="T122" i="9" s="1"/>
  <c r="G371" i="17"/>
  <c r="F371" i="17"/>
  <c r="R371" i="17" s="1"/>
  <c r="H370" i="17"/>
  <c r="T370" i="17" s="1"/>
  <c r="S122" i="9" s="1"/>
  <c r="G370" i="17"/>
  <c r="F370" i="17"/>
  <c r="R370" i="17" s="1"/>
  <c r="T369" i="17"/>
  <c r="G122" i="9" s="1"/>
  <c r="S369" i="17"/>
  <c r="G122" i="8" s="1"/>
  <c r="R369" i="17"/>
  <c r="H364" i="17"/>
  <c r="T364" i="17" s="1"/>
  <c r="T121" i="9" s="1"/>
  <c r="G364" i="17"/>
  <c r="F364" i="17"/>
  <c r="H363" i="17"/>
  <c r="T363" i="17" s="1"/>
  <c r="S121" i="9" s="1"/>
  <c r="G363" i="17"/>
  <c r="F363" i="17"/>
  <c r="T362" i="17"/>
  <c r="G121" i="9" s="1"/>
  <c r="S362" i="17"/>
  <c r="G121" i="8" s="1"/>
  <c r="R362" i="17"/>
  <c r="H353" i="17"/>
  <c r="T353" i="17" s="1"/>
  <c r="T119" i="9" s="1"/>
  <c r="G353" i="17"/>
  <c r="S353" i="17" s="1"/>
  <c r="T119" i="8" s="1"/>
  <c r="F353" i="17"/>
  <c r="R353" i="17" s="1"/>
  <c r="H352" i="17"/>
  <c r="T352" i="17" s="1"/>
  <c r="S119" i="9" s="1"/>
  <c r="G352" i="17"/>
  <c r="S352" i="17" s="1"/>
  <c r="S119" i="8" s="1"/>
  <c r="F352" i="17"/>
  <c r="R352" i="17" s="1"/>
  <c r="T351" i="17"/>
  <c r="G119" i="9" s="1"/>
  <c r="S351" i="17"/>
  <c r="G119" i="8" s="1"/>
  <c r="R351" i="17"/>
  <c r="H346" i="17"/>
  <c r="T346" i="17" s="1"/>
  <c r="T118" i="9" s="1"/>
  <c r="G346" i="17"/>
  <c r="S346" i="17" s="1"/>
  <c r="T118" i="8" s="1"/>
  <c r="F346" i="17"/>
  <c r="H345" i="17"/>
  <c r="T345" i="17" s="1"/>
  <c r="S118" i="9" s="1"/>
  <c r="G345" i="17"/>
  <c r="S345" i="17" s="1"/>
  <c r="S118" i="8" s="1"/>
  <c r="F345" i="17"/>
  <c r="R345" i="17" s="1"/>
  <c r="T344" i="17"/>
  <c r="G118" i="9" s="1"/>
  <c r="S344" i="17"/>
  <c r="G118" i="8" s="1"/>
  <c r="R344" i="17"/>
  <c r="H339" i="17"/>
  <c r="T339" i="17" s="1"/>
  <c r="T117" i="9" s="1"/>
  <c r="G339" i="17"/>
  <c r="S339" i="17" s="1"/>
  <c r="T117" i="8" s="1"/>
  <c r="F339" i="17"/>
  <c r="R339" i="17" s="1"/>
  <c r="H338" i="17"/>
  <c r="T338" i="17" s="1"/>
  <c r="S117" i="9" s="1"/>
  <c r="G338" i="17"/>
  <c r="S338" i="17" s="1"/>
  <c r="S117" i="8" s="1"/>
  <c r="F338" i="17"/>
  <c r="R338" i="17" s="1"/>
  <c r="T337" i="17"/>
  <c r="G117" i="9" s="1"/>
  <c r="S337" i="17"/>
  <c r="G117" i="8" s="1"/>
  <c r="R337" i="17"/>
  <c r="Q400" i="17"/>
  <c r="Q399" i="17"/>
  <c r="Q398" i="17"/>
  <c r="Q397" i="17"/>
  <c r="M397" i="17"/>
  <c r="Q393" i="17"/>
  <c r="Q392" i="17"/>
  <c r="Q391" i="17"/>
  <c r="Q390" i="17"/>
  <c r="M390" i="17"/>
  <c r="Q386" i="17"/>
  <c r="Q385" i="17"/>
  <c r="Q384" i="17"/>
  <c r="Q383" i="17"/>
  <c r="Q379" i="17"/>
  <c r="Q378" i="17"/>
  <c r="Q377" i="17"/>
  <c r="Q376" i="17"/>
  <c r="M376" i="17"/>
  <c r="Q372" i="17"/>
  <c r="Q371" i="17"/>
  <c r="Q370" i="17"/>
  <c r="Q369" i="17"/>
  <c r="M369" i="17"/>
  <c r="Q365" i="17"/>
  <c r="Q364" i="17"/>
  <c r="Q363" i="17"/>
  <c r="Q362" i="17"/>
  <c r="M362" i="17"/>
  <c r="Q354" i="17"/>
  <c r="M354" i="17"/>
  <c r="Q353" i="17"/>
  <c r="M353" i="17"/>
  <c r="Q352" i="17"/>
  <c r="M352" i="17"/>
  <c r="Q351" i="17"/>
  <c r="M351" i="17"/>
  <c r="Q347" i="17"/>
  <c r="M347" i="17"/>
  <c r="M346" i="17"/>
  <c r="Q345" i="17"/>
  <c r="M345" i="17"/>
  <c r="Q344" i="17"/>
  <c r="M344" i="17"/>
  <c r="Q340" i="17"/>
  <c r="M340" i="17"/>
  <c r="Q339" i="17"/>
  <c r="M339" i="17"/>
  <c r="Q338" i="17"/>
  <c r="M338" i="17"/>
  <c r="Q337" i="17"/>
  <c r="M337" i="17"/>
  <c r="Q322" i="17"/>
  <c r="Q321" i="17"/>
  <c r="H321" i="17"/>
  <c r="T321" i="17" s="1"/>
  <c r="T113" i="9" s="1"/>
  <c r="G321" i="17"/>
  <c r="F321" i="17"/>
  <c r="R321" i="17" s="1"/>
  <c r="Q320" i="17"/>
  <c r="H320" i="17"/>
  <c r="T320" i="17" s="1"/>
  <c r="S113" i="9" s="1"/>
  <c r="G320" i="17"/>
  <c r="F320" i="17"/>
  <c r="R320" i="17" s="1"/>
  <c r="Q319" i="17"/>
  <c r="M319" i="17"/>
  <c r="T319" i="17"/>
  <c r="G113" i="9" s="1"/>
  <c r="S319" i="17"/>
  <c r="G113" i="8" s="1"/>
  <c r="R319" i="17"/>
  <c r="Q315" i="17"/>
  <c r="Q314" i="17"/>
  <c r="H314" i="17"/>
  <c r="T314" i="17" s="1"/>
  <c r="T112" i="9" s="1"/>
  <c r="G314" i="17"/>
  <c r="F314" i="17"/>
  <c r="R314" i="17" s="1"/>
  <c r="Q313" i="17"/>
  <c r="H313" i="17"/>
  <c r="T313" i="17" s="1"/>
  <c r="S112" i="9" s="1"/>
  <c r="G313" i="17"/>
  <c r="F313" i="17"/>
  <c r="R313" i="17" s="1"/>
  <c r="Q312" i="17"/>
  <c r="M312" i="17"/>
  <c r="T312" i="17"/>
  <c r="G112" i="9" s="1"/>
  <c r="S312" i="17"/>
  <c r="G112" i="8" s="1"/>
  <c r="R312" i="17"/>
  <c r="Q287" i="17"/>
  <c r="Q286" i="17"/>
  <c r="H286" i="17"/>
  <c r="T286" i="17" s="1"/>
  <c r="T108" i="9" s="1"/>
  <c r="G286" i="17"/>
  <c r="F286" i="17"/>
  <c r="R286" i="17" s="1"/>
  <c r="Q285" i="17"/>
  <c r="H285" i="17"/>
  <c r="T285" i="17" s="1"/>
  <c r="S108" i="9" s="1"/>
  <c r="G285" i="17"/>
  <c r="F285" i="17"/>
  <c r="R285" i="17" s="1"/>
  <c r="Q284" i="17"/>
  <c r="M284" i="17"/>
  <c r="T284" i="17"/>
  <c r="G108" i="9" s="1"/>
  <c r="S284" i="17"/>
  <c r="G108" i="8" s="1"/>
  <c r="R284" i="17"/>
  <c r="Q280" i="17"/>
  <c r="Q279" i="17"/>
  <c r="H279" i="17"/>
  <c r="T279" i="17" s="1"/>
  <c r="T107" i="9" s="1"/>
  <c r="G279" i="17"/>
  <c r="F279" i="17"/>
  <c r="R279" i="17" s="1"/>
  <c r="Q278" i="17"/>
  <c r="H278" i="17"/>
  <c r="T278" i="17" s="1"/>
  <c r="S107" i="9" s="1"/>
  <c r="G278" i="17"/>
  <c r="F278" i="17"/>
  <c r="R278" i="17" s="1"/>
  <c r="Q277" i="17"/>
  <c r="M277" i="17"/>
  <c r="T277" i="17"/>
  <c r="G107" i="9" s="1"/>
  <c r="S277" i="17"/>
  <c r="G107" i="8" s="1"/>
  <c r="R277" i="17"/>
  <c r="Q273" i="17"/>
  <c r="Q272" i="17"/>
  <c r="H272" i="17"/>
  <c r="T272" i="17" s="1"/>
  <c r="T106" i="9" s="1"/>
  <c r="G272" i="17"/>
  <c r="F272" i="17"/>
  <c r="R272" i="17" s="1"/>
  <c r="Q271" i="17"/>
  <c r="H271" i="17"/>
  <c r="T271" i="17" s="1"/>
  <c r="S106" i="9" s="1"/>
  <c r="G271" i="17"/>
  <c r="F271" i="17"/>
  <c r="R271" i="17" s="1"/>
  <c r="Q270" i="17"/>
  <c r="M270" i="17"/>
  <c r="T270" i="17"/>
  <c r="G106" i="9" s="1"/>
  <c r="S270" i="17"/>
  <c r="G106" i="8" s="1"/>
  <c r="R270" i="17"/>
  <c r="Q266" i="17"/>
  <c r="Q265" i="17"/>
  <c r="H265" i="17"/>
  <c r="T265" i="17" s="1"/>
  <c r="T105" i="9" s="1"/>
  <c r="G265" i="17"/>
  <c r="F265" i="17"/>
  <c r="R265" i="17" s="1"/>
  <c r="Q264" i="17"/>
  <c r="H264" i="17"/>
  <c r="T264" i="17" s="1"/>
  <c r="S105" i="9" s="1"/>
  <c r="G264" i="17"/>
  <c r="F264" i="17"/>
  <c r="R264" i="17" s="1"/>
  <c r="Q263" i="17"/>
  <c r="M263" i="17"/>
  <c r="T263" i="17"/>
  <c r="G105" i="9" s="1"/>
  <c r="S263" i="17"/>
  <c r="G105" i="8" s="1"/>
  <c r="R263" i="17"/>
  <c r="Q162" i="17"/>
  <c r="T160" i="17"/>
  <c r="S160" i="17"/>
  <c r="R160" i="17"/>
  <c r="Q160" i="17"/>
  <c r="T159" i="17"/>
  <c r="S159" i="17"/>
  <c r="R159" i="17"/>
  <c r="Q159" i="17"/>
  <c r="T158" i="17"/>
  <c r="S158" i="17"/>
  <c r="R158" i="17"/>
  <c r="Q158" i="17"/>
  <c r="Q146" i="17"/>
  <c r="T144" i="17"/>
  <c r="S144" i="17"/>
  <c r="R144" i="17"/>
  <c r="Q144" i="17"/>
  <c r="T143" i="17"/>
  <c r="S143" i="17"/>
  <c r="R143" i="17"/>
  <c r="Q143" i="17"/>
  <c r="T142" i="17"/>
  <c r="S142" i="17"/>
  <c r="R142" i="17"/>
  <c r="Q142" i="17"/>
  <c r="Q138" i="17"/>
  <c r="Q136" i="17"/>
  <c r="M136" i="17"/>
  <c r="T136" i="17"/>
  <c r="S136" i="17"/>
  <c r="R136" i="17"/>
  <c r="Q135" i="17"/>
  <c r="M135" i="17"/>
  <c r="T135" i="17"/>
  <c r="S135" i="17"/>
  <c r="R135" i="17"/>
  <c r="Q134" i="17"/>
  <c r="M134" i="17"/>
  <c r="T134" i="17"/>
  <c r="S134" i="17"/>
  <c r="R134" i="17"/>
  <c r="Q22" i="17"/>
  <c r="M22" i="17"/>
  <c r="Q20" i="17"/>
  <c r="M20" i="17"/>
  <c r="T20" i="17"/>
  <c r="T56" i="9" s="1"/>
  <c r="S20" i="17"/>
  <c r="T56" i="8" s="1"/>
  <c r="R20" i="17"/>
  <c r="Q19" i="17"/>
  <c r="M19" i="17"/>
  <c r="T19" i="17"/>
  <c r="S56" i="9" s="1"/>
  <c r="S19" i="17"/>
  <c r="S56" i="8" s="1"/>
  <c r="R19" i="17"/>
  <c r="Q18" i="17"/>
  <c r="M18" i="17"/>
  <c r="T18" i="17"/>
  <c r="G56" i="9" s="1"/>
  <c r="S18" i="17"/>
  <c r="G56" i="8" s="1"/>
  <c r="R210" i="17"/>
  <c r="S210" i="17"/>
  <c r="G97" i="8" s="1"/>
  <c r="T210" i="17"/>
  <c r="G97" i="9" s="1"/>
  <c r="M210" i="17"/>
  <c r="Q210" i="17"/>
  <c r="F211" i="17"/>
  <c r="R211" i="17" s="1"/>
  <c r="G211" i="17"/>
  <c r="S211" i="17" s="1"/>
  <c r="S97" i="8" s="1"/>
  <c r="H211" i="17"/>
  <c r="T211" i="17" s="1"/>
  <c r="S97" i="9" s="1"/>
  <c r="M211" i="17"/>
  <c r="Q211" i="17"/>
  <c r="Q227" i="17"/>
  <c r="Q226" i="17"/>
  <c r="H226" i="17"/>
  <c r="T226" i="17" s="1"/>
  <c r="T99" i="9" s="1"/>
  <c r="G226" i="17"/>
  <c r="F226" i="17"/>
  <c r="R226" i="17" s="1"/>
  <c r="Q225" i="17"/>
  <c r="H225" i="17"/>
  <c r="T225" i="17" s="1"/>
  <c r="S99" i="9" s="1"/>
  <c r="G225" i="17"/>
  <c r="F225" i="17"/>
  <c r="R225" i="17" s="1"/>
  <c r="Q224" i="17"/>
  <c r="T224" i="17"/>
  <c r="G99" i="9" s="1"/>
  <c r="S224" i="17"/>
  <c r="G99" i="8" s="1"/>
  <c r="R224" i="17"/>
  <c r="Q220" i="17"/>
  <c r="M220" i="17"/>
  <c r="M219" i="17"/>
  <c r="H219" i="17"/>
  <c r="T219" i="17" s="1"/>
  <c r="T98" i="9" s="1"/>
  <c r="G219" i="17"/>
  <c r="S219" i="17" s="1"/>
  <c r="T98" i="8" s="1"/>
  <c r="F219" i="17"/>
  <c r="Q218" i="17"/>
  <c r="M218" i="17"/>
  <c r="H218" i="17"/>
  <c r="T218" i="17" s="1"/>
  <c r="S98" i="9" s="1"/>
  <c r="G218" i="17"/>
  <c r="S218" i="17" s="1"/>
  <c r="S98" i="8" s="1"/>
  <c r="F218" i="17"/>
  <c r="R218" i="17" s="1"/>
  <c r="Q217" i="17"/>
  <c r="M217" i="17"/>
  <c r="T217" i="17"/>
  <c r="G98" i="9" s="1"/>
  <c r="S217" i="17"/>
  <c r="G98" i="8" s="1"/>
  <c r="R217" i="17"/>
  <c r="Q255" i="17"/>
  <c r="H254" i="17"/>
  <c r="T254" i="17" s="1"/>
  <c r="T103" i="9" s="1"/>
  <c r="BS76" i="20" s="1"/>
  <c r="G254" i="17"/>
  <c r="F254" i="17"/>
  <c r="Q253" i="17"/>
  <c r="H253" i="17"/>
  <c r="T253" i="17" s="1"/>
  <c r="S103" i="9" s="1"/>
  <c r="BR76" i="20" s="1"/>
  <c r="G253" i="17"/>
  <c r="F253" i="17"/>
  <c r="R253" i="17" s="1"/>
  <c r="Q252" i="17"/>
  <c r="M252" i="17"/>
  <c r="T252" i="17"/>
  <c r="G103" i="9" s="1"/>
  <c r="BM76" i="20" s="1"/>
  <c r="S252" i="17"/>
  <c r="G103" i="8" s="1"/>
  <c r="AS76" i="20" s="1"/>
  <c r="R252" i="17"/>
  <c r="Q248" i="17"/>
  <c r="M248" i="17"/>
  <c r="Q247" i="17"/>
  <c r="M247" i="17"/>
  <c r="H247" i="17"/>
  <c r="T247" i="17" s="1"/>
  <c r="T102" i="9" s="1"/>
  <c r="BS75" i="20" s="1"/>
  <c r="G247" i="17"/>
  <c r="S247" i="17" s="1"/>
  <c r="T102" i="8" s="1"/>
  <c r="AY75" i="20" s="1"/>
  <c r="F247" i="17"/>
  <c r="R247" i="17" s="1"/>
  <c r="Q246" i="17"/>
  <c r="M246" i="17"/>
  <c r="H246" i="17"/>
  <c r="T246" i="17" s="1"/>
  <c r="S102" i="9" s="1"/>
  <c r="BR75" i="20" s="1"/>
  <c r="G246" i="17"/>
  <c r="S246" i="17" s="1"/>
  <c r="S102" i="8" s="1"/>
  <c r="AX75" i="20" s="1"/>
  <c r="F246" i="17"/>
  <c r="Q245" i="17"/>
  <c r="M245" i="17"/>
  <c r="T245" i="17"/>
  <c r="G102" i="9" s="1"/>
  <c r="BM75" i="20" s="1"/>
  <c r="S245" i="17"/>
  <c r="G102" i="8" s="1"/>
  <c r="AS75" i="20" s="1"/>
  <c r="Q234" i="17"/>
  <c r="M234" i="17"/>
  <c r="Q233" i="17"/>
  <c r="M233" i="17"/>
  <c r="H233" i="17"/>
  <c r="T233" i="17" s="1"/>
  <c r="T100" i="9" s="1"/>
  <c r="G233" i="17"/>
  <c r="S233" i="17" s="1"/>
  <c r="T100" i="8" s="1"/>
  <c r="F233" i="17"/>
  <c r="R233" i="17" s="1"/>
  <c r="Q232" i="17"/>
  <c r="M232" i="17"/>
  <c r="H232" i="17"/>
  <c r="T232" i="17" s="1"/>
  <c r="S100" i="9" s="1"/>
  <c r="G232" i="17"/>
  <c r="S232" i="17" s="1"/>
  <c r="S100" i="8" s="1"/>
  <c r="F232" i="17"/>
  <c r="R232" i="17" s="1"/>
  <c r="Q231" i="17"/>
  <c r="M231" i="17"/>
  <c r="T231" i="17"/>
  <c r="G100" i="9" s="1"/>
  <c r="S231" i="17"/>
  <c r="G100" i="8" s="1"/>
  <c r="AS73" i="20" s="1"/>
  <c r="R231" i="17"/>
  <c r="H212" i="17"/>
  <c r="T212" i="17" s="1"/>
  <c r="T97" i="9" s="1"/>
  <c r="G212" i="17"/>
  <c r="F212" i="17"/>
  <c r="R212" i="17" s="1"/>
  <c r="Q213" i="17"/>
  <c r="Q212" i="17"/>
  <c r="M213" i="17"/>
  <c r="M212" i="17"/>
  <c r="AX40" i="20" l="1"/>
  <c r="BA56" i="8"/>
  <c r="BR40" i="20"/>
  <c r="BA56" i="9"/>
  <c r="AS40" i="20"/>
  <c r="AO56" i="8"/>
  <c r="BS40" i="20"/>
  <c r="BB56" i="9"/>
  <c r="BM40" i="20"/>
  <c r="AO56" i="9"/>
  <c r="BH56" i="9" s="1"/>
  <c r="AY40" i="20"/>
  <c r="BB56" i="8"/>
  <c r="BB79" i="22"/>
  <c r="BA82" i="22"/>
  <c r="AO105" i="22"/>
  <c r="AO112" i="22"/>
  <c r="BH112" i="22" s="1"/>
  <c r="AO117" i="22"/>
  <c r="BB119" i="22"/>
  <c r="AO127" i="22"/>
  <c r="BH127" i="22" s="1"/>
  <c r="AO100" i="22"/>
  <c r="BH100" i="22" s="1"/>
  <c r="AO102" i="22"/>
  <c r="BH102" i="22" s="1"/>
  <c r="BB98" i="22"/>
  <c r="AO118" i="22"/>
  <c r="BH118" i="22" s="1"/>
  <c r="AO103" i="22"/>
  <c r="BH103" i="22" s="1"/>
  <c r="AO108" i="22"/>
  <c r="BH108" i="22" s="1"/>
  <c r="AO119" i="22"/>
  <c r="BH119" i="22" s="1"/>
  <c r="BB100" i="22"/>
  <c r="BB102" i="22"/>
  <c r="AO97" i="22"/>
  <c r="BA79" i="22"/>
  <c r="BA80" i="22"/>
  <c r="BA117" i="22"/>
  <c r="AO121" i="22"/>
  <c r="BA98" i="22"/>
  <c r="AO82" i="22"/>
  <c r="BH82" i="22" s="1"/>
  <c r="BB82" i="22"/>
  <c r="AO107" i="22"/>
  <c r="BH107" i="22" s="1"/>
  <c r="BA118" i="22"/>
  <c r="AO122" i="22"/>
  <c r="BH122" i="22" s="1"/>
  <c r="AO129" i="22"/>
  <c r="BH129" i="22" s="1"/>
  <c r="BA119" i="22"/>
  <c r="AO123" i="22"/>
  <c r="BH123" i="22" s="1"/>
  <c r="AO124" i="22"/>
  <c r="BH124" i="22" s="1"/>
  <c r="BA100" i="22"/>
  <c r="BA102" i="22"/>
  <c r="BA97" i="22"/>
  <c r="AO79" i="22"/>
  <c r="AO106" i="22"/>
  <c r="BH106" i="22" s="1"/>
  <c r="AO113" i="22"/>
  <c r="BH113" i="22" s="1"/>
  <c r="BB117" i="22"/>
  <c r="AO125" i="22"/>
  <c r="BH125" i="22" s="1"/>
  <c r="AO128" i="22"/>
  <c r="BH128" i="22" s="1"/>
  <c r="AO98" i="22"/>
  <c r="BH98" i="22" s="1"/>
  <c r="AO99" i="22"/>
  <c r="BH99" i="22" s="1"/>
  <c r="BB133" i="22"/>
  <c r="AO80" i="22"/>
  <c r="BH80" i="22" s="1"/>
  <c r="BB80" i="22"/>
  <c r="BB118" i="22"/>
  <c r="AO126" i="22"/>
  <c r="BH126" i="22" s="1"/>
  <c r="BB99" i="23"/>
  <c r="BB113" i="23"/>
  <c r="BB118" i="23"/>
  <c r="BA122" i="23"/>
  <c r="AO126" i="23"/>
  <c r="BH126" i="23" s="1"/>
  <c r="BB128" i="23"/>
  <c r="BB79" i="23"/>
  <c r="BA82" i="23"/>
  <c r="AO105" i="23"/>
  <c r="AO112" i="23"/>
  <c r="BH112" i="23" s="1"/>
  <c r="AO117" i="23"/>
  <c r="BB119" i="23"/>
  <c r="BA123" i="23"/>
  <c r="BA124" i="23"/>
  <c r="AO127" i="23"/>
  <c r="BH127" i="23" s="1"/>
  <c r="BA129" i="23"/>
  <c r="BA103" i="23"/>
  <c r="BA108" i="23"/>
  <c r="AO97" i="23"/>
  <c r="BB121" i="23"/>
  <c r="AO103" i="23"/>
  <c r="BH103" i="23" s="1"/>
  <c r="BA56" i="23"/>
  <c r="AO108" i="23"/>
  <c r="BH108" i="23" s="1"/>
  <c r="AO119" i="23"/>
  <c r="BH119" i="23" s="1"/>
  <c r="BB122" i="23"/>
  <c r="BA126" i="23"/>
  <c r="AO98" i="23"/>
  <c r="BH98" i="23" s="1"/>
  <c r="AO80" i="9"/>
  <c r="BH80" i="9" s="1"/>
  <c r="AO80" i="23"/>
  <c r="BH80" i="23" s="1"/>
  <c r="BB98" i="23"/>
  <c r="BB112" i="23"/>
  <c r="BA125" i="23"/>
  <c r="BB100" i="23"/>
  <c r="BB102" i="23"/>
  <c r="BB103" i="23"/>
  <c r="BA99" i="23"/>
  <c r="BA79" i="23"/>
  <c r="BA80" i="23"/>
  <c r="BA106" i="23"/>
  <c r="BB108" i="23"/>
  <c r="BA113" i="23"/>
  <c r="BA117" i="23"/>
  <c r="AO121" i="23"/>
  <c r="BB123" i="23"/>
  <c r="BB124" i="23"/>
  <c r="BA128" i="23"/>
  <c r="BK128" i="23" s="1"/>
  <c r="AO99" i="23"/>
  <c r="BH99" i="23" s="1"/>
  <c r="BB80" i="23"/>
  <c r="AO100" i="23"/>
  <c r="BH100" i="23" s="1"/>
  <c r="AO118" i="23"/>
  <c r="BH118" i="23" s="1"/>
  <c r="BA98" i="23"/>
  <c r="BA97" i="23"/>
  <c r="AO82" i="23"/>
  <c r="BH82" i="23" s="1"/>
  <c r="BB82" i="23"/>
  <c r="AO107" i="23"/>
  <c r="BH107" i="23" s="1"/>
  <c r="BA118" i="23"/>
  <c r="AO122" i="23"/>
  <c r="BH122" i="23" s="1"/>
  <c r="BB125" i="23"/>
  <c r="AO129" i="23"/>
  <c r="BH129" i="23" s="1"/>
  <c r="BB129" i="23"/>
  <c r="BB56" i="23"/>
  <c r="BB133" i="23" s="1"/>
  <c r="BB105" i="23"/>
  <c r="AO56" i="23"/>
  <c r="BA105" i="23"/>
  <c r="BB107" i="23"/>
  <c r="BA112" i="23"/>
  <c r="BA119" i="23"/>
  <c r="AO123" i="23"/>
  <c r="BH123" i="23" s="1"/>
  <c r="AO124" i="23"/>
  <c r="BH124" i="23" s="1"/>
  <c r="BB126" i="23"/>
  <c r="BA127" i="23"/>
  <c r="BB106" i="23"/>
  <c r="AO102" i="23"/>
  <c r="BH102" i="23" s="1"/>
  <c r="BA107" i="23"/>
  <c r="BB127" i="23"/>
  <c r="BB97" i="23"/>
  <c r="BA100" i="23"/>
  <c r="BA102" i="23"/>
  <c r="AO79" i="23"/>
  <c r="AO106" i="23"/>
  <c r="BH106" i="23" s="1"/>
  <c r="AO113" i="23"/>
  <c r="BH113" i="23" s="1"/>
  <c r="BB117" i="23"/>
  <c r="BA121" i="23"/>
  <c r="AO125" i="23"/>
  <c r="BH125" i="23" s="1"/>
  <c r="AO128" i="23"/>
  <c r="BH128" i="23" s="1"/>
  <c r="BB105" i="21"/>
  <c r="BA107" i="21"/>
  <c r="BB112" i="21"/>
  <c r="AO118" i="21"/>
  <c r="BH118" i="21" s="1"/>
  <c r="BA125" i="21"/>
  <c r="BB127" i="21"/>
  <c r="AO119" i="21"/>
  <c r="BH119" i="21" s="1"/>
  <c r="BB122" i="21"/>
  <c r="BA126" i="21"/>
  <c r="BB102" i="21"/>
  <c r="BA99" i="21"/>
  <c r="BA106" i="21"/>
  <c r="BB108" i="21"/>
  <c r="BA113" i="21"/>
  <c r="BA117" i="21"/>
  <c r="AO121" i="21"/>
  <c r="BB123" i="21"/>
  <c r="BB124" i="21"/>
  <c r="BA128" i="21"/>
  <c r="BA98" i="21"/>
  <c r="BA118" i="21"/>
  <c r="AO122" i="21"/>
  <c r="BH122" i="21" s="1"/>
  <c r="BB125" i="21"/>
  <c r="AO129" i="21"/>
  <c r="BH129" i="21" s="1"/>
  <c r="BB129" i="21"/>
  <c r="BB100" i="21"/>
  <c r="BA105" i="21"/>
  <c r="BB107" i="21"/>
  <c r="BA112" i="21"/>
  <c r="BA119" i="21"/>
  <c r="AO123" i="21"/>
  <c r="BH123" i="21" s="1"/>
  <c r="BB97" i="21"/>
  <c r="BA100" i="21"/>
  <c r="BB117" i="21"/>
  <c r="AO125" i="21"/>
  <c r="BH125" i="21" s="1"/>
  <c r="AO128" i="21"/>
  <c r="BH128" i="21" s="1"/>
  <c r="BA103" i="21"/>
  <c r="BB99" i="21"/>
  <c r="BB106" i="21"/>
  <c r="BA108" i="21"/>
  <c r="BB113" i="21"/>
  <c r="BA122" i="21"/>
  <c r="AO126" i="21"/>
  <c r="BH126" i="21" s="1"/>
  <c r="BB128" i="21"/>
  <c r="BA97" i="21"/>
  <c r="AO117" i="21"/>
  <c r="BB119" i="21"/>
  <c r="BA123" i="21"/>
  <c r="AO127" i="21"/>
  <c r="BH127" i="21" s="1"/>
  <c r="BA129" i="21"/>
  <c r="AO100" i="21"/>
  <c r="BH100" i="21" s="1"/>
  <c r="AO103" i="21"/>
  <c r="BH103" i="21" s="1"/>
  <c r="AO108" i="21"/>
  <c r="BH108" i="21" s="1"/>
  <c r="AO107" i="21"/>
  <c r="BH107" i="21" s="1"/>
  <c r="AO97" i="21"/>
  <c r="AO106" i="21"/>
  <c r="BH106" i="21" s="1"/>
  <c r="AO113" i="21"/>
  <c r="BH113" i="21" s="1"/>
  <c r="AO98" i="21"/>
  <c r="BH98" i="21" s="1"/>
  <c r="AO99" i="21"/>
  <c r="BH99" i="21" s="1"/>
  <c r="AO105" i="21"/>
  <c r="AO112" i="21"/>
  <c r="BH112" i="21" s="1"/>
  <c r="BA79" i="21"/>
  <c r="BA80" i="21"/>
  <c r="AO82" i="21"/>
  <c r="BH82" i="21" s="1"/>
  <c r="BB82" i="21"/>
  <c r="AO79" i="21"/>
  <c r="AO80" i="21"/>
  <c r="BH80" i="21" s="1"/>
  <c r="BB80" i="21"/>
  <c r="BB79" i="21"/>
  <c r="BA82" i="21"/>
  <c r="BB133" i="21"/>
  <c r="G82" i="16"/>
  <c r="G80" i="16"/>
  <c r="G79" i="16"/>
  <c r="K253" i="17"/>
  <c r="M253" i="17" s="1"/>
  <c r="K264" i="17"/>
  <c r="M264" i="17" s="1"/>
  <c r="K279" i="17"/>
  <c r="M279" i="17" s="1"/>
  <c r="K313" i="17"/>
  <c r="M313" i="17" s="1"/>
  <c r="K377" i="17"/>
  <c r="M377" i="17" s="1"/>
  <c r="K378" i="17"/>
  <c r="M378" i="17" s="1"/>
  <c r="K413" i="17"/>
  <c r="M413" i="17" s="1"/>
  <c r="K271" i="17"/>
  <c r="M271" i="17" s="1"/>
  <c r="K286" i="17"/>
  <c r="M286" i="17" s="1"/>
  <c r="K320" i="17"/>
  <c r="M320" i="17" s="1"/>
  <c r="K391" i="17"/>
  <c r="M391" i="17" s="1"/>
  <c r="K392" i="17"/>
  <c r="M392" i="17" s="1"/>
  <c r="K405" i="17"/>
  <c r="M405" i="17" s="1"/>
  <c r="K265" i="17"/>
  <c r="M265" i="17" s="1"/>
  <c r="K314" i="17"/>
  <c r="M314" i="17" s="1"/>
  <c r="K363" i="17"/>
  <c r="M363" i="17" s="1"/>
  <c r="K364" i="17"/>
  <c r="M364" i="17" s="1"/>
  <c r="K398" i="17"/>
  <c r="M398" i="17" s="1"/>
  <c r="K399" i="17"/>
  <c r="M399" i="17" s="1"/>
  <c r="K412" i="17"/>
  <c r="M412" i="17" s="1"/>
  <c r="K254" i="17"/>
  <c r="M254" i="17" s="1"/>
  <c r="K278" i="17"/>
  <c r="M278" i="17" s="1"/>
  <c r="K272" i="17"/>
  <c r="M272" i="17" s="1"/>
  <c r="K285" i="17"/>
  <c r="M285" i="17" s="1"/>
  <c r="K321" i="17"/>
  <c r="M321" i="17" s="1"/>
  <c r="K370" i="17"/>
  <c r="M370" i="17" s="1"/>
  <c r="K371" i="17"/>
  <c r="M371" i="17" s="1"/>
  <c r="K406" i="17"/>
  <c r="M406" i="17" s="1"/>
  <c r="R219" i="17"/>
  <c r="Q219" i="17"/>
  <c r="R346" i="17"/>
  <c r="Q346" i="17"/>
  <c r="R254" i="17"/>
  <c r="Q254" i="17"/>
  <c r="AO108" i="8"/>
  <c r="BH108" i="8" s="1"/>
  <c r="AO108" i="9"/>
  <c r="BH108" i="9" s="1"/>
  <c r="AO112" i="8"/>
  <c r="BH112" i="8" s="1"/>
  <c r="AO112" i="9"/>
  <c r="BH112" i="9" s="1"/>
  <c r="BB112" i="9"/>
  <c r="AO113" i="9"/>
  <c r="BH113" i="9" s="1"/>
  <c r="AO113" i="8"/>
  <c r="BH113" i="8" s="1"/>
  <c r="BB113" i="9"/>
  <c r="T56" i="2"/>
  <c r="BB56" i="2" s="1"/>
  <c r="S80" i="16"/>
  <c r="BA80" i="9"/>
  <c r="BA82" i="8"/>
  <c r="AO107" i="8"/>
  <c r="BH107" i="8" s="1"/>
  <c r="BB108" i="9"/>
  <c r="S79" i="16"/>
  <c r="BB80" i="9"/>
  <c r="AO82" i="9"/>
  <c r="BH82" i="9" s="1"/>
  <c r="AO82" i="8"/>
  <c r="BH82" i="8" s="1"/>
  <c r="T82" i="16"/>
  <c r="BB82" i="8"/>
  <c r="BA108" i="9"/>
  <c r="BA112" i="9"/>
  <c r="BA113" i="9"/>
  <c r="T79" i="16"/>
  <c r="S56" i="2"/>
  <c r="S100" i="2"/>
  <c r="S100" i="16" s="1"/>
  <c r="T106" i="2"/>
  <c r="G107" i="2"/>
  <c r="BR73" i="20"/>
  <c r="BR71" i="20"/>
  <c r="S97" i="2"/>
  <c r="S97" i="16" s="1"/>
  <c r="AS70" i="20"/>
  <c r="BM78" i="20"/>
  <c r="BS78" i="20"/>
  <c r="BM79" i="20"/>
  <c r="BS79" i="20"/>
  <c r="BM80" i="20"/>
  <c r="BS80" i="20"/>
  <c r="S122" i="2"/>
  <c r="T124" i="2"/>
  <c r="G126" i="2"/>
  <c r="G126" i="16" s="1"/>
  <c r="S126" i="2"/>
  <c r="G117" i="2"/>
  <c r="G117" i="16" s="1"/>
  <c r="S117" i="2"/>
  <c r="S117" i="16" s="1"/>
  <c r="T117" i="2"/>
  <c r="T117" i="16" s="1"/>
  <c r="S118" i="2"/>
  <c r="S118" i="16" s="1"/>
  <c r="G119" i="2"/>
  <c r="G119" i="16" s="1"/>
  <c r="S119" i="2"/>
  <c r="S119" i="16" s="1"/>
  <c r="T122" i="2"/>
  <c r="G123" i="2"/>
  <c r="G123" i="16" s="1"/>
  <c r="G125" i="2"/>
  <c r="G125" i="16" s="1"/>
  <c r="S125" i="2"/>
  <c r="G127" i="2"/>
  <c r="G127" i="16" s="1"/>
  <c r="T127" i="2"/>
  <c r="G128" i="2"/>
  <c r="G128" i="16" s="1"/>
  <c r="T128" i="2"/>
  <c r="G129" i="16"/>
  <c r="BS70" i="20"/>
  <c r="S103" i="2"/>
  <c r="AD76" i="20" s="1"/>
  <c r="AS71" i="20"/>
  <c r="S99" i="2"/>
  <c r="G105" i="2"/>
  <c r="G105" i="16" s="1"/>
  <c r="G112" i="2"/>
  <c r="G113" i="2"/>
  <c r="G122" i="2"/>
  <c r="G122" i="16" s="1"/>
  <c r="BR101" i="20"/>
  <c r="BM73" i="20"/>
  <c r="BS73" i="20"/>
  <c r="BM71" i="20"/>
  <c r="BS71" i="20"/>
  <c r="BM72" i="20"/>
  <c r="BS72" i="20"/>
  <c r="AX70" i="20"/>
  <c r="G97" i="2"/>
  <c r="G97" i="16" s="1"/>
  <c r="BR78" i="20"/>
  <c r="BR79" i="20"/>
  <c r="BR80" i="20"/>
  <c r="T119" i="2"/>
  <c r="T119" i="16" s="1"/>
  <c r="S123" i="2"/>
  <c r="T125" i="2"/>
  <c r="AX90" i="20"/>
  <c r="AS91" i="20"/>
  <c r="AX91" i="20"/>
  <c r="AX92" i="20"/>
  <c r="AS96" i="20"/>
  <c r="AS100" i="20"/>
  <c r="AS101" i="20"/>
  <c r="S128" i="2"/>
  <c r="AY73" i="20"/>
  <c r="S98" i="2"/>
  <c r="S98" i="16" s="1"/>
  <c r="AS72" i="20"/>
  <c r="G106" i="2"/>
  <c r="T107" i="2"/>
  <c r="G108" i="2"/>
  <c r="G118" i="2"/>
  <c r="G118" i="16" s="1"/>
  <c r="T123" i="2"/>
  <c r="T97" i="2"/>
  <c r="G100" i="2"/>
  <c r="G100" i="16" s="1"/>
  <c r="T100" i="2"/>
  <c r="T100" i="16" s="1"/>
  <c r="T102" i="2"/>
  <c r="G103" i="2"/>
  <c r="G98" i="2"/>
  <c r="G98" i="16" s="1"/>
  <c r="AX71" i="20"/>
  <c r="G99" i="2"/>
  <c r="G99" i="16" s="1"/>
  <c r="T99" i="2"/>
  <c r="BM70" i="20"/>
  <c r="S105" i="2"/>
  <c r="S106" i="2"/>
  <c r="S107" i="2"/>
  <c r="S108" i="2"/>
  <c r="S112" i="2"/>
  <c r="S113" i="2"/>
  <c r="G121" i="2"/>
  <c r="G121" i="16" s="1"/>
  <c r="BM99" i="20"/>
  <c r="BM90" i="20"/>
  <c r="BS90" i="20"/>
  <c r="BR91" i="20"/>
  <c r="BS91" i="20"/>
  <c r="BM92" i="20"/>
  <c r="BR92" i="20"/>
  <c r="BS92" i="20"/>
  <c r="BM94" i="20"/>
  <c r="BM95" i="20"/>
  <c r="BS95" i="20"/>
  <c r="BS96" i="20"/>
  <c r="BS97" i="20"/>
  <c r="BM98" i="20"/>
  <c r="BS98" i="20"/>
  <c r="BM100" i="20"/>
  <c r="BS100" i="20"/>
  <c r="BM101" i="20"/>
  <c r="BS101" i="20"/>
  <c r="U418" i="17"/>
  <c r="I405" i="17"/>
  <c r="I418" i="17"/>
  <c r="I419" i="17"/>
  <c r="I420" i="17"/>
  <c r="U411" i="17"/>
  <c r="I404" i="17"/>
  <c r="I411" i="17"/>
  <c r="I412" i="17"/>
  <c r="I413" i="17"/>
  <c r="I406" i="17"/>
  <c r="R405" i="17"/>
  <c r="U404" i="17"/>
  <c r="I362" i="17"/>
  <c r="I363" i="17"/>
  <c r="I364" i="17"/>
  <c r="R363" i="17"/>
  <c r="I369" i="17"/>
  <c r="I370" i="17"/>
  <c r="I371" i="17"/>
  <c r="I377" i="17"/>
  <c r="I378" i="17"/>
  <c r="I383" i="17"/>
  <c r="I384" i="17"/>
  <c r="I385" i="17"/>
  <c r="I392" i="17"/>
  <c r="I397" i="17"/>
  <c r="I398" i="17"/>
  <c r="I399" i="17"/>
  <c r="R364" i="17"/>
  <c r="R383" i="17"/>
  <c r="R384" i="17"/>
  <c r="R399" i="17"/>
  <c r="I390" i="17"/>
  <c r="I391" i="17"/>
  <c r="I376" i="17"/>
  <c r="U362" i="17"/>
  <c r="U369" i="17"/>
  <c r="U376" i="17"/>
  <c r="U390" i="17"/>
  <c r="U397" i="17"/>
  <c r="U337" i="17"/>
  <c r="U344" i="17"/>
  <c r="U353" i="17"/>
  <c r="U338" i="17"/>
  <c r="U339" i="17"/>
  <c r="U345" i="17"/>
  <c r="U351" i="17"/>
  <c r="U352" i="17"/>
  <c r="I337" i="17"/>
  <c r="I338" i="17"/>
  <c r="I339" i="17"/>
  <c r="I344" i="17"/>
  <c r="I345" i="17"/>
  <c r="I346" i="17"/>
  <c r="I351" i="17"/>
  <c r="I352" i="17"/>
  <c r="I353" i="17"/>
  <c r="T108" i="2"/>
  <c r="T105" i="2"/>
  <c r="T112" i="2"/>
  <c r="T113" i="2"/>
  <c r="U263" i="17"/>
  <c r="U270" i="17"/>
  <c r="U277" i="17"/>
  <c r="U284" i="17"/>
  <c r="U312" i="17"/>
  <c r="U319" i="17"/>
  <c r="I263" i="17"/>
  <c r="I264" i="17"/>
  <c r="I265" i="17"/>
  <c r="I270" i="17"/>
  <c r="I271" i="17"/>
  <c r="I272" i="17"/>
  <c r="I277" i="17"/>
  <c r="I278" i="17"/>
  <c r="I279" i="17"/>
  <c r="I284" i="17"/>
  <c r="I285" i="17"/>
  <c r="I286" i="17"/>
  <c r="I312" i="17"/>
  <c r="I313" i="17"/>
  <c r="I314" i="17"/>
  <c r="I319" i="17"/>
  <c r="I320" i="17"/>
  <c r="I321" i="17"/>
  <c r="U143" i="17"/>
  <c r="U159" i="17"/>
  <c r="U144" i="17"/>
  <c r="U160" i="17"/>
  <c r="U142" i="17"/>
  <c r="U158" i="17"/>
  <c r="U134" i="17"/>
  <c r="U135" i="17"/>
  <c r="U136" i="17"/>
  <c r="I135" i="17"/>
  <c r="I136" i="17"/>
  <c r="I211" i="17"/>
  <c r="I245" i="17"/>
  <c r="I19" i="17"/>
  <c r="I18" i="17"/>
  <c r="I212" i="17"/>
  <c r="R18" i="17"/>
  <c r="I20" i="17"/>
  <c r="U20" i="17"/>
  <c r="U19" i="17"/>
  <c r="U247" i="17"/>
  <c r="U252" i="17"/>
  <c r="U211" i="17"/>
  <c r="I246" i="17"/>
  <c r="I210" i="17"/>
  <c r="U210" i="17"/>
  <c r="U233" i="17"/>
  <c r="R245" i="17"/>
  <c r="I247" i="17"/>
  <c r="R246" i="17"/>
  <c r="U224" i="17"/>
  <c r="I224" i="17"/>
  <c r="I225" i="17"/>
  <c r="I226" i="17"/>
  <c r="U217" i="17"/>
  <c r="U218" i="17"/>
  <c r="I217" i="17"/>
  <c r="I218" i="17"/>
  <c r="I219" i="17"/>
  <c r="I252" i="17"/>
  <c r="I253" i="17"/>
  <c r="I254" i="17"/>
  <c r="U231" i="17"/>
  <c r="U232" i="17"/>
  <c r="I231" i="17"/>
  <c r="I232" i="17"/>
  <c r="I233" i="17"/>
  <c r="S212" i="17"/>
  <c r="T97" i="8" s="1"/>
  <c r="AM129" i="16"/>
  <c r="AL129" i="16"/>
  <c r="AK129" i="16"/>
  <c r="AJ129" i="16"/>
  <c r="AI129" i="16"/>
  <c r="AH129" i="16"/>
  <c r="AG129" i="16"/>
  <c r="AF129" i="16"/>
  <c r="AE129" i="16"/>
  <c r="AD129" i="16"/>
  <c r="AC129" i="16"/>
  <c r="AB129" i="16"/>
  <c r="AA129" i="16"/>
  <c r="Z129" i="16"/>
  <c r="Y129" i="16"/>
  <c r="X129" i="16"/>
  <c r="AM128" i="16"/>
  <c r="AL128" i="16"/>
  <c r="AK128" i="16"/>
  <c r="AJ128" i="16"/>
  <c r="AI128" i="16"/>
  <c r="AH128" i="16"/>
  <c r="AG128" i="16"/>
  <c r="AF128" i="16"/>
  <c r="AE128" i="16"/>
  <c r="AD128" i="16"/>
  <c r="AC128" i="16"/>
  <c r="AB128" i="16"/>
  <c r="AA128" i="16"/>
  <c r="Z128" i="16"/>
  <c r="Y128" i="16"/>
  <c r="X128" i="16"/>
  <c r="AM127" i="16"/>
  <c r="AL127" i="16"/>
  <c r="AK127" i="16"/>
  <c r="AJ127" i="16"/>
  <c r="AI127" i="16"/>
  <c r="AH127" i="16"/>
  <c r="AG127" i="16"/>
  <c r="AF127" i="16"/>
  <c r="AE127" i="16"/>
  <c r="AD127" i="16"/>
  <c r="AC127" i="16"/>
  <c r="AB127" i="16"/>
  <c r="AA127" i="16"/>
  <c r="Z127" i="16"/>
  <c r="Y127" i="16"/>
  <c r="X127" i="16"/>
  <c r="AM126" i="16"/>
  <c r="AL126" i="16"/>
  <c r="AK126" i="16"/>
  <c r="AJ126" i="16"/>
  <c r="AI126" i="16"/>
  <c r="AH126" i="16"/>
  <c r="AG126" i="16"/>
  <c r="AF126" i="16"/>
  <c r="AE126" i="16"/>
  <c r="AD126" i="16"/>
  <c r="AC126" i="16"/>
  <c r="AB126" i="16"/>
  <c r="AA126" i="16"/>
  <c r="Z126" i="16"/>
  <c r="Y126" i="16"/>
  <c r="X126" i="16"/>
  <c r="AM125" i="16"/>
  <c r="AL125" i="16"/>
  <c r="AK125" i="16"/>
  <c r="AJ125" i="16"/>
  <c r="AI125" i="16"/>
  <c r="AH125" i="16"/>
  <c r="AG125" i="16"/>
  <c r="AF125" i="16"/>
  <c r="AE125" i="16"/>
  <c r="AD125" i="16"/>
  <c r="AC125" i="16"/>
  <c r="AB125" i="16"/>
  <c r="AA125" i="16"/>
  <c r="Z125" i="16"/>
  <c r="Y125" i="16"/>
  <c r="X125" i="16"/>
  <c r="AM124" i="16"/>
  <c r="AL124" i="16"/>
  <c r="AK124" i="16"/>
  <c r="AJ124" i="16"/>
  <c r="AI124" i="16"/>
  <c r="AH124" i="16"/>
  <c r="AG124" i="16"/>
  <c r="AF124" i="16"/>
  <c r="AE124" i="16"/>
  <c r="AD124" i="16"/>
  <c r="AC124" i="16"/>
  <c r="AB124" i="16"/>
  <c r="AA124" i="16"/>
  <c r="Z124" i="16"/>
  <c r="Y124" i="16"/>
  <c r="X124" i="16"/>
  <c r="AM123" i="16"/>
  <c r="AL123" i="16"/>
  <c r="AK123" i="16"/>
  <c r="AJ123" i="16"/>
  <c r="AI123" i="16"/>
  <c r="AH123" i="16"/>
  <c r="AG123" i="16"/>
  <c r="AF123" i="16"/>
  <c r="AE123" i="16"/>
  <c r="AD123" i="16"/>
  <c r="AC123" i="16"/>
  <c r="AB123" i="16"/>
  <c r="AA123" i="16"/>
  <c r="Z123" i="16"/>
  <c r="Y123" i="16"/>
  <c r="X123" i="16"/>
  <c r="AM122" i="16"/>
  <c r="AL122" i="16"/>
  <c r="AK122" i="16"/>
  <c r="AJ122" i="16"/>
  <c r="AI122" i="16"/>
  <c r="AH122" i="16"/>
  <c r="AG122" i="16"/>
  <c r="AF122" i="16"/>
  <c r="AE122" i="16"/>
  <c r="AD122" i="16"/>
  <c r="AC122" i="16"/>
  <c r="AB122" i="16"/>
  <c r="AA122" i="16"/>
  <c r="Z122" i="16"/>
  <c r="Y122" i="16"/>
  <c r="X122" i="16"/>
  <c r="AM121" i="16"/>
  <c r="AL121" i="16"/>
  <c r="AK121" i="16"/>
  <c r="AJ121" i="16"/>
  <c r="AI121" i="16"/>
  <c r="AH121" i="16"/>
  <c r="AG121" i="16"/>
  <c r="AF121" i="16"/>
  <c r="AE121" i="16"/>
  <c r="AD121" i="16"/>
  <c r="AC121" i="16"/>
  <c r="AB121" i="16"/>
  <c r="AA121" i="16"/>
  <c r="Z121" i="16"/>
  <c r="Y121" i="16"/>
  <c r="X121" i="16"/>
  <c r="AM120" i="16"/>
  <c r="AL120" i="16"/>
  <c r="AK120" i="16"/>
  <c r="AJ120" i="16"/>
  <c r="AI120" i="16"/>
  <c r="AH120" i="16"/>
  <c r="AG120" i="16"/>
  <c r="AF120" i="16"/>
  <c r="AE120" i="16"/>
  <c r="AD120" i="16"/>
  <c r="AC120" i="16"/>
  <c r="AB120" i="16"/>
  <c r="AA120" i="16"/>
  <c r="Z120" i="16"/>
  <c r="Y120" i="16"/>
  <c r="X120" i="16"/>
  <c r="AM119" i="16"/>
  <c r="AL119" i="16"/>
  <c r="AK119" i="16"/>
  <c r="AJ119" i="16"/>
  <c r="AI119" i="16"/>
  <c r="AH119" i="16"/>
  <c r="AG119" i="16"/>
  <c r="AF119" i="16"/>
  <c r="AE119" i="16"/>
  <c r="AD119" i="16"/>
  <c r="AC119" i="16"/>
  <c r="AB119" i="16"/>
  <c r="AA119" i="16"/>
  <c r="Z119" i="16"/>
  <c r="Y119" i="16"/>
  <c r="X119" i="16"/>
  <c r="AM118" i="16"/>
  <c r="AL118" i="16"/>
  <c r="AK118" i="16"/>
  <c r="AJ118" i="16"/>
  <c r="AI118" i="16"/>
  <c r="AH118" i="16"/>
  <c r="AG118" i="16"/>
  <c r="AF118" i="16"/>
  <c r="AE118" i="16"/>
  <c r="AD118" i="16"/>
  <c r="AC118" i="16"/>
  <c r="AB118" i="16"/>
  <c r="AA118" i="16"/>
  <c r="Z118" i="16"/>
  <c r="Y118" i="16"/>
  <c r="X118" i="16"/>
  <c r="AM117" i="16"/>
  <c r="AL117" i="16"/>
  <c r="AK117" i="16"/>
  <c r="AJ117" i="16"/>
  <c r="AI117" i="16"/>
  <c r="AH117" i="16"/>
  <c r="AG117" i="16"/>
  <c r="AF117" i="16"/>
  <c r="AE117" i="16"/>
  <c r="AD117" i="16"/>
  <c r="AC117" i="16"/>
  <c r="AB117" i="16"/>
  <c r="AA117" i="16"/>
  <c r="Z117" i="16"/>
  <c r="Y117" i="16"/>
  <c r="X117" i="16"/>
  <c r="AM116" i="16"/>
  <c r="AL116" i="16"/>
  <c r="AK116" i="16"/>
  <c r="AJ116" i="16"/>
  <c r="AI116" i="16"/>
  <c r="AH116" i="16"/>
  <c r="AG116" i="16"/>
  <c r="AF116" i="16"/>
  <c r="AE116" i="16"/>
  <c r="AD116" i="16"/>
  <c r="AC116" i="16"/>
  <c r="AB116" i="16"/>
  <c r="AA116" i="16"/>
  <c r="Z116" i="16"/>
  <c r="Y116" i="16"/>
  <c r="X116" i="16"/>
  <c r="AM115" i="16"/>
  <c r="AL115" i="16"/>
  <c r="AK115" i="16"/>
  <c r="AJ115" i="16"/>
  <c r="AI115" i="16"/>
  <c r="AH115" i="16"/>
  <c r="AG115" i="16"/>
  <c r="AF115" i="16"/>
  <c r="AE115" i="16"/>
  <c r="AD115" i="16"/>
  <c r="AC115" i="16"/>
  <c r="AB115" i="16"/>
  <c r="AA115" i="16"/>
  <c r="Z115" i="16"/>
  <c r="Y115" i="16"/>
  <c r="X115" i="16"/>
  <c r="AM108" i="16"/>
  <c r="AL108" i="16"/>
  <c r="AK108" i="16"/>
  <c r="AJ108" i="16"/>
  <c r="AI108" i="16"/>
  <c r="AH108" i="16"/>
  <c r="AG108" i="16"/>
  <c r="AF108" i="16"/>
  <c r="AE108" i="16"/>
  <c r="AD108" i="16"/>
  <c r="AC108" i="16"/>
  <c r="AB108" i="16"/>
  <c r="AA108" i="16"/>
  <c r="Z108" i="16"/>
  <c r="Y108" i="16"/>
  <c r="X108" i="16"/>
  <c r="AM107" i="16"/>
  <c r="AL107" i="16"/>
  <c r="AK107" i="16"/>
  <c r="AJ107" i="16"/>
  <c r="AI107" i="16"/>
  <c r="AH107" i="16"/>
  <c r="AG107" i="16"/>
  <c r="AF107" i="16"/>
  <c r="AE107" i="16"/>
  <c r="AD107" i="16"/>
  <c r="AC107" i="16"/>
  <c r="AB107" i="16"/>
  <c r="AA107" i="16"/>
  <c r="Z107" i="16"/>
  <c r="Y107" i="16"/>
  <c r="X107" i="16"/>
  <c r="AM106" i="16"/>
  <c r="AL106" i="16"/>
  <c r="AK106" i="16"/>
  <c r="AJ106" i="16"/>
  <c r="AI106" i="16"/>
  <c r="AH106" i="16"/>
  <c r="AG106" i="16"/>
  <c r="AF106" i="16"/>
  <c r="AE106" i="16"/>
  <c r="AD106" i="16"/>
  <c r="AC106" i="16"/>
  <c r="AB106" i="16"/>
  <c r="AA106" i="16"/>
  <c r="Z106" i="16"/>
  <c r="Y106" i="16"/>
  <c r="X106" i="16"/>
  <c r="AM105" i="16"/>
  <c r="AL105" i="16"/>
  <c r="AK105" i="16"/>
  <c r="AJ105" i="16"/>
  <c r="AI105" i="16"/>
  <c r="AH105" i="16"/>
  <c r="AG105" i="16"/>
  <c r="AF105" i="16"/>
  <c r="AE105" i="16"/>
  <c r="AD105" i="16"/>
  <c r="AC105" i="16"/>
  <c r="AB105" i="16"/>
  <c r="AA105" i="16"/>
  <c r="Z105" i="16"/>
  <c r="Y105" i="16"/>
  <c r="X105" i="16"/>
  <c r="AM104" i="16"/>
  <c r="AL104" i="16"/>
  <c r="AK104" i="16"/>
  <c r="AJ104" i="16"/>
  <c r="AI104" i="16"/>
  <c r="AH104" i="16"/>
  <c r="AG104" i="16"/>
  <c r="AF104" i="16"/>
  <c r="AE104" i="16"/>
  <c r="AD104" i="16"/>
  <c r="AC104" i="16"/>
  <c r="AB104" i="16"/>
  <c r="AA104" i="16"/>
  <c r="Z104" i="16"/>
  <c r="Y104" i="16"/>
  <c r="X104" i="16"/>
  <c r="AM99" i="16"/>
  <c r="AL99" i="16"/>
  <c r="AK99" i="16"/>
  <c r="AJ99" i="16"/>
  <c r="AI99" i="16"/>
  <c r="AH99" i="16"/>
  <c r="AG99" i="16"/>
  <c r="AF99" i="16"/>
  <c r="AE99" i="16"/>
  <c r="AD99" i="16"/>
  <c r="AC99" i="16"/>
  <c r="AB99" i="16"/>
  <c r="AA99" i="16"/>
  <c r="Z99" i="16"/>
  <c r="Y99" i="16"/>
  <c r="X99" i="16"/>
  <c r="AM98" i="16"/>
  <c r="AL98" i="16"/>
  <c r="AK98" i="16"/>
  <c r="AJ98" i="16"/>
  <c r="AI98" i="16"/>
  <c r="AH98" i="16"/>
  <c r="AG98" i="16"/>
  <c r="AF98" i="16"/>
  <c r="AE98" i="16"/>
  <c r="AD98" i="16"/>
  <c r="AC98" i="16"/>
  <c r="AB98" i="16"/>
  <c r="AA98" i="16"/>
  <c r="Z98" i="16"/>
  <c r="Y98" i="16"/>
  <c r="X98" i="16"/>
  <c r="AM103" i="16"/>
  <c r="AL103" i="16"/>
  <c r="AK103" i="16"/>
  <c r="AJ103" i="16"/>
  <c r="AI103" i="16"/>
  <c r="AH103" i="16"/>
  <c r="AG103" i="16"/>
  <c r="AF103" i="16"/>
  <c r="AE103" i="16"/>
  <c r="AD103" i="16"/>
  <c r="AC103" i="16"/>
  <c r="AB103" i="16"/>
  <c r="AA103" i="16"/>
  <c r="Z103" i="16"/>
  <c r="Y103" i="16"/>
  <c r="X103" i="16"/>
  <c r="AM102" i="16"/>
  <c r="AL102" i="16"/>
  <c r="AK102" i="16"/>
  <c r="AJ102" i="16"/>
  <c r="AI102" i="16"/>
  <c r="AH102" i="16"/>
  <c r="AG102" i="16"/>
  <c r="AF102" i="16"/>
  <c r="AE102" i="16"/>
  <c r="AD102" i="16"/>
  <c r="AC102" i="16"/>
  <c r="AB102" i="16"/>
  <c r="AA102" i="16"/>
  <c r="Z102" i="16"/>
  <c r="Y102" i="16"/>
  <c r="X102" i="16"/>
  <c r="AM100" i="16"/>
  <c r="AL100" i="16"/>
  <c r="AK100" i="16"/>
  <c r="AJ100" i="16"/>
  <c r="AI100" i="16"/>
  <c r="AH100" i="16"/>
  <c r="AG100" i="16"/>
  <c r="AF100" i="16"/>
  <c r="AE100" i="16"/>
  <c r="AD100" i="16"/>
  <c r="AC100" i="16"/>
  <c r="AB100" i="16"/>
  <c r="AA100" i="16"/>
  <c r="Z100" i="16"/>
  <c r="Y100" i="16"/>
  <c r="X100" i="16"/>
  <c r="AM97" i="16"/>
  <c r="AL97" i="16"/>
  <c r="AK97" i="16"/>
  <c r="AJ97" i="16"/>
  <c r="AI97" i="16"/>
  <c r="AH97" i="16"/>
  <c r="AG97" i="16"/>
  <c r="AF97" i="16"/>
  <c r="AE97" i="16"/>
  <c r="AD97" i="16"/>
  <c r="AC97" i="16"/>
  <c r="AB97" i="16"/>
  <c r="AA97" i="16"/>
  <c r="Z97" i="16"/>
  <c r="Y97" i="16"/>
  <c r="X97" i="16"/>
  <c r="AM96" i="16"/>
  <c r="AL96" i="16"/>
  <c r="AK96" i="16"/>
  <c r="AJ96" i="16"/>
  <c r="AI96" i="16"/>
  <c r="AH96" i="16"/>
  <c r="AG96" i="16"/>
  <c r="AF96" i="16"/>
  <c r="AE96" i="16"/>
  <c r="AD96" i="16"/>
  <c r="AC96" i="16"/>
  <c r="AB96" i="16"/>
  <c r="AA96" i="16"/>
  <c r="Z96" i="16"/>
  <c r="Y96" i="16"/>
  <c r="X96" i="16"/>
  <c r="AM95" i="16"/>
  <c r="AL95" i="16"/>
  <c r="AK95" i="16"/>
  <c r="AJ95" i="16"/>
  <c r="AI95" i="16"/>
  <c r="AH95" i="16"/>
  <c r="AG95" i="16"/>
  <c r="AF95" i="16"/>
  <c r="AE95" i="16"/>
  <c r="AD95" i="16"/>
  <c r="AC95" i="16"/>
  <c r="AB95" i="16"/>
  <c r="AA95" i="16"/>
  <c r="Z95" i="16"/>
  <c r="Y95" i="16"/>
  <c r="X95" i="16"/>
  <c r="AM94" i="16"/>
  <c r="AL94" i="16"/>
  <c r="AK94" i="16"/>
  <c r="AJ94" i="16"/>
  <c r="AI94" i="16"/>
  <c r="AH94" i="16"/>
  <c r="AG94" i="16"/>
  <c r="AF94" i="16"/>
  <c r="AE94" i="16"/>
  <c r="AD94" i="16"/>
  <c r="AC94" i="16"/>
  <c r="AB94" i="16"/>
  <c r="AA94" i="16"/>
  <c r="Z94" i="16"/>
  <c r="Y94" i="16"/>
  <c r="X94" i="16"/>
  <c r="AM93" i="16"/>
  <c r="AL93" i="16"/>
  <c r="AK93" i="16"/>
  <c r="AJ93" i="16"/>
  <c r="AI93" i="16"/>
  <c r="AH93" i="16"/>
  <c r="AG93" i="16"/>
  <c r="AF93" i="16"/>
  <c r="AE93" i="16"/>
  <c r="AD93" i="16"/>
  <c r="AC93" i="16"/>
  <c r="AB93" i="16"/>
  <c r="AA93" i="16"/>
  <c r="Z93" i="16"/>
  <c r="Y93" i="16"/>
  <c r="X93" i="16"/>
  <c r="AM92" i="16"/>
  <c r="AL92" i="16"/>
  <c r="AK92" i="16"/>
  <c r="AJ92" i="16"/>
  <c r="AI92" i="16"/>
  <c r="AH92" i="16"/>
  <c r="AG92" i="16"/>
  <c r="AF92" i="16"/>
  <c r="AE92" i="16"/>
  <c r="AD92" i="16"/>
  <c r="AC92" i="16"/>
  <c r="AB92" i="16"/>
  <c r="AA92" i="16"/>
  <c r="Z92" i="16"/>
  <c r="Y92" i="16"/>
  <c r="X92" i="16"/>
  <c r="AM91" i="16"/>
  <c r="AL91" i="16"/>
  <c r="AK91" i="16"/>
  <c r="AJ91" i="16"/>
  <c r="AI91" i="16"/>
  <c r="AH91" i="16"/>
  <c r="AG91" i="16"/>
  <c r="AF91" i="16"/>
  <c r="AE91" i="16"/>
  <c r="AD91" i="16"/>
  <c r="AC91" i="16"/>
  <c r="AB91" i="16"/>
  <c r="AA91" i="16"/>
  <c r="Z91" i="16"/>
  <c r="Y91" i="16"/>
  <c r="X91" i="16"/>
  <c r="AM90" i="16"/>
  <c r="AL90" i="16"/>
  <c r="AK90" i="16"/>
  <c r="AJ90" i="16"/>
  <c r="AI90" i="16"/>
  <c r="AH90" i="16"/>
  <c r="AG90" i="16"/>
  <c r="AF90" i="16"/>
  <c r="AE90" i="16"/>
  <c r="AD90" i="16"/>
  <c r="AC90" i="16"/>
  <c r="AB90" i="16"/>
  <c r="AA90" i="16"/>
  <c r="Z90" i="16"/>
  <c r="Y90" i="16"/>
  <c r="X90" i="16"/>
  <c r="AM89" i="16"/>
  <c r="AL89" i="16"/>
  <c r="AK89" i="16"/>
  <c r="AJ89" i="16"/>
  <c r="AI89" i="16"/>
  <c r="AH89" i="16"/>
  <c r="AG89" i="16"/>
  <c r="AF89" i="16"/>
  <c r="AE89" i="16"/>
  <c r="AD89" i="16"/>
  <c r="AC89" i="16"/>
  <c r="AB89" i="16"/>
  <c r="AA89" i="16"/>
  <c r="Z89" i="16"/>
  <c r="Y89" i="16"/>
  <c r="X89" i="16"/>
  <c r="AM88" i="16"/>
  <c r="AL88" i="16"/>
  <c r="AK88" i="16"/>
  <c r="AJ88" i="16"/>
  <c r="AI88" i="16"/>
  <c r="AH88" i="16"/>
  <c r="AG88" i="16"/>
  <c r="AF88" i="16"/>
  <c r="AE88" i="16"/>
  <c r="AD88" i="16"/>
  <c r="AC88" i="16"/>
  <c r="AB88" i="16"/>
  <c r="AA88" i="16"/>
  <c r="Z88" i="16"/>
  <c r="Y88" i="16"/>
  <c r="X88" i="16"/>
  <c r="AM87" i="16"/>
  <c r="AL87" i="16"/>
  <c r="AK87" i="16"/>
  <c r="AJ87" i="16"/>
  <c r="AI87" i="16"/>
  <c r="AH87" i="16"/>
  <c r="AG87" i="16"/>
  <c r="AF87" i="16"/>
  <c r="AE87" i="16"/>
  <c r="AD87" i="16"/>
  <c r="AC87" i="16"/>
  <c r="AB87" i="16"/>
  <c r="AA87" i="16"/>
  <c r="Z87" i="16"/>
  <c r="Y87" i="16"/>
  <c r="X87" i="16"/>
  <c r="AM85" i="16"/>
  <c r="AL85" i="16"/>
  <c r="AK85" i="16"/>
  <c r="AJ85" i="16"/>
  <c r="AI85" i="16"/>
  <c r="AH85" i="16"/>
  <c r="AG85" i="16"/>
  <c r="AF85" i="16"/>
  <c r="AE85" i="16"/>
  <c r="AD85" i="16"/>
  <c r="AC85" i="16"/>
  <c r="AB85" i="16"/>
  <c r="AA85" i="16"/>
  <c r="Z85" i="16"/>
  <c r="Y85" i="16"/>
  <c r="X85" i="16"/>
  <c r="AM84" i="16"/>
  <c r="AL84" i="16"/>
  <c r="AK84" i="16"/>
  <c r="AJ84" i="16"/>
  <c r="AI84" i="16"/>
  <c r="AH84" i="16"/>
  <c r="AG84" i="16"/>
  <c r="AF84" i="16"/>
  <c r="AE84" i="16"/>
  <c r="AD84" i="16"/>
  <c r="AC84" i="16"/>
  <c r="AB84" i="16"/>
  <c r="AA84" i="16"/>
  <c r="Z84" i="16"/>
  <c r="Y84" i="16"/>
  <c r="X84" i="16"/>
  <c r="AM83" i="16"/>
  <c r="AL83" i="16"/>
  <c r="AK83" i="16"/>
  <c r="AJ83" i="16"/>
  <c r="AI83" i="16"/>
  <c r="AH83" i="16"/>
  <c r="AG83" i="16"/>
  <c r="AF83" i="16"/>
  <c r="AE83" i="16"/>
  <c r="AD83" i="16"/>
  <c r="AC83" i="16"/>
  <c r="AB83" i="16"/>
  <c r="AA83" i="16"/>
  <c r="Z83" i="16"/>
  <c r="Y83" i="16"/>
  <c r="X83" i="16"/>
  <c r="AM82" i="16"/>
  <c r="AL82" i="16"/>
  <c r="AK82" i="16"/>
  <c r="AJ82" i="16"/>
  <c r="AI82" i="16"/>
  <c r="AH82" i="16"/>
  <c r="AG82" i="16"/>
  <c r="AF82" i="16"/>
  <c r="AE82" i="16"/>
  <c r="AD82" i="16"/>
  <c r="AC82" i="16"/>
  <c r="AB82" i="16"/>
  <c r="AA82" i="16"/>
  <c r="Z82" i="16"/>
  <c r="Y82" i="16"/>
  <c r="X82" i="16"/>
  <c r="AM80" i="16"/>
  <c r="AL80" i="16"/>
  <c r="AK80" i="16"/>
  <c r="AJ80" i="16"/>
  <c r="AI80" i="16"/>
  <c r="AH80" i="16"/>
  <c r="AG80" i="16"/>
  <c r="AF80" i="16"/>
  <c r="AE80" i="16"/>
  <c r="AD80" i="16"/>
  <c r="AC80" i="16"/>
  <c r="AB80" i="16"/>
  <c r="AA80" i="16"/>
  <c r="Z80" i="16"/>
  <c r="Y80" i="16"/>
  <c r="X80" i="16"/>
  <c r="AM79" i="16"/>
  <c r="AL79" i="16"/>
  <c r="AK79" i="16"/>
  <c r="AJ79" i="16"/>
  <c r="AI79" i="16"/>
  <c r="AH79" i="16"/>
  <c r="AG79" i="16"/>
  <c r="AF79" i="16"/>
  <c r="AE79" i="16"/>
  <c r="AD79" i="16"/>
  <c r="AC79" i="16"/>
  <c r="AB79" i="16"/>
  <c r="AA79" i="16"/>
  <c r="Z79" i="16"/>
  <c r="Y79" i="16"/>
  <c r="X79" i="16"/>
  <c r="AM78" i="16"/>
  <c r="AL78" i="16"/>
  <c r="AK78" i="16"/>
  <c r="AJ78" i="16"/>
  <c r="AI78" i="16"/>
  <c r="AH78" i="16"/>
  <c r="AG78" i="16"/>
  <c r="AF78" i="16"/>
  <c r="AE78" i="16"/>
  <c r="AD78" i="16"/>
  <c r="AC78" i="16"/>
  <c r="AB78" i="16"/>
  <c r="AA78" i="16"/>
  <c r="Z78" i="16"/>
  <c r="Y78" i="16"/>
  <c r="X78" i="16"/>
  <c r="AM77" i="16"/>
  <c r="AL77" i="16"/>
  <c r="AK77" i="16"/>
  <c r="AJ77" i="16"/>
  <c r="AI77" i="16"/>
  <c r="AH77" i="16"/>
  <c r="AG77" i="16"/>
  <c r="AF77" i="16"/>
  <c r="AE77" i="16"/>
  <c r="AD77" i="16"/>
  <c r="AC77" i="16"/>
  <c r="AB77" i="16"/>
  <c r="AA77" i="16"/>
  <c r="Z77" i="16"/>
  <c r="Y77" i="16"/>
  <c r="X77" i="16"/>
  <c r="AM76" i="16"/>
  <c r="AL76" i="16"/>
  <c r="AJ76" i="16"/>
  <c r="AI76" i="16"/>
  <c r="AH76" i="16"/>
  <c r="AF76" i="16"/>
  <c r="AE76" i="16"/>
  <c r="AD76" i="16"/>
  <c r="AC76" i="16"/>
  <c r="AA76" i="16"/>
  <c r="Y76" i="16"/>
  <c r="AM75" i="16"/>
  <c r="AL75" i="16"/>
  <c r="AK75" i="16"/>
  <c r="AJ75" i="16"/>
  <c r="AG75" i="16"/>
  <c r="AF75" i="16"/>
  <c r="AE75" i="16"/>
  <c r="AD75" i="16"/>
  <c r="AC75" i="16"/>
  <c r="AB75" i="16"/>
  <c r="AA75" i="16"/>
  <c r="Z75" i="16"/>
  <c r="Y75" i="16"/>
  <c r="AM74" i="16"/>
  <c r="AL74" i="16"/>
  <c r="AK74" i="16"/>
  <c r="AJ74" i="16"/>
  <c r="AI74" i="16"/>
  <c r="AH74" i="16"/>
  <c r="AG74" i="16"/>
  <c r="AF74" i="16"/>
  <c r="AE74" i="16"/>
  <c r="AD74" i="16"/>
  <c r="AC74" i="16"/>
  <c r="AB74" i="16"/>
  <c r="AA74" i="16"/>
  <c r="Z74" i="16"/>
  <c r="Y74" i="16"/>
  <c r="X74" i="16"/>
  <c r="AM73" i="16"/>
  <c r="AL73" i="16"/>
  <c r="AJ73" i="16"/>
  <c r="AI73" i="16"/>
  <c r="AH73" i="16"/>
  <c r="AF73" i="16"/>
  <c r="AE73" i="16"/>
  <c r="AD73" i="16"/>
  <c r="AC73" i="16"/>
  <c r="AA73" i="16"/>
  <c r="Y73" i="16"/>
  <c r="AM72" i="16"/>
  <c r="AL72" i="16"/>
  <c r="AI72" i="16"/>
  <c r="AH72" i="16"/>
  <c r="AG72" i="16"/>
  <c r="AF72" i="16"/>
  <c r="AE72" i="16"/>
  <c r="AD72" i="16"/>
  <c r="AC72" i="16"/>
  <c r="AA72" i="16"/>
  <c r="Y72" i="16"/>
  <c r="AM71" i="16"/>
  <c r="AL71" i="16"/>
  <c r="AK71" i="16"/>
  <c r="AJ71" i="16"/>
  <c r="AI71" i="16"/>
  <c r="AH71" i="16"/>
  <c r="AG71" i="16"/>
  <c r="AF71" i="16"/>
  <c r="AE71" i="16"/>
  <c r="AD71" i="16"/>
  <c r="AC71" i="16"/>
  <c r="AB71" i="16"/>
  <c r="AA71" i="16"/>
  <c r="Z71" i="16"/>
  <c r="Y71" i="16"/>
  <c r="X71" i="16"/>
  <c r="AM70" i="16"/>
  <c r="AL70" i="16"/>
  <c r="AK70" i="16"/>
  <c r="AJ70" i="16"/>
  <c r="AI70" i="16"/>
  <c r="AH70" i="16"/>
  <c r="AG70" i="16"/>
  <c r="AF70" i="16"/>
  <c r="AE70" i="16"/>
  <c r="AD70" i="16"/>
  <c r="AC70" i="16"/>
  <c r="AB70" i="16"/>
  <c r="AA70" i="16"/>
  <c r="Z70" i="16"/>
  <c r="Y70" i="16"/>
  <c r="X70" i="16"/>
  <c r="AM69" i="16"/>
  <c r="AL69" i="16"/>
  <c r="AK69" i="16"/>
  <c r="AJ69" i="16"/>
  <c r="AI69" i="16"/>
  <c r="AH69" i="16"/>
  <c r="AG69" i="16"/>
  <c r="AF69" i="16"/>
  <c r="AE69" i="16"/>
  <c r="AD69" i="16"/>
  <c r="AC69" i="16"/>
  <c r="AB69" i="16"/>
  <c r="AA69" i="16"/>
  <c r="Z69" i="16"/>
  <c r="Y69" i="16"/>
  <c r="X69" i="16"/>
  <c r="AM53" i="16"/>
  <c r="AL53" i="16"/>
  <c r="AK53" i="16"/>
  <c r="AJ53" i="16"/>
  <c r="AI53" i="16"/>
  <c r="AH53" i="16"/>
  <c r="AG53" i="16"/>
  <c r="AF53" i="16"/>
  <c r="AE53" i="16"/>
  <c r="AD53" i="16"/>
  <c r="AC53" i="16"/>
  <c r="AB53" i="16"/>
  <c r="AA53" i="16"/>
  <c r="Z53" i="16"/>
  <c r="Y53" i="16"/>
  <c r="AM52" i="16"/>
  <c r="AL52" i="16"/>
  <c r="AK52" i="16"/>
  <c r="AJ52" i="16"/>
  <c r="AG52" i="16"/>
  <c r="AF52" i="16"/>
  <c r="AE52" i="16"/>
  <c r="AD52" i="16"/>
  <c r="AC52" i="16"/>
  <c r="AB52" i="16"/>
  <c r="AA52" i="16"/>
  <c r="Z52" i="16"/>
  <c r="Y52" i="16"/>
  <c r="AM51" i="16"/>
  <c r="AL51" i="16"/>
  <c r="AK51" i="16"/>
  <c r="AJ51" i="16"/>
  <c r="AI51" i="16"/>
  <c r="AH51" i="16"/>
  <c r="AG51" i="16"/>
  <c r="AF51" i="16"/>
  <c r="AE51" i="16"/>
  <c r="AD51" i="16"/>
  <c r="AC51" i="16"/>
  <c r="AB51" i="16"/>
  <c r="AA51" i="16"/>
  <c r="Z51" i="16"/>
  <c r="Y51" i="16"/>
  <c r="X51" i="16"/>
  <c r="AM50" i="16"/>
  <c r="AL50" i="16"/>
  <c r="AJ50" i="16"/>
  <c r="AI50" i="16"/>
  <c r="AH50" i="16"/>
  <c r="AF50" i="16"/>
  <c r="AE50" i="16"/>
  <c r="AD50" i="16"/>
  <c r="AC50" i="16"/>
  <c r="AA50" i="16"/>
  <c r="Y50" i="16"/>
  <c r="AM49" i="16"/>
  <c r="AL49" i="16"/>
  <c r="AI49" i="16"/>
  <c r="AH49" i="16"/>
  <c r="AG49" i="16"/>
  <c r="AF49" i="16"/>
  <c r="AE49" i="16"/>
  <c r="AD49" i="16"/>
  <c r="AC49" i="16"/>
  <c r="AB49" i="16"/>
  <c r="AA49" i="16"/>
  <c r="Z49" i="16"/>
  <c r="Y49" i="16"/>
  <c r="AM48" i="16"/>
  <c r="AL48" i="16"/>
  <c r="AK48" i="16"/>
  <c r="AJ48" i="16"/>
  <c r="AI48" i="16"/>
  <c r="AH48" i="16"/>
  <c r="AG48" i="16"/>
  <c r="AF48" i="16"/>
  <c r="AE48" i="16"/>
  <c r="AD48" i="16"/>
  <c r="AC48" i="16"/>
  <c r="AB48" i="16"/>
  <c r="AA48" i="16"/>
  <c r="Z48" i="16"/>
  <c r="Y48" i="16"/>
  <c r="X48" i="16"/>
  <c r="AM47" i="16"/>
  <c r="AL47" i="16"/>
  <c r="AK47" i="16"/>
  <c r="AJ47" i="16"/>
  <c r="AI47" i="16"/>
  <c r="AH47" i="16"/>
  <c r="AG47" i="16"/>
  <c r="AF47" i="16"/>
  <c r="AE47" i="16"/>
  <c r="AD47" i="16"/>
  <c r="AC47" i="16"/>
  <c r="AB47" i="16"/>
  <c r="AA47" i="16"/>
  <c r="Z47" i="16"/>
  <c r="Y47" i="16"/>
  <c r="X47" i="16"/>
  <c r="AM46" i="16"/>
  <c r="AL46" i="16"/>
  <c r="AK46" i="16"/>
  <c r="AJ46" i="16"/>
  <c r="AI46" i="16"/>
  <c r="AH46" i="16"/>
  <c r="AG46" i="16"/>
  <c r="AF46" i="16"/>
  <c r="AE46" i="16"/>
  <c r="AD46" i="16"/>
  <c r="AC46" i="16"/>
  <c r="AB46" i="16"/>
  <c r="AA46" i="16"/>
  <c r="Z46" i="16"/>
  <c r="Y46" i="16"/>
  <c r="X46" i="16"/>
  <c r="AM45" i="16"/>
  <c r="AL45" i="16"/>
  <c r="AK45" i="16"/>
  <c r="AJ45" i="16"/>
  <c r="AI45" i="16"/>
  <c r="AH45" i="16"/>
  <c r="AG45" i="16"/>
  <c r="AF45" i="16"/>
  <c r="AE45" i="16"/>
  <c r="AD45" i="16"/>
  <c r="AC45" i="16"/>
  <c r="AB45" i="16"/>
  <c r="AA45" i="16"/>
  <c r="Z45" i="16"/>
  <c r="Y45" i="16"/>
  <c r="X45" i="16"/>
  <c r="AM44" i="16"/>
  <c r="AL44" i="16"/>
  <c r="AK44" i="16"/>
  <c r="AJ44" i="16"/>
  <c r="AI44" i="16"/>
  <c r="AH44" i="16"/>
  <c r="AG44" i="16"/>
  <c r="AF44" i="16"/>
  <c r="AE44" i="16"/>
  <c r="AD44" i="16"/>
  <c r="AC44" i="16"/>
  <c r="AB44" i="16"/>
  <c r="AA44" i="16"/>
  <c r="Z44" i="16"/>
  <c r="Y44" i="16"/>
  <c r="X44" i="16"/>
  <c r="AM43" i="16"/>
  <c r="AL43" i="16"/>
  <c r="AK43" i="16"/>
  <c r="AJ43" i="16"/>
  <c r="AI43" i="16"/>
  <c r="AH43" i="16"/>
  <c r="AG43" i="16"/>
  <c r="AF43" i="16"/>
  <c r="AE43" i="16"/>
  <c r="AD43" i="16"/>
  <c r="AC43" i="16"/>
  <c r="AB43" i="16"/>
  <c r="AA43" i="16"/>
  <c r="Z43" i="16"/>
  <c r="Y43" i="16"/>
  <c r="X43" i="16"/>
  <c r="AM42" i="16"/>
  <c r="AL42" i="16"/>
  <c r="AK42" i="16"/>
  <c r="AJ42" i="16"/>
  <c r="AI42" i="16"/>
  <c r="AH42" i="16"/>
  <c r="AG42" i="16"/>
  <c r="AF42" i="16"/>
  <c r="AE42" i="16"/>
  <c r="AD42" i="16"/>
  <c r="AC42" i="16"/>
  <c r="AB42" i="16"/>
  <c r="AA42" i="16"/>
  <c r="Z42" i="16"/>
  <c r="Y42" i="16"/>
  <c r="X42" i="16"/>
  <c r="AM41" i="16"/>
  <c r="AL41" i="16"/>
  <c r="AK41" i="16"/>
  <c r="AJ41" i="16"/>
  <c r="AG41" i="16"/>
  <c r="AF41" i="16"/>
  <c r="AE41" i="16"/>
  <c r="AD41" i="16"/>
  <c r="AC41" i="16"/>
  <c r="AB41" i="16"/>
  <c r="AA41" i="16"/>
  <c r="Z41" i="16"/>
  <c r="Y41" i="16"/>
  <c r="D41" i="16"/>
  <c r="AM40" i="16"/>
  <c r="AL40" i="16"/>
  <c r="AJ40" i="16"/>
  <c r="AI40" i="16"/>
  <c r="AH40" i="16"/>
  <c r="AG40" i="16"/>
  <c r="AF40" i="16"/>
  <c r="AE40" i="16"/>
  <c r="AD40" i="16"/>
  <c r="AC40" i="16"/>
  <c r="AB40" i="16"/>
  <c r="AA40" i="16"/>
  <c r="Z40" i="16"/>
  <c r="Y40" i="16"/>
  <c r="D40" i="16"/>
  <c r="AM39" i="16"/>
  <c r="AL39" i="16"/>
  <c r="AK39" i="16"/>
  <c r="AJ39" i="16"/>
  <c r="AI39" i="16"/>
  <c r="AH39" i="16"/>
  <c r="AG39" i="16"/>
  <c r="AF39" i="16"/>
  <c r="AE39" i="16"/>
  <c r="AD39" i="16"/>
  <c r="AC39" i="16"/>
  <c r="AB39" i="16"/>
  <c r="AA39" i="16"/>
  <c r="Z39" i="16"/>
  <c r="Y39" i="16"/>
  <c r="D39" i="16"/>
  <c r="AM38" i="16"/>
  <c r="AL38" i="16"/>
  <c r="AK38" i="16"/>
  <c r="AJ38" i="16"/>
  <c r="AI38" i="16"/>
  <c r="AH38" i="16"/>
  <c r="AG38" i="16"/>
  <c r="AF38" i="16"/>
  <c r="AE38" i="16"/>
  <c r="AD38" i="16"/>
  <c r="AC38" i="16"/>
  <c r="AB38" i="16"/>
  <c r="AA38" i="16"/>
  <c r="Z38" i="16"/>
  <c r="Y38" i="16"/>
  <c r="X38" i="16"/>
  <c r="AM37" i="16"/>
  <c r="AL37" i="16"/>
  <c r="AK37" i="16"/>
  <c r="AJ37" i="16"/>
  <c r="AI37" i="16"/>
  <c r="AH37" i="16"/>
  <c r="AG37" i="16"/>
  <c r="AF37" i="16"/>
  <c r="AE37" i="16"/>
  <c r="AD37" i="16"/>
  <c r="AC37" i="16"/>
  <c r="AB37" i="16"/>
  <c r="AA37" i="16"/>
  <c r="Z37" i="16"/>
  <c r="Y37" i="16"/>
  <c r="X37" i="16"/>
  <c r="D37" i="16"/>
  <c r="AM36" i="16"/>
  <c r="AL36" i="16"/>
  <c r="AK36" i="16"/>
  <c r="AJ36" i="16"/>
  <c r="AI36" i="16"/>
  <c r="AH36" i="16"/>
  <c r="AG36" i="16"/>
  <c r="AF36" i="16"/>
  <c r="AE36" i="16"/>
  <c r="AD36" i="16"/>
  <c r="AC36" i="16"/>
  <c r="AB36" i="16"/>
  <c r="AA36" i="16"/>
  <c r="Z36" i="16"/>
  <c r="Y36" i="16"/>
  <c r="X36" i="16"/>
  <c r="D36" i="16"/>
  <c r="AM35" i="16"/>
  <c r="AL35" i="16"/>
  <c r="AK35" i="16"/>
  <c r="AJ35" i="16"/>
  <c r="AI35" i="16"/>
  <c r="AH35" i="16"/>
  <c r="AG35" i="16"/>
  <c r="AF35" i="16"/>
  <c r="AE35" i="16"/>
  <c r="AD35" i="16"/>
  <c r="AC35" i="16"/>
  <c r="AB35" i="16"/>
  <c r="AA35" i="16"/>
  <c r="Z35" i="16"/>
  <c r="Y35" i="16"/>
  <c r="D35" i="16"/>
  <c r="AM34" i="16"/>
  <c r="AL34" i="16"/>
  <c r="AK34" i="16"/>
  <c r="AJ34" i="16"/>
  <c r="AI34" i="16"/>
  <c r="AH34" i="16"/>
  <c r="AG34" i="16"/>
  <c r="AF34" i="16"/>
  <c r="AE34" i="16"/>
  <c r="AD34" i="16"/>
  <c r="AC34" i="16"/>
  <c r="AB34" i="16"/>
  <c r="AA34" i="16"/>
  <c r="Z34" i="16"/>
  <c r="Y34" i="16"/>
  <c r="X34" i="16"/>
  <c r="D34" i="16"/>
  <c r="AM33" i="16"/>
  <c r="AL33" i="16"/>
  <c r="AK33" i="16"/>
  <c r="AJ33" i="16"/>
  <c r="AI33" i="16"/>
  <c r="AH33" i="16"/>
  <c r="AG33" i="16"/>
  <c r="AF33" i="16"/>
  <c r="AE33" i="16"/>
  <c r="AD33" i="16"/>
  <c r="AC33" i="16"/>
  <c r="AB33" i="16"/>
  <c r="AA33" i="16"/>
  <c r="Z33" i="16"/>
  <c r="Y33" i="16"/>
  <c r="D33" i="16"/>
  <c r="AM32" i="16"/>
  <c r="AL32" i="16"/>
  <c r="AK32" i="16"/>
  <c r="AJ32" i="16"/>
  <c r="AI32" i="16"/>
  <c r="AH32" i="16"/>
  <c r="AG32" i="16"/>
  <c r="AF32" i="16"/>
  <c r="AE32" i="16"/>
  <c r="AD32" i="16"/>
  <c r="AC32" i="16"/>
  <c r="AB32" i="16"/>
  <c r="AA32" i="16"/>
  <c r="Z32" i="16"/>
  <c r="Y32" i="16"/>
  <c r="X32" i="16"/>
  <c r="AM31" i="16"/>
  <c r="AL31" i="16"/>
  <c r="AK31" i="16"/>
  <c r="AJ31" i="16"/>
  <c r="AI31" i="16"/>
  <c r="AH31" i="16"/>
  <c r="AG31" i="16"/>
  <c r="AF31" i="16"/>
  <c r="AE31" i="16"/>
  <c r="AD31" i="16"/>
  <c r="AC31" i="16"/>
  <c r="AB31" i="16"/>
  <c r="AA31" i="16"/>
  <c r="Z31" i="16"/>
  <c r="Y31" i="16"/>
  <c r="X31" i="16"/>
  <c r="D31" i="16"/>
  <c r="B31" i="16"/>
  <c r="B33" i="16" s="1"/>
  <c r="B34" i="16" s="1"/>
  <c r="B35" i="16" s="1"/>
  <c r="B36" i="16" s="1"/>
  <c r="B37" i="16" s="1"/>
  <c r="B39" i="16" s="1"/>
  <c r="B40" i="16" s="1"/>
  <c r="B41" i="16" s="1"/>
  <c r="AM30" i="16"/>
  <c r="AL30" i="16"/>
  <c r="AK30" i="16"/>
  <c r="AJ30" i="16"/>
  <c r="AI30" i="16"/>
  <c r="AH30" i="16"/>
  <c r="AG30" i="16"/>
  <c r="AF30" i="16"/>
  <c r="AE30" i="16"/>
  <c r="AD30" i="16"/>
  <c r="AC30" i="16"/>
  <c r="AB30" i="16"/>
  <c r="AA30" i="16"/>
  <c r="Z30" i="16"/>
  <c r="Y30" i="16"/>
  <c r="X30" i="16"/>
  <c r="D30" i="16"/>
  <c r="AM29" i="16"/>
  <c r="AL29" i="16"/>
  <c r="AK29" i="16"/>
  <c r="AJ29" i="16"/>
  <c r="AI29" i="16"/>
  <c r="AH29" i="16"/>
  <c r="AG29" i="16"/>
  <c r="AF29" i="16"/>
  <c r="AE29" i="16"/>
  <c r="AD29" i="16"/>
  <c r="AC29" i="16"/>
  <c r="AB29" i="16"/>
  <c r="AA29" i="16"/>
  <c r="Z29" i="16"/>
  <c r="Y29" i="16"/>
  <c r="X29" i="16"/>
  <c r="AM28" i="16"/>
  <c r="AL28" i="16"/>
  <c r="AK28" i="16"/>
  <c r="AJ28" i="16"/>
  <c r="AI28" i="16"/>
  <c r="AH28" i="16"/>
  <c r="AG28" i="16"/>
  <c r="AF28" i="16"/>
  <c r="AE28" i="16"/>
  <c r="AD28" i="16"/>
  <c r="AC28" i="16"/>
  <c r="AB28" i="16"/>
  <c r="AA28" i="16"/>
  <c r="Z28" i="16"/>
  <c r="Y28" i="16"/>
  <c r="X28" i="16"/>
  <c r="AM25" i="16"/>
  <c r="AL25" i="16"/>
  <c r="AK25" i="16"/>
  <c r="AJ25" i="16"/>
  <c r="AI25" i="16"/>
  <c r="AH25" i="16"/>
  <c r="AG25" i="16"/>
  <c r="AF25" i="16"/>
  <c r="AE25" i="16"/>
  <c r="AD25" i="16"/>
  <c r="AC25" i="16"/>
  <c r="AB25" i="16"/>
  <c r="AA25" i="16"/>
  <c r="Z25" i="16"/>
  <c r="Y25" i="16"/>
  <c r="X25" i="16"/>
  <c r="AM24" i="16"/>
  <c r="AK24" i="16"/>
  <c r="AJ24" i="16"/>
  <c r="AI24" i="16"/>
  <c r="AH24" i="16"/>
  <c r="AG24" i="16"/>
  <c r="AF24" i="16"/>
  <c r="AE24" i="16"/>
  <c r="AD24" i="16"/>
  <c r="AC24" i="16"/>
  <c r="AB24" i="16"/>
  <c r="AA24" i="16"/>
  <c r="Z24" i="16"/>
  <c r="Y24" i="16"/>
  <c r="AM23" i="16"/>
  <c r="AL23" i="16"/>
  <c r="AK23" i="16"/>
  <c r="AJ23" i="16"/>
  <c r="AI23" i="16"/>
  <c r="AH23" i="16"/>
  <c r="AG23" i="16"/>
  <c r="AF23" i="16"/>
  <c r="AE23" i="16"/>
  <c r="AD23" i="16"/>
  <c r="AC23" i="16"/>
  <c r="AB23" i="16"/>
  <c r="AA23" i="16"/>
  <c r="Z23" i="16"/>
  <c r="Y23" i="16"/>
  <c r="X23" i="16"/>
  <c r="AM22" i="16"/>
  <c r="AL22" i="16"/>
  <c r="AK22" i="16"/>
  <c r="AJ22" i="16"/>
  <c r="AI22" i="16"/>
  <c r="AH22" i="16"/>
  <c r="AG22" i="16"/>
  <c r="AF22" i="16"/>
  <c r="AE22" i="16"/>
  <c r="AD22" i="16"/>
  <c r="AC22" i="16"/>
  <c r="AB22" i="16"/>
  <c r="AA22" i="16"/>
  <c r="Z22" i="16"/>
  <c r="Y22" i="16"/>
  <c r="AM20" i="16"/>
  <c r="AL20" i="16"/>
  <c r="AK20" i="16"/>
  <c r="AJ20" i="16"/>
  <c r="AI20" i="16"/>
  <c r="AH20" i="16"/>
  <c r="AG20" i="16"/>
  <c r="AF20" i="16"/>
  <c r="AE20" i="16"/>
  <c r="AD20" i="16"/>
  <c r="AC20" i="16"/>
  <c r="AB20" i="16"/>
  <c r="AA20" i="16"/>
  <c r="Z20" i="16"/>
  <c r="Y20" i="16"/>
  <c r="X20" i="16"/>
  <c r="AM19" i="16"/>
  <c r="AL19" i="16"/>
  <c r="AK19" i="16"/>
  <c r="AJ19" i="16"/>
  <c r="AI19" i="16"/>
  <c r="AH19" i="16"/>
  <c r="AG19" i="16"/>
  <c r="AF19" i="16"/>
  <c r="AE19" i="16"/>
  <c r="AD19" i="16"/>
  <c r="AC19" i="16"/>
  <c r="AB19" i="16"/>
  <c r="AA19" i="16"/>
  <c r="Z19" i="16"/>
  <c r="Y19" i="16"/>
  <c r="X19" i="16"/>
  <c r="B23" i="16"/>
  <c r="B24" i="16" s="1"/>
  <c r="B25" i="16" s="1"/>
  <c r="AM18" i="16"/>
  <c r="AL18" i="16"/>
  <c r="AK18" i="16"/>
  <c r="AJ18" i="16"/>
  <c r="AI18" i="16"/>
  <c r="AH18" i="16"/>
  <c r="AG18" i="16"/>
  <c r="AF18" i="16"/>
  <c r="AE18" i="16"/>
  <c r="AD18" i="16"/>
  <c r="AC18" i="16"/>
  <c r="AB18" i="16"/>
  <c r="AA18" i="16"/>
  <c r="Z18" i="16"/>
  <c r="AM17" i="16"/>
  <c r="AL17" i="16"/>
  <c r="AK17" i="16"/>
  <c r="AJ17" i="16"/>
  <c r="AI17" i="16"/>
  <c r="AH17" i="16"/>
  <c r="AG17" i="16"/>
  <c r="AF17" i="16"/>
  <c r="AE17" i="16"/>
  <c r="AD17" i="16"/>
  <c r="AC17" i="16"/>
  <c r="AB17" i="16"/>
  <c r="AA17" i="16"/>
  <c r="Z17" i="16"/>
  <c r="Y17" i="16"/>
  <c r="X17" i="16"/>
  <c r="AM16" i="16"/>
  <c r="AL16" i="16"/>
  <c r="AK16" i="16"/>
  <c r="AJ16" i="16"/>
  <c r="AI16" i="16"/>
  <c r="AH16" i="16"/>
  <c r="AG16" i="16"/>
  <c r="AF16" i="16"/>
  <c r="AE16" i="16"/>
  <c r="AD16" i="16"/>
  <c r="AC16" i="16"/>
  <c r="AB16" i="16"/>
  <c r="AA16" i="16"/>
  <c r="Z16" i="16"/>
  <c r="Y16" i="16"/>
  <c r="X16" i="16"/>
  <c r="G11" i="16"/>
  <c r="AX11" i="16" s="1"/>
  <c r="B7" i="16"/>
  <c r="AB129" i="3"/>
  <c r="AA129" i="3"/>
  <c r="AC129" i="3" s="1"/>
  <c r="AB128" i="3"/>
  <c r="AA128" i="3"/>
  <c r="AC128" i="3" s="1"/>
  <c r="AB127" i="3"/>
  <c r="AA127" i="3"/>
  <c r="AB126" i="3"/>
  <c r="AA126" i="3"/>
  <c r="AB125" i="3"/>
  <c r="AA125" i="3"/>
  <c r="AC125" i="3" s="1"/>
  <c r="AB124" i="3"/>
  <c r="AA124" i="3"/>
  <c r="AC124" i="3" s="1"/>
  <c r="AB123" i="3"/>
  <c r="AA123" i="3"/>
  <c r="AB122" i="3"/>
  <c r="AA122" i="3"/>
  <c r="AC122" i="3" s="1"/>
  <c r="AB121" i="3"/>
  <c r="AA121" i="3"/>
  <c r="AC121" i="3" s="1"/>
  <c r="AB119" i="3"/>
  <c r="AA119" i="3"/>
  <c r="AC119" i="3" s="1"/>
  <c r="AB118" i="3"/>
  <c r="AA118" i="3"/>
  <c r="AB117" i="3"/>
  <c r="AA117" i="3"/>
  <c r="AC117" i="3" s="1"/>
  <c r="AB116" i="3"/>
  <c r="AA116" i="3"/>
  <c r="AC116" i="3" s="1"/>
  <c r="AB106" i="3"/>
  <c r="AA106" i="3"/>
  <c r="AC106" i="3" s="1"/>
  <c r="AB105" i="3"/>
  <c r="AA105" i="3"/>
  <c r="AB99" i="3"/>
  <c r="AA99" i="3"/>
  <c r="AC99" i="3" s="1"/>
  <c r="AB98" i="3"/>
  <c r="AA98" i="3"/>
  <c r="AC98" i="3" s="1"/>
  <c r="AB103" i="3"/>
  <c r="AA103" i="3"/>
  <c r="AC103" i="3" s="1"/>
  <c r="AB102" i="3"/>
  <c r="AA102" i="3"/>
  <c r="AB100" i="3"/>
  <c r="AA100" i="3"/>
  <c r="AC100" i="3" s="1"/>
  <c r="AB97" i="3"/>
  <c r="AA97" i="3"/>
  <c r="AC97" i="3" s="1"/>
  <c r="AB96" i="3"/>
  <c r="AA96" i="3"/>
  <c r="AC96" i="3" s="1"/>
  <c r="AB93" i="3"/>
  <c r="AA93" i="3"/>
  <c r="AB92" i="3"/>
  <c r="AA92" i="3"/>
  <c r="AC92" i="3" s="1"/>
  <c r="AB91" i="3"/>
  <c r="AA91" i="3"/>
  <c r="AC91" i="3" s="1"/>
  <c r="AB90" i="3"/>
  <c r="AA90" i="3"/>
  <c r="AC90" i="3" s="1"/>
  <c r="AB89" i="3"/>
  <c r="AA89" i="3"/>
  <c r="AB85" i="3"/>
  <c r="AA85" i="3"/>
  <c r="AC85" i="3" s="1"/>
  <c r="AB84" i="3"/>
  <c r="AA84" i="3"/>
  <c r="AC84" i="3" s="1"/>
  <c r="AB83" i="3"/>
  <c r="AA83" i="3"/>
  <c r="AC83" i="3" s="1"/>
  <c r="AB80" i="3"/>
  <c r="AA80" i="3"/>
  <c r="AB79" i="3"/>
  <c r="AA79" i="3"/>
  <c r="AC79" i="3" s="1"/>
  <c r="AB78" i="3"/>
  <c r="AA78" i="3"/>
  <c r="AC78" i="3" s="1"/>
  <c r="AB77" i="3"/>
  <c r="AA77" i="3"/>
  <c r="AC77" i="3" s="1"/>
  <c r="AB76" i="3"/>
  <c r="AB75" i="3"/>
  <c r="AA75" i="3"/>
  <c r="AB74" i="3"/>
  <c r="AA74" i="3"/>
  <c r="AB73" i="3"/>
  <c r="AB72" i="3"/>
  <c r="AB69" i="3"/>
  <c r="AA69" i="3"/>
  <c r="AB68" i="3"/>
  <c r="AA68" i="3"/>
  <c r="AB67" i="3"/>
  <c r="AA67" i="3"/>
  <c r="AB65" i="3"/>
  <c r="AA65" i="3"/>
  <c r="AB64" i="3"/>
  <c r="AA64" i="3"/>
  <c r="AB63" i="3"/>
  <c r="AA63" i="3"/>
  <c r="AB60" i="3"/>
  <c r="AA60" i="3"/>
  <c r="AB59" i="3"/>
  <c r="AA59" i="3"/>
  <c r="AB61" i="3"/>
  <c r="AA61" i="3"/>
  <c r="AB58" i="3"/>
  <c r="AA58" i="3"/>
  <c r="AB57" i="3"/>
  <c r="AA57" i="3"/>
  <c r="AB56" i="3"/>
  <c r="AA56" i="3"/>
  <c r="AB54" i="3"/>
  <c r="AA54" i="3"/>
  <c r="AB53" i="3"/>
  <c r="AA53" i="3"/>
  <c r="AB52" i="3"/>
  <c r="AA52" i="3"/>
  <c r="AB51" i="3"/>
  <c r="AA51" i="3"/>
  <c r="AB50" i="3"/>
  <c r="AB49" i="3"/>
  <c r="AA49" i="3"/>
  <c r="AB47" i="3"/>
  <c r="AA47" i="3"/>
  <c r="AB46" i="3"/>
  <c r="AA46" i="3"/>
  <c r="AC46" i="3" s="1"/>
  <c r="AB45" i="3"/>
  <c r="AA45" i="3"/>
  <c r="AB44" i="3"/>
  <c r="AA44" i="3"/>
  <c r="AB41" i="3"/>
  <c r="AA41" i="3"/>
  <c r="AB40" i="3"/>
  <c r="AA40" i="3"/>
  <c r="AC40" i="3" s="1"/>
  <c r="AB39" i="3"/>
  <c r="AA39" i="3"/>
  <c r="AC39" i="3" s="1"/>
  <c r="AB37" i="3"/>
  <c r="AA37" i="3"/>
  <c r="AB36" i="3"/>
  <c r="AA36" i="3"/>
  <c r="AB35" i="3"/>
  <c r="AA35" i="3"/>
  <c r="AC35" i="3" s="1"/>
  <c r="AB34" i="3"/>
  <c r="AA34" i="3"/>
  <c r="AB33" i="3"/>
  <c r="AA33" i="3"/>
  <c r="AB31" i="3"/>
  <c r="AA31" i="3"/>
  <c r="AB30" i="3"/>
  <c r="AA30" i="3"/>
  <c r="AC30" i="3" s="1"/>
  <c r="AB25" i="3"/>
  <c r="AA25" i="3"/>
  <c r="AB24" i="3"/>
  <c r="AA24" i="3"/>
  <c r="AB23" i="3"/>
  <c r="AA23" i="3"/>
  <c r="AB22" i="3"/>
  <c r="AA22" i="3"/>
  <c r="AB19" i="3"/>
  <c r="AA19" i="3"/>
  <c r="AB18" i="3"/>
  <c r="AB17" i="3" s="1"/>
  <c r="AC19" i="3" l="1"/>
  <c r="AC25" i="3"/>
  <c r="AC34" i="3"/>
  <c r="AC45" i="3"/>
  <c r="G158" i="22"/>
  <c r="G161" i="23"/>
  <c r="G162" i="21"/>
  <c r="G162" i="23"/>
  <c r="G158" i="21"/>
  <c r="G158" i="23"/>
  <c r="G155" i="23"/>
  <c r="BH56" i="8"/>
  <c r="BK108" i="21"/>
  <c r="BK102" i="23"/>
  <c r="AD40" i="20"/>
  <c r="BA56" i="2"/>
  <c r="BK56" i="2" s="1"/>
  <c r="BK56" i="9"/>
  <c r="BK118" i="23"/>
  <c r="BK56" i="8"/>
  <c r="T102" i="16"/>
  <c r="K75" i="20" s="1"/>
  <c r="AE75" i="20"/>
  <c r="BK107" i="21"/>
  <c r="G103" i="16"/>
  <c r="E76" i="20" s="1"/>
  <c r="Y76" i="20"/>
  <c r="T56" i="16"/>
  <c r="AE40" i="20"/>
  <c r="BK123" i="21"/>
  <c r="BK113" i="23"/>
  <c r="T102" i="24"/>
  <c r="BB102" i="24" s="1"/>
  <c r="BK100" i="23"/>
  <c r="BK99" i="23"/>
  <c r="G107" i="24"/>
  <c r="AO107" i="24" s="1"/>
  <c r="BH107" i="24" s="1"/>
  <c r="G79" i="24"/>
  <c r="AO79" i="24" s="1"/>
  <c r="BH79" i="24" s="1"/>
  <c r="BK98" i="23"/>
  <c r="G99" i="24"/>
  <c r="AO99" i="24" s="1"/>
  <c r="BH99" i="24" s="1"/>
  <c r="BK105" i="23"/>
  <c r="T82" i="24"/>
  <c r="BB82" i="24" s="1"/>
  <c r="BK98" i="22"/>
  <c r="G105" i="24"/>
  <c r="AO105" i="24" s="1"/>
  <c r="BH105" i="24" s="1"/>
  <c r="S117" i="24"/>
  <c r="BA117" i="24" s="1"/>
  <c r="BK119" i="22"/>
  <c r="G126" i="24"/>
  <c r="AO126" i="24" s="1"/>
  <c r="BH126" i="24" s="1"/>
  <c r="G103" i="24"/>
  <c r="AO103" i="24" s="1"/>
  <c r="BH103" i="24" s="1"/>
  <c r="G112" i="24"/>
  <c r="AO112" i="24" s="1"/>
  <c r="BH112" i="24" s="1"/>
  <c r="BK102" i="22"/>
  <c r="G129" i="24"/>
  <c r="AO129" i="24" s="1"/>
  <c r="BH129" i="24" s="1"/>
  <c r="S119" i="24"/>
  <c r="BA119" i="24" s="1"/>
  <c r="S98" i="24"/>
  <c r="BA98" i="24" s="1"/>
  <c r="G121" i="24"/>
  <c r="AO121" i="24" s="1"/>
  <c r="BH121" i="24" s="1"/>
  <c r="G117" i="24"/>
  <c r="AO117" i="24" s="1"/>
  <c r="BH117" i="24" s="1"/>
  <c r="T117" i="24"/>
  <c r="BB117" i="24" s="1"/>
  <c r="G97" i="24"/>
  <c r="AO97" i="24" s="1"/>
  <c r="BH97" i="24" s="1"/>
  <c r="G98" i="24"/>
  <c r="AO98" i="24" s="1"/>
  <c r="BH98" i="24" s="1"/>
  <c r="G108" i="24"/>
  <c r="AO108" i="24" s="1"/>
  <c r="BH108" i="24" s="1"/>
  <c r="BK100" i="22"/>
  <c r="T80" i="16"/>
  <c r="T79" i="24"/>
  <c r="BB79" i="24" s="1"/>
  <c r="T80" i="24"/>
  <c r="BB80" i="24" s="1"/>
  <c r="BA134" i="22"/>
  <c r="S80" i="24"/>
  <c r="BA80" i="24" s="1"/>
  <c r="G127" i="24"/>
  <c r="AO127" i="24" s="1"/>
  <c r="BH127" i="24" s="1"/>
  <c r="S56" i="24"/>
  <c r="S56" i="16"/>
  <c r="BK125" i="23"/>
  <c r="BK129" i="23"/>
  <c r="BK82" i="23"/>
  <c r="BK122" i="23"/>
  <c r="BK80" i="22"/>
  <c r="BK118" i="22"/>
  <c r="BH105" i="22"/>
  <c r="BB97" i="22"/>
  <c r="BH48" i="22"/>
  <c r="AO133" i="22"/>
  <c r="BH121" i="22"/>
  <c r="BH97" i="22"/>
  <c r="AO135" i="22"/>
  <c r="BK82" i="22"/>
  <c r="BH79" i="22"/>
  <c r="AO134" i="22"/>
  <c r="BK117" i="22"/>
  <c r="BK48" i="22"/>
  <c r="BK42" i="22" s="1"/>
  <c r="BK133" i="22" s="1"/>
  <c r="BA133" i="22"/>
  <c r="BH117" i="22"/>
  <c r="G163" i="22"/>
  <c r="BK79" i="22"/>
  <c r="BB134" i="22"/>
  <c r="T56" i="24"/>
  <c r="G82" i="24"/>
  <c r="AO82" i="24" s="1"/>
  <c r="BH82" i="24" s="1"/>
  <c r="G106" i="24"/>
  <c r="AO106" i="24" s="1"/>
  <c r="BH106" i="24" s="1"/>
  <c r="G128" i="24"/>
  <c r="AO128" i="24" s="1"/>
  <c r="BH128" i="24" s="1"/>
  <c r="G118" i="24"/>
  <c r="AO118" i="24" s="1"/>
  <c r="BH118" i="24" s="1"/>
  <c r="BK79" i="23"/>
  <c r="BA134" i="23"/>
  <c r="BB135" i="23"/>
  <c r="BK97" i="23"/>
  <c r="BA135" i="23"/>
  <c r="BH97" i="23"/>
  <c r="AO135" i="23"/>
  <c r="BH117" i="23"/>
  <c r="BH115" i="23" s="1"/>
  <c r="G163" i="23"/>
  <c r="BB134" i="23"/>
  <c r="G80" i="24"/>
  <c r="AO80" i="24" s="1"/>
  <c r="BH80" i="24" s="1"/>
  <c r="G100" i="24"/>
  <c r="AO100" i="24" s="1"/>
  <c r="BH100" i="24" s="1"/>
  <c r="T119" i="24"/>
  <c r="BB119" i="24" s="1"/>
  <c r="G125" i="24"/>
  <c r="AO125" i="24" s="1"/>
  <c r="BH125" i="24" s="1"/>
  <c r="G123" i="24"/>
  <c r="AO123" i="24" s="1"/>
  <c r="BH123" i="24" s="1"/>
  <c r="G119" i="24"/>
  <c r="AO119" i="24" s="1"/>
  <c r="BH119" i="24" s="1"/>
  <c r="BK121" i="23"/>
  <c r="BH79" i="23"/>
  <c r="AO134" i="23"/>
  <c r="BK127" i="23"/>
  <c r="BK119" i="23"/>
  <c r="BH56" i="23"/>
  <c r="AO133" i="23"/>
  <c r="G164" i="23"/>
  <c r="BH121" i="23"/>
  <c r="BK106" i="23"/>
  <c r="BK112" i="23"/>
  <c r="BK126" i="23"/>
  <c r="BK56" i="23"/>
  <c r="BK48" i="23" s="1"/>
  <c r="BK42" i="23" s="1"/>
  <c r="BK133" i="23" s="1"/>
  <c r="BA133" i="23"/>
  <c r="BK108" i="23"/>
  <c r="BK124" i="23"/>
  <c r="S82" i="24"/>
  <c r="BA82" i="24" s="1"/>
  <c r="S79" i="24"/>
  <c r="BA79" i="24" s="1"/>
  <c r="T100" i="24"/>
  <c r="BB100" i="24" s="1"/>
  <c r="G122" i="24"/>
  <c r="AO122" i="24" s="1"/>
  <c r="BH122" i="24" s="1"/>
  <c r="BK107" i="23"/>
  <c r="BK117" i="23"/>
  <c r="BK80" i="23"/>
  <c r="BK103" i="23"/>
  <c r="BK123" i="23"/>
  <c r="BH105" i="23"/>
  <c r="G113" i="24"/>
  <c r="AO113" i="24" s="1"/>
  <c r="BH113" i="24" s="1"/>
  <c r="S97" i="24"/>
  <c r="BA97" i="24" s="1"/>
  <c r="S100" i="24"/>
  <c r="BA100" i="24" s="1"/>
  <c r="S118" i="24"/>
  <c r="BA118" i="24" s="1"/>
  <c r="BK106" i="21"/>
  <c r="BK100" i="21"/>
  <c r="BK82" i="21"/>
  <c r="BB126" i="21"/>
  <c r="BK126" i="21" s="1"/>
  <c r="BA121" i="21"/>
  <c r="T98" i="2"/>
  <c r="T98" i="16" s="1"/>
  <c r="BH121" i="21"/>
  <c r="BK122" i="21"/>
  <c r="BA124" i="21"/>
  <c r="BK124" i="21" s="1"/>
  <c r="G124" i="24"/>
  <c r="AO124" i="24" s="1"/>
  <c r="BH124" i="24" s="1"/>
  <c r="AO124" i="21"/>
  <c r="BH124" i="21" s="1"/>
  <c r="BK128" i="21"/>
  <c r="BK117" i="21"/>
  <c r="BK99" i="21"/>
  <c r="BK112" i="21"/>
  <c r="BB121" i="21"/>
  <c r="T103" i="2"/>
  <c r="AE76" i="20" s="1"/>
  <c r="BH117" i="21"/>
  <c r="BK119" i="21"/>
  <c r="BK113" i="21"/>
  <c r="S102" i="24"/>
  <c r="BA102" i="24" s="1"/>
  <c r="BK102" i="24" s="1"/>
  <c r="BA102" i="21"/>
  <c r="BK102" i="21" s="1"/>
  <c r="BA127" i="21"/>
  <c r="BK127" i="21" s="1"/>
  <c r="T118" i="2"/>
  <c r="T118" i="16" s="1"/>
  <c r="BK97" i="21"/>
  <c r="BK129" i="21"/>
  <c r="BK125" i="21"/>
  <c r="BK105" i="21"/>
  <c r="G102" i="24"/>
  <c r="AO102" i="24" s="1"/>
  <c r="BH102" i="24" s="1"/>
  <c r="AO102" i="21"/>
  <c r="BH102" i="21" s="1"/>
  <c r="BH105" i="21"/>
  <c r="BH97" i="21"/>
  <c r="BK79" i="21"/>
  <c r="BB134" i="21"/>
  <c r="BK80" i="21"/>
  <c r="BH79" i="21"/>
  <c r="AO134" i="21"/>
  <c r="BA134" i="21"/>
  <c r="G56" i="2"/>
  <c r="AO56" i="2" s="1"/>
  <c r="BH56" i="2" s="1"/>
  <c r="BK48" i="21"/>
  <c r="BK42" i="21" s="1"/>
  <c r="BK133" i="21" s="1"/>
  <c r="BA133" i="21"/>
  <c r="AC24" i="3"/>
  <c r="AC33" i="3"/>
  <c r="AC37" i="3"/>
  <c r="AC44" i="3"/>
  <c r="AC49" i="3"/>
  <c r="AB20" i="3"/>
  <c r="AB16" i="3" s="1"/>
  <c r="AC31" i="3"/>
  <c r="AC41" i="3"/>
  <c r="AC80" i="3"/>
  <c r="AC89" i="3"/>
  <c r="AC93" i="3"/>
  <c r="AC102" i="3"/>
  <c r="AC105" i="3"/>
  <c r="AC118" i="3"/>
  <c r="AC123" i="3"/>
  <c r="AC127" i="3"/>
  <c r="AC22" i="3"/>
  <c r="AA20" i="3"/>
  <c r="AC126" i="3"/>
  <c r="AC52" i="3"/>
  <c r="AC23" i="3"/>
  <c r="AC36" i="3"/>
  <c r="AC47" i="3"/>
  <c r="AC54" i="3"/>
  <c r="AC57" i="3"/>
  <c r="AC61" i="3"/>
  <c r="AC60" i="3"/>
  <c r="AC64" i="3"/>
  <c r="AC67" i="3"/>
  <c r="AC69" i="3"/>
  <c r="AC75" i="3"/>
  <c r="AC51" i="3"/>
  <c r="AC53" i="3"/>
  <c r="AC56" i="3"/>
  <c r="AC58" i="3"/>
  <c r="AC59" i="3"/>
  <c r="AC63" i="3"/>
  <c r="AC65" i="3"/>
  <c r="AC68" i="3"/>
  <c r="AC74" i="3"/>
  <c r="BA112" i="2"/>
  <c r="AO106" i="2"/>
  <c r="BH106" i="2" s="1"/>
  <c r="G106" i="16"/>
  <c r="BB106" i="2"/>
  <c r="BB112" i="2"/>
  <c r="BA108" i="2"/>
  <c r="BA82" i="2"/>
  <c r="S82" i="16"/>
  <c r="BB113" i="2"/>
  <c r="BA107" i="2"/>
  <c r="T97" i="16"/>
  <c r="AO108" i="2"/>
  <c r="BH108" i="2" s="1"/>
  <c r="G108" i="16"/>
  <c r="AO108" i="16" s="1"/>
  <c r="BH108" i="16" s="1"/>
  <c r="AO113" i="2"/>
  <c r="BH113" i="2" s="1"/>
  <c r="G113" i="16"/>
  <c r="AO113" i="16" s="1"/>
  <c r="BH113" i="16" s="1"/>
  <c r="BB108" i="2"/>
  <c r="BA113" i="2"/>
  <c r="BA106" i="2"/>
  <c r="BB107" i="2"/>
  <c r="AO112" i="2"/>
  <c r="BH112" i="2" s="1"/>
  <c r="G112" i="16"/>
  <c r="AO112" i="16" s="1"/>
  <c r="BH112" i="16" s="1"/>
  <c r="AO107" i="2"/>
  <c r="BH107" i="2" s="1"/>
  <c r="G107" i="16"/>
  <c r="BK112" i="9"/>
  <c r="BE81" i="16"/>
  <c r="BE86" i="16"/>
  <c r="AB115" i="3"/>
  <c r="AB104" i="3"/>
  <c r="AB120" i="3"/>
  <c r="S419" i="17"/>
  <c r="BA129" i="22" s="1"/>
  <c r="S371" i="17"/>
  <c r="S321" i="17"/>
  <c r="S272" i="17"/>
  <c r="S254" i="17"/>
  <c r="T103" i="8" s="1"/>
  <c r="AY76" i="20" s="1"/>
  <c r="S412" i="17"/>
  <c r="S398" i="17"/>
  <c r="S363" i="17"/>
  <c r="S121" i="8" s="1"/>
  <c r="S265" i="17"/>
  <c r="S420" i="17"/>
  <c r="BB129" i="22" s="1"/>
  <c r="S392" i="17"/>
  <c r="S320" i="17"/>
  <c r="S271" i="17"/>
  <c r="S385" i="17"/>
  <c r="S378" i="17"/>
  <c r="S313" i="17"/>
  <c r="S264" i="17"/>
  <c r="S406" i="17"/>
  <c r="S370" i="17"/>
  <c r="S285" i="17"/>
  <c r="S278" i="17"/>
  <c r="S225" i="17"/>
  <c r="S399" i="17"/>
  <c r="T126" i="8" s="1"/>
  <c r="S364" i="17"/>
  <c r="T121" i="8" s="1"/>
  <c r="S314" i="17"/>
  <c r="S226" i="17"/>
  <c r="S405" i="17"/>
  <c r="S127" i="8" s="1"/>
  <c r="S391" i="17"/>
  <c r="S286" i="17"/>
  <c r="S413" i="17"/>
  <c r="S384" i="17"/>
  <c r="S124" i="8" s="1"/>
  <c r="S377" i="17"/>
  <c r="S279" i="17"/>
  <c r="S253" i="17"/>
  <c r="BF44" i="16"/>
  <c r="BF74" i="16"/>
  <c r="BO74" i="16" s="1"/>
  <c r="BF75" i="16"/>
  <c r="BF77" i="16"/>
  <c r="BF78" i="16"/>
  <c r="BO78" i="16" s="1"/>
  <c r="BF79" i="16"/>
  <c r="BF80" i="16"/>
  <c r="BF82" i="16"/>
  <c r="BF83" i="16"/>
  <c r="BF84" i="16"/>
  <c r="BF85" i="16"/>
  <c r="BF87" i="16"/>
  <c r="BF88" i="16"/>
  <c r="BO88" i="16" s="1"/>
  <c r="BF139" i="16"/>
  <c r="BF35" i="16"/>
  <c r="BF40" i="16"/>
  <c r="BF19" i="16"/>
  <c r="BF20" i="16"/>
  <c r="BO20" i="16" s="1"/>
  <c r="BF25" i="16"/>
  <c r="BF28" i="16"/>
  <c r="BO28" i="16" s="1"/>
  <c r="BF29" i="16"/>
  <c r="BO29" i="16" s="1"/>
  <c r="BK113" i="9"/>
  <c r="BK108" i="9"/>
  <c r="BF24" i="16"/>
  <c r="BF31" i="16"/>
  <c r="BF32" i="16"/>
  <c r="BO32" i="16" s="1"/>
  <c r="BF36" i="16"/>
  <c r="BF41" i="16"/>
  <c r="BF42" i="16"/>
  <c r="BF43" i="16"/>
  <c r="BO43" i="16" s="1"/>
  <c r="BF46" i="16"/>
  <c r="AQ16" i="16"/>
  <c r="AU16" i="16"/>
  <c r="AY16" i="16"/>
  <c r="BC16" i="16"/>
  <c r="AQ17" i="16"/>
  <c r="AU17" i="16"/>
  <c r="AY17" i="16"/>
  <c r="BC17" i="16"/>
  <c r="AR18" i="16"/>
  <c r="AV18" i="16"/>
  <c r="AZ18" i="16"/>
  <c r="BD18" i="16"/>
  <c r="AS19" i="16"/>
  <c r="AX19" i="16"/>
  <c r="BB19" i="16"/>
  <c r="AP20" i="16"/>
  <c r="AT20" i="16"/>
  <c r="AX20" i="16"/>
  <c r="BB20" i="16"/>
  <c r="AP22" i="16"/>
  <c r="AW22" i="16"/>
  <c r="BA22" i="16"/>
  <c r="AY23" i="16"/>
  <c r="BF33" i="16"/>
  <c r="BF37" i="16"/>
  <c r="BF38" i="16"/>
  <c r="BO38" i="16" s="1"/>
  <c r="BF47" i="16"/>
  <c r="BO47" i="16" s="1"/>
  <c r="BF48" i="16"/>
  <c r="BO48" i="16" s="1"/>
  <c r="BF49" i="16"/>
  <c r="BF51" i="16"/>
  <c r="BO51" i="16" s="1"/>
  <c r="BF52" i="16"/>
  <c r="BF53" i="16"/>
  <c r="BF69" i="16"/>
  <c r="BF70" i="16"/>
  <c r="BF71" i="16"/>
  <c r="BO71" i="16" s="1"/>
  <c r="AR16" i="16"/>
  <c r="AV16" i="16"/>
  <c r="AZ16" i="16"/>
  <c r="BD16" i="16"/>
  <c r="AR17" i="16"/>
  <c r="AV17" i="16"/>
  <c r="AZ17" i="16"/>
  <c r="BD17" i="16"/>
  <c r="AS18" i="16"/>
  <c r="AW18" i="16"/>
  <c r="BA18" i="16"/>
  <c r="AU19" i="16"/>
  <c r="AY19" i="16"/>
  <c r="BC19" i="16"/>
  <c r="AQ20" i="16"/>
  <c r="AU20" i="16"/>
  <c r="AY20" i="16"/>
  <c r="BC20" i="16"/>
  <c r="AT22" i="16"/>
  <c r="AX22" i="16"/>
  <c r="BB22" i="16"/>
  <c r="AP23" i="16"/>
  <c r="AZ23" i="16"/>
  <c r="BF17" i="16"/>
  <c r="BF22" i="16"/>
  <c r="BF30" i="16"/>
  <c r="BF34" i="16"/>
  <c r="BF39" i="16"/>
  <c r="BF89" i="16"/>
  <c r="BO89" i="16" s="1"/>
  <c r="BF90" i="16"/>
  <c r="BO90" i="16" s="1"/>
  <c r="BF91" i="16"/>
  <c r="BO91" i="16" s="1"/>
  <c r="BF92" i="16"/>
  <c r="BO92" i="16" s="1"/>
  <c r="BF93" i="16"/>
  <c r="BO93" i="16" s="1"/>
  <c r="BF94" i="16"/>
  <c r="BF95" i="16"/>
  <c r="BO95" i="16" s="1"/>
  <c r="BF96" i="16"/>
  <c r="BO96" i="16" s="1"/>
  <c r="AO16" i="16"/>
  <c r="AS16" i="16"/>
  <c r="AW16" i="16"/>
  <c r="BA16" i="16"/>
  <c r="AO17" i="16"/>
  <c r="AS17" i="16"/>
  <c r="AW17" i="16"/>
  <c r="BA17" i="16"/>
  <c r="AT18" i="16"/>
  <c r="AX18" i="16"/>
  <c r="BB18" i="16"/>
  <c r="AQ19" i="16"/>
  <c r="AV19" i="16"/>
  <c r="AZ19" i="16"/>
  <c r="BD19" i="16"/>
  <c r="AR20" i="16"/>
  <c r="AV20" i="16"/>
  <c r="AZ20" i="16"/>
  <c r="BD20" i="16"/>
  <c r="AU22" i="16"/>
  <c r="AY22" i="16"/>
  <c r="BC22" i="16"/>
  <c r="AT23" i="16"/>
  <c r="BA23" i="16"/>
  <c r="AV24" i="16"/>
  <c r="AZ24" i="16"/>
  <c r="BD24" i="16"/>
  <c r="AX25" i="16"/>
  <c r="BB25" i="16"/>
  <c r="AP28" i="16"/>
  <c r="AT28" i="16"/>
  <c r="AX28" i="16"/>
  <c r="BB28" i="16"/>
  <c r="AP29" i="16"/>
  <c r="AT29" i="16"/>
  <c r="AX29" i="16"/>
  <c r="BB29" i="16"/>
  <c r="AT30" i="16"/>
  <c r="AX30" i="16"/>
  <c r="BB30" i="16"/>
  <c r="AT31" i="16"/>
  <c r="AX31" i="16"/>
  <c r="BB31" i="16"/>
  <c r="AP32" i="16"/>
  <c r="AT32" i="16"/>
  <c r="AX32" i="16"/>
  <c r="BB32" i="16"/>
  <c r="BF23" i="16"/>
  <c r="BF45" i="16"/>
  <c r="BO45" i="16" s="1"/>
  <c r="BF97" i="16"/>
  <c r="BF100" i="16"/>
  <c r="BF102" i="16"/>
  <c r="BF103" i="16"/>
  <c r="BF98" i="16"/>
  <c r="BF99" i="16"/>
  <c r="BF104" i="16"/>
  <c r="BO104" i="16" s="1"/>
  <c r="BF105" i="16"/>
  <c r="BF106" i="16"/>
  <c r="BF107" i="16"/>
  <c r="BF108" i="16"/>
  <c r="BF115" i="16"/>
  <c r="BO115" i="16" s="1"/>
  <c r="BF116" i="16"/>
  <c r="BO116" i="16" s="1"/>
  <c r="BF117" i="16"/>
  <c r="BF118" i="16"/>
  <c r="BF119" i="16"/>
  <c r="BF120" i="16"/>
  <c r="BO120" i="16" s="1"/>
  <c r="BF121" i="16"/>
  <c r="BF122" i="16"/>
  <c r="BF123" i="16"/>
  <c r="BF124" i="16"/>
  <c r="BF125" i="16"/>
  <c r="BF126" i="16"/>
  <c r="BF127" i="16"/>
  <c r="BF128" i="16"/>
  <c r="BF129" i="16"/>
  <c r="AP16" i="16"/>
  <c r="AT16" i="16"/>
  <c r="AX16" i="16"/>
  <c r="BB16" i="16"/>
  <c r="AP17" i="16"/>
  <c r="AT17" i="16"/>
  <c r="AX17" i="16"/>
  <c r="BB17" i="16"/>
  <c r="AQ18" i="16"/>
  <c r="AU18" i="16"/>
  <c r="AY18" i="16"/>
  <c r="BC18" i="16"/>
  <c r="AR19" i="16"/>
  <c r="AW19" i="16"/>
  <c r="BA19" i="16"/>
  <c r="AO20" i="16"/>
  <c r="AS20" i="16"/>
  <c r="AW20" i="16"/>
  <c r="BA20" i="16"/>
  <c r="AV22" i="16"/>
  <c r="AZ22" i="16"/>
  <c r="BD22" i="16"/>
  <c r="AX23" i="16"/>
  <c r="BC23" i="16"/>
  <c r="AT24" i="16"/>
  <c r="AX24" i="16"/>
  <c r="BB24" i="16"/>
  <c r="AP25" i="16"/>
  <c r="AZ25" i="16"/>
  <c r="BD25" i="16"/>
  <c r="AR28" i="16"/>
  <c r="AV28" i="16"/>
  <c r="AZ28" i="16"/>
  <c r="BD28" i="16"/>
  <c r="AR29" i="16"/>
  <c r="AV29" i="16"/>
  <c r="AZ29" i="16"/>
  <c r="BD29" i="16"/>
  <c r="AR30" i="16"/>
  <c r="AV30" i="16"/>
  <c r="AZ30" i="16"/>
  <c r="BD30" i="16"/>
  <c r="AR31" i="16"/>
  <c r="AV31" i="16"/>
  <c r="AZ31" i="16"/>
  <c r="BD31" i="16"/>
  <c r="AR32" i="16"/>
  <c r="AV32" i="16"/>
  <c r="AZ32" i="16"/>
  <c r="BD32" i="16"/>
  <c r="AS33" i="16"/>
  <c r="AW33" i="16"/>
  <c r="BA33" i="16"/>
  <c r="AU34" i="16"/>
  <c r="AY34" i="16"/>
  <c r="BC34" i="16"/>
  <c r="AR35" i="16"/>
  <c r="AW35" i="16"/>
  <c r="BA35" i="16"/>
  <c r="AV36" i="16"/>
  <c r="AZ36" i="16"/>
  <c r="BD36" i="16"/>
  <c r="AR37" i="16"/>
  <c r="AW37" i="16"/>
  <c r="BA37" i="16"/>
  <c r="AO38" i="16"/>
  <c r="AS38" i="16"/>
  <c r="AW38" i="16"/>
  <c r="BA38" i="16"/>
  <c r="AV39" i="16"/>
  <c r="AZ39" i="16"/>
  <c r="BD39" i="16"/>
  <c r="AU40" i="16"/>
  <c r="AY40" i="16"/>
  <c r="BC40" i="16"/>
  <c r="AR41" i="16"/>
  <c r="AV41" i="16"/>
  <c r="BD41" i="16"/>
  <c r="AR42" i="16"/>
  <c r="AV42" i="16"/>
  <c r="AZ42" i="16"/>
  <c r="BD42" i="16"/>
  <c r="AR43" i="16"/>
  <c r="AV43" i="16"/>
  <c r="AZ43" i="16"/>
  <c r="BD43" i="16"/>
  <c r="AR44" i="16"/>
  <c r="AV44" i="16"/>
  <c r="AZ44" i="16"/>
  <c r="BD44" i="16"/>
  <c r="AR45" i="16"/>
  <c r="AV45" i="16"/>
  <c r="AZ45" i="16"/>
  <c r="BD45" i="16"/>
  <c r="AR46" i="16"/>
  <c r="AV46" i="16"/>
  <c r="AZ46" i="16"/>
  <c r="BD46" i="16"/>
  <c r="AR47" i="16"/>
  <c r="AV47" i="16"/>
  <c r="AZ47" i="16"/>
  <c r="BD47" i="16"/>
  <c r="AR48" i="16"/>
  <c r="AV48" i="16"/>
  <c r="AZ48" i="16"/>
  <c r="BD48" i="16"/>
  <c r="AT49" i="16"/>
  <c r="BD23" i="16"/>
  <c r="AU24" i="16"/>
  <c r="AY24" i="16"/>
  <c r="AT25" i="16"/>
  <c r="BA25" i="16"/>
  <c r="AO28" i="16"/>
  <c r="AS28" i="16"/>
  <c r="AW28" i="16"/>
  <c r="BA28" i="16"/>
  <c r="AO29" i="16"/>
  <c r="AS29" i="16"/>
  <c r="AW29" i="16"/>
  <c r="BA29" i="16"/>
  <c r="AS30" i="16"/>
  <c r="AW30" i="16"/>
  <c r="BA30" i="16"/>
  <c r="AS31" i="16"/>
  <c r="AW31" i="16"/>
  <c r="BA31" i="16"/>
  <c r="AO32" i="16"/>
  <c r="AS32" i="16"/>
  <c r="AW32" i="16"/>
  <c r="BA32" i="16"/>
  <c r="AT33" i="16"/>
  <c r="AX33" i="16"/>
  <c r="BB33" i="16"/>
  <c r="AQ34" i="16"/>
  <c r="AV34" i="16"/>
  <c r="AZ34" i="16"/>
  <c r="BD34" i="16"/>
  <c r="AT35" i="16"/>
  <c r="AX35" i="16"/>
  <c r="BB35" i="16"/>
  <c r="AP36" i="16"/>
  <c r="AW36" i="16"/>
  <c r="BA36" i="16"/>
  <c r="AS37" i="16"/>
  <c r="AX37" i="16"/>
  <c r="BB37" i="16"/>
  <c r="AP38" i="16"/>
  <c r="AT38" i="16"/>
  <c r="AX38" i="16"/>
  <c r="BB38" i="16"/>
  <c r="AP39" i="16"/>
  <c r="AW39" i="16"/>
  <c r="BA39" i="16"/>
  <c r="AV40" i="16"/>
  <c r="AZ40" i="16"/>
  <c r="BD40" i="16"/>
  <c r="AS41" i="16"/>
  <c r="AW41" i="16"/>
  <c r="BA41" i="16"/>
  <c r="AO42" i="16"/>
  <c r="AS42" i="16"/>
  <c r="AW42" i="16"/>
  <c r="BA42" i="16"/>
  <c r="AO43" i="16"/>
  <c r="AS43" i="16"/>
  <c r="AW43" i="16"/>
  <c r="BA43" i="16"/>
  <c r="AS44" i="16"/>
  <c r="AW44" i="16"/>
  <c r="BA44" i="16"/>
  <c r="AS45" i="16"/>
  <c r="AW45" i="16"/>
  <c r="BA45" i="16"/>
  <c r="AW46" i="16"/>
  <c r="BA46" i="16"/>
  <c r="AW47" i="16"/>
  <c r="BA47" i="16"/>
  <c r="AO48" i="16"/>
  <c r="AS48" i="16"/>
  <c r="AW48" i="16"/>
  <c r="BA48" i="16"/>
  <c r="AU49" i="16"/>
  <c r="AY49" i="16"/>
  <c r="AQ33" i="16"/>
  <c r="AU33" i="16"/>
  <c r="AY33" i="16"/>
  <c r="BC33" i="16"/>
  <c r="AR34" i="16"/>
  <c r="AW34" i="16"/>
  <c r="BA34" i="16"/>
  <c r="AU35" i="16"/>
  <c r="AY35" i="16"/>
  <c r="BC35" i="16"/>
  <c r="AR36" i="16"/>
  <c r="AX36" i="16"/>
  <c r="BB36" i="16"/>
  <c r="AP37" i="16"/>
  <c r="AU37" i="16"/>
  <c r="AY37" i="16"/>
  <c r="BC37" i="16"/>
  <c r="AQ38" i="16"/>
  <c r="AU38" i="16"/>
  <c r="AY38" i="16"/>
  <c r="BC38" i="16"/>
  <c r="AT39" i="16"/>
  <c r="AX39" i="16"/>
  <c r="BB39" i="16"/>
  <c r="AP40" i="16"/>
  <c r="AW40" i="16"/>
  <c r="BA40" i="16"/>
  <c r="AT41" i="16"/>
  <c r="AX41" i="16"/>
  <c r="BB41" i="16"/>
  <c r="AP42" i="16"/>
  <c r="AT42" i="16"/>
  <c r="AX42" i="16"/>
  <c r="BB42" i="16"/>
  <c r="AP43" i="16"/>
  <c r="AT43" i="16"/>
  <c r="AX43" i="16"/>
  <c r="BB43" i="16"/>
  <c r="AT44" i="16"/>
  <c r="AX44" i="16"/>
  <c r="BB44" i="16"/>
  <c r="AX45" i="16"/>
  <c r="BB45" i="16"/>
  <c r="AP46" i="16"/>
  <c r="AT46" i="16"/>
  <c r="AX46" i="16"/>
  <c r="BB46" i="16"/>
  <c r="AP47" i="16"/>
  <c r="AX47" i="16"/>
  <c r="BB47" i="16"/>
  <c r="AP48" i="16"/>
  <c r="AT48" i="16"/>
  <c r="AX48" i="16"/>
  <c r="BB48" i="16"/>
  <c r="AP49" i="16"/>
  <c r="AV49" i="16"/>
  <c r="AZ49" i="16"/>
  <c r="BD49" i="16"/>
  <c r="AR50" i="16"/>
  <c r="AW50" i="16"/>
  <c r="BA50" i="16"/>
  <c r="AW51" i="16"/>
  <c r="BA51" i="16"/>
  <c r="AT52" i="16"/>
  <c r="AX52" i="16"/>
  <c r="BB52" i="16"/>
  <c r="AT53" i="16"/>
  <c r="AX53" i="16"/>
  <c r="BB53" i="16"/>
  <c r="BB23" i="16"/>
  <c r="AP24" i="16"/>
  <c r="AW24" i="16"/>
  <c r="BA24" i="16"/>
  <c r="AY25" i="16"/>
  <c r="BC25" i="16"/>
  <c r="AQ28" i="16"/>
  <c r="AU28" i="16"/>
  <c r="AY28" i="16"/>
  <c r="BC28" i="16"/>
  <c r="AQ29" i="16"/>
  <c r="AU29" i="16"/>
  <c r="AY29" i="16"/>
  <c r="BC29" i="16"/>
  <c r="AQ30" i="16"/>
  <c r="AU30" i="16"/>
  <c r="AY30" i="16"/>
  <c r="BC30" i="16"/>
  <c r="AQ31" i="16"/>
  <c r="AU31" i="16"/>
  <c r="AY31" i="16"/>
  <c r="BC31" i="16"/>
  <c r="AQ32" i="16"/>
  <c r="AU32" i="16"/>
  <c r="AY32" i="16"/>
  <c r="BC32" i="16"/>
  <c r="AR33" i="16"/>
  <c r="AV33" i="16"/>
  <c r="AZ33" i="16"/>
  <c r="BD33" i="16"/>
  <c r="AS34" i="16"/>
  <c r="AX34" i="16"/>
  <c r="BB34" i="16"/>
  <c r="AP35" i="16"/>
  <c r="AV35" i="16"/>
  <c r="AZ35" i="16"/>
  <c r="BD35" i="16"/>
  <c r="AU36" i="16"/>
  <c r="AY36" i="16"/>
  <c r="BC36" i="16"/>
  <c r="AQ37" i="16"/>
  <c r="AV37" i="16"/>
  <c r="AZ37" i="16"/>
  <c r="BD37" i="16"/>
  <c r="AR38" i="16"/>
  <c r="AV38" i="16"/>
  <c r="AZ38" i="16"/>
  <c r="BD38" i="16"/>
  <c r="AU39" i="16"/>
  <c r="AY39" i="16"/>
  <c r="BC39" i="16"/>
  <c r="AT40" i="16"/>
  <c r="AX40" i="16"/>
  <c r="AQ41" i="16"/>
  <c r="AU41" i="16"/>
  <c r="BC41" i="16"/>
  <c r="AQ42" i="16"/>
  <c r="AU42" i="16"/>
  <c r="AY42" i="16"/>
  <c r="BC42" i="16"/>
  <c r="AQ43" i="16"/>
  <c r="AU43" i="16"/>
  <c r="AY43" i="16"/>
  <c r="BC43" i="16"/>
  <c r="AQ44" i="16"/>
  <c r="AU44" i="16"/>
  <c r="AY44" i="16"/>
  <c r="BC44" i="16"/>
  <c r="AQ45" i="16"/>
  <c r="AU45" i="16"/>
  <c r="AY45" i="16"/>
  <c r="BC45" i="16"/>
  <c r="AU46" i="16"/>
  <c r="AY46" i="16"/>
  <c r="BC46" i="16"/>
  <c r="AU47" i="16"/>
  <c r="AY47" i="16"/>
  <c r="BC47" i="16"/>
  <c r="AQ48" i="16"/>
  <c r="AU48" i="16"/>
  <c r="AY48" i="16"/>
  <c r="BC48" i="16"/>
  <c r="AR49" i="16"/>
  <c r="AX49" i="16"/>
  <c r="AP50" i="16"/>
  <c r="AU50" i="16"/>
  <c r="AY50" i="16"/>
  <c r="BC50" i="16"/>
  <c r="AU51" i="16"/>
  <c r="AY51" i="16"/>
  <c r="AR52" i="16"/>
  <c r="AV52" i="16"/>
  <c r="BD52" i="16"/>
  <c r="AP53" i="16"/>
  <c r="AV53" i="16"/>
  <c r="AZ53" i="16"/>
  <c r="AT69" i="16"/>
  <c r="AX69" i="16"/>
  <c r="AP70" i="16"/>
  <c r="AT70" i="16"/>
  <c r="AX70" i="16"/>
  <c r="BB70" i="16"/>
  <c r="AP71" i="16"/>
  <c r="AT71" i="16"/>
  <c r="AX71" i="16"/>
  <c r="BB71" i="16"/>
  <c r="AP72" i="16"/>
  <c r="AV72" i="16"/>
  <c r="AZ72" i="16"/>
  <c r="BD72" i="16"/>
  <c r="AR73" i="16"/>
  <c r="AW73" i="16"/>
  <c r="BC73" i="16"/>
  <c r="AU74" i="16"/>
  <c r="BC49" i="16"/>
  <c r="AV50" i="16"/>
  <c r="AZ50" i="16"/>
  <c r="BD50" i="16"/>
  <c r="AR51" i="16"/>
  <c r="AV51" i="16"/>
  <c r="AZ51" i="16"/>
  <c r="AS52" i="16"/>
  <c r="AW52" i="16"/>
  <c r="BA52" i="16"/>
  <c r="AR53" i="16"/>
  <c r="AW53" i="16"/>
  <c r="BA53" i="16"/>
  <c r="AU69" i="16"/>
  <c r="AY69" i="16"/>
  <c r="BC69" i="16"/>
  <c r="AQ70" i="16"/>
  <c r="AU70" i="16"/>
  <c r="AY70" i="16"/>
  <c r="BC70" i="16"/>
  <c r="AQ71" i="16"/>
  <c r="AU71" i="16"/>
  <c r="AY71" i="16"/>
  <c r="BC71" i="16"/>
  <c r="AR72" i="16"/>
  <c r="AW72" i="16"/>
  <c r="AT73" i="16"/>
  <c r="AY73" i="16"/>
  <c r="BD73" i="16"/>
  <c r="AR74" i="16"/>
  <c r="AP69" i="16"/>
  <c r="AV69" i="16"/>
  <c r="AZ69" i="16"/>
  <c r="BD69" i="16"/>
  <c r="AR70" i="16"/>
  <c r="AV70" i="16"/>
  <c r="AZ70" i="16"/>
  <c r="BD70" i="16"/>
  <c r="AR71" i="16"/>
  <c r="AV71" i="16"/>
  <c r="AZ71" i="16"/>
  <c r="BD71" i="16"/>
  <c r="AT72" i="16"/>
  <c r="AX72" i="16"/>
  <c r="AP73" i="16"/>
  <c r="AU73" i="16"/>
  <c r="AZ73" i="16"/>
  <c r="AW49" i="16"/>
  <c r="AT50" i="16"/>
  <c r="AP51" i="16"/>
  <c r="AT51" i="16"/>
  <c r="AX51" i="16"/>
  <c r="BB51" i="16"/>
  <c r="AQ52" i="16"/>
  <c r="AU52" i="16"/>
  <c r="BC52" i="16"/>
  <c r="AU53" i="16"/>
  <c r="AY53" i="16"/>
  <c r="AR69" i="16"/>
  <c r="AW69" i="16"/>
  <c r="AO70" i="16"/>
  <c r="AS70" i="16"/>
  <c r="AW70" i="16"/>
  <c r="BA70" i="16"/>
  <c r="AO71" i="16"/>
  <c r="AS71" i="16"/>
  <c r="AW71" i="16"/>
  <c r="BA71" i="16"/>
  <c r="AU72" i="16"/>
  <c r="AY72" i="16"/>
  <c r="BC72" i="16"/>
  <c r="AV73" i="16"/>
  <c r="BA73" i="16"/>
  <c r="AP74" i="16"/>
  <c r="AT74" i="16"/>
  <c r="AX74" i="16"/>
  <c r="AY74" i="16"/>
  <c r="AR75" i="16"/>
  <c r="AV75" i="16"/>
  <c r="BB75" i="16"/>
  <c r="AP76" i="16"/>
  <c r="AV76" i="16"/>
  <c r="AZ76" i="16"/>
  <c r="BD76" i="16"/>
  <c r="AP77" i="16"/>
  <c r="AT77" i="16"/>
  <c r="AX77" i="16"/>
  <c r="BB77" i="16"/>
  <c r="AP78" i="16"/>
  <c r="AT78" i="16"/>
  <c r="AX78" i="16"/>
  <c r="BB78" i="16"/>
  <c r="AP79" i="16"/>
  <c r="AV79" i="16"/>
  <c r="AZ79" i="16"/>
  <c r="AP80" i="16"/>
  <c r="AV80" i="16"/>
  <c r="AZ80" i="16"/>
  <c r="AP82" i="16"/>
  <c r="AV82" i="16"/>
  <c r="AZ82" i="16"/>
  <c r="AU83" i="16"/>
  <c r="AY83" i="16"/>
  <c r="BC83" i="16"/>
  <c r="AR84" i="16"/>
  <c r="AW84" i="16"/>
  <c r="AU85" i="16"/>
  <c r="AY85" i="16"/>
  <c r="BC85" i="16"/>
  <c r="AR87" i="16"/>
  <c r="AW87" i="16"/>
  <c r="AO88" i="16"/>
  <c r="BH88" i="16" s="1"/>
  <c r="AS88" i="16"/>
  <c r="AW88" i="16"/>
  <c r="BA88" i="16"/>
  <c r="AO89" i="16"/>
  <c r="BH89" i="16" s="1"/>
  <c r="AS89" i="16"/>
  <c r="AW89" i="16"/>
  <c r="BA89" i="16"/>
  <c r="AO90" i="16"/>
  <c r="BH90" i="16" s="1"/>
  <c r="AS90" i="16"/>
  <c r="AW90" i="16"/>
  <c r="BA90" i="16"/>
  <c r="AO91" i="16"/>
  <c r="BH91" i="16" s="1"/>
  <c r="AS91" i="16"/>
  <c r="AW91" i="16"/>
  <c r="BA91" i="16"/>
  <c r="AO92" i="16"/>
  <c r="BH92" i="16" s="1"/>
  <c r="AS92" i="16"/>
  <c r="AW92" i="16"/>
  <c r="BA92" i="16"/>
  <c r="AO93" i="16"/>
  <c r="BH93" i="16" s="1"/>
  <c r="AS93" i="16"/>
  <c r="AW93" i="16"/>
  <c r="BA93" i="16"/>
  <c r="AO94" i="16"/>
  <c r="AS94" i="16"/>
  <c r="AW94" i="16"/>
  <c r="BA94" i="16"/>
  <c r="AO95" i="16"/>
  <c r="AS95" i="16"/>
  <c r="AW95" i="16"/>
  <c r="BA95" i="16"/>
  <c r="AT96" i="16"/>
  <c r="AX96" i="16"/>
  <c r="AR97" i="16"/>
  <c r="AV97" i="16"/>
  <c r="AV74" i="16"/>
  <c r="AZ74" i="16"/>
  <c r="AS75" i="16"/>
  <c r="AW75" i="16"/>
  <c r="BC75" i="16"/>
  <c r="AR76" i="16"/>
  <c r="AW76" i="16"/>
  <c r="BA76" i="16"/>
  <c r="AQ77" i="16"/>
  <c r="AU77" i="16"/>
  <c r="AY77" i="16"/>
  <c r="AQ78" i="16"/>
  <c r="AU78" i="16"/>
  <c r="AY78" i="16"/>
  <c r="BC78" i="16"/>
  <c r="AR79" i="16"/>
  <c r="AW79" i="16"/>
  <c r="AR80" i="16"/>
  <c r="AW80" i="16"/>
  <c r="AR82" i="16"/>
  <c r="AW82" i="16"/>
  <c r="AP83" i="16"/>
  <c r="AV83" i="16"/>
  <c r="AZ83" i="16"/>
  <c r="BD83" i="16"/>
  <c r="AT84" i="16"/>
  <c r="AX84" i="16"/>
  <c r="AP85" i="16"/>
  <c r="AV85" i="16"/>
  <c r="AZ85" i="16"/>
  <c r="BD85" i="16"/>
  <c r="AT87" i="16"/>
  <c r="AX87" i="16"/>
  <c r="AP88" i="16"/>
  <c r="AT88" i="16"/>
  <c r="AX88" i="16"/>
  <c r="BB88" i="16"/>
  <c r="AP89" i="16"/>
  <c r="AT89" i="16"/>
  <c r="AX89" i="16"/>
  <c r="BB89" i="16"/>
  <c r="AP90" i="16"/>
  <c r="AT90" i="16"/>
  <c r="AX90" i="16"/>
  <c r="BB90" i="16"/>
  <c r="AP91" i="16"/>
  <c r="AT91" i="16"/>
  <c r="AX91" i="16"/>
  <c r="BB91" i="16"/>
  <c r="AP92" i="16"/>
  <c r="AT92" i="16"/>
  <c r="AX92" i="16"/>
  <c r="BB92" i="16"/>
  <c r="AP93" i="16"/>
  <c r="AT93" i="16"/>
  <c r="AX93" i="16"/>
  <c r="BB93" i="16"/>
  <c r="AP94" i="16"/>
  <c r="AT94" i="16"/>
  <c r="AX94" i="16"/>
  <c r="BB94" i="16"/>
  <c r="AP95" i="16"/>
  <c r="AT95" i="16"/>
  <c r="AX95" i="16"/>
  <c r="BB95" i="16"/>
  <c r="AQ96" i="16"/>
  <c r="AU96" i="16"/>
  <c r="AY96" i="16"/>
  <c r="BC96" i="16"/>
  <c r="AS97" i="16"/>
  <c r="AW97" i="16"/>
  <c r="AW74" i="16"/>
  <c r="BA74" i="16"/>
  <c r="AT75" i="16"/>
  <c r="AX75" i="16"/>
  <c r="BD75" i="16"/>
  <c r="AT76" i="16"/>
  <c r="AR77" i="16"/>
  <c r="AV77" i="16"/>
  <c r="AZ77" i="16"/>
  <c r="AR78" i="16"/>
  <c r="AV78" i="16"/>
  <c r="AZ78" i="16"/>
  <c r="BD78" i="16"/>
  <c r="AT79" i="16"/>
  <c r="AX79" i="16"/>
  <c r="BC79" i="16"/>
  <c r="AT80" i="16"/>
  <c r="AX80" i="16"/>
  <c r="BC80" i="16"/>
  <c r="AT82" i="16"/>
  <c r="AX82" i="16"/>
  <c r="BC82" i="16"/>
  <c r="AR83" i="16"/>
  <c r="AW83" i="16"/>
  <c r="AU84" i="16"/>
  <c r="AY84" i="16"/>
  <c r="BC84" i="16"/>
  <c r="AR85" i="16"/>
  <c r="AW85" i="16"/>
  <c r="AU87" i="16"/>
  <c r="AY87" i="16"/>
  <c r="BC87" i="16"/>
  <c r="AQ88" i="16"/>
  <c r="AU88" i="16"/>
  <c r="AY88" i="16"/>
  <c r="BC88" i="16"/>
  <c r="AQ89" i="16"/>
  <c r="AU89" i="16"/>
  <c r="AY89" i="16"/>
  <c r="BC89" i="16"/>
  <c r="AQ90" i="16"/>
  <c r="AU90" i="16"/>
  <c r="AY90" i="16"/>
  <c r="BC90" i="16"/>
  <c r="AQ91" i="16"/>
  <c r="AU91" i="16"/>
  <c r="AY91" i="16"/>
  <c r="BC91" i="16"/>
  <c r="AQ92" i="16"/>
  <c r="AU92" i="16"/>
  <c r="AY92" i="16"/>
  <c r="BC92" i="16"/>
  <c r="AQ93" i="16"/>
  <c r="AU93" i="16"/>
  <c r="AY93" i="16"/>
  <c r="BC93" i="16"/>
  <c r="AQ94" i="16"/>
  <c r="AU94" i="16"/>
  <c r="AY94" i="16"/>
  <c r="BC94" i="16"/>
  <c r="AQ95" i="16"/>
  <c r="AU95" i="16"/>
  <c r="AY95" i="16"/>
  <c r="BC95" i="16"/>
  <c r="AR96" i="16"/>
  <c r="AV96" i="16"/>
  <c r="AZ96" i="16"/>
  <c r="BD96" i="16"/>
  <c r="BB74" i="16"/>
  <c r="AQ75" i="16"/>
  <c r="AU75" i="16"/>
  <c r="BA75" i="16"/>
  <c r="AU76" i="16"/>
  <c r="AY76" i="16"/>
  <c r="BC76" i="16"/>
  <c r="AS77" i="16"/>
  <c r="AW77" i="16"/>
  <c r="BA77" i="16"/>
  <c r="AO78" i="16"/>
  <c r="BH78" i="16" s="1"/>
  <c r="AS78" i="16"/>
  <c r="AW78" i="16"/>
  <c r="BA78" i="16"/>
  <c r="AU79" i="16"/>
  <c r="AY79" i="16"/>
  <c r="BD79" i="16"/>
  <c r="AU80" i="16"/>
  <c r="AY80" i="16"/>
  <c r="BD80" i="16"/>
  <c r="AU82" i="16"/>
  <c r="AY82" i="16"/>
  <c r="BD82" i="16"/>
  <c r="AT83" i="16"/>
  <c r="AX83" i="16"/>
  <c r="AP84" i="16"/>
  <c r="AV84" i="16"/>
  <c r="AZ84" i="16"/>
  <c r="BD84" i="16"/>
  <c r="AT85" i="16"/>
  <c r="AX85" i="16"/>
  <c r="AP87" i="16"/>
  <c r="AV87" i="16"/>
  <c r="AZ87" i="16"/>
  <c r="BD87" i="16"/>
  <c r="AR88" i="16"/>
  <c r="AV88" i="16"/>
  <c r="AZ88" i="16"/>
  <c r="BD88" i="16"/>
  <c r="AR89" i="16"/>
  <c r="AV89" i="16"/>
  <c r="AZ89" i="16"/>
  <c r="BD89" i="16"/>
  <c r="AR90" i="16"/>
  <c r="AV90" i="16"/>
  <c r="AZ90" i="16"/>
  <c r="BD90" i="16"/>
  <c r="AR91" i="16"/>
  <c r="AV91" i="16"/>
  <c r="AZ91" i="16"/>
  <c r="BD91" i="16"/>
  <c r="AR92" i="16"/>
  <c r="AV92" i="16"/>
  <c r="AZ92" i="16"/>
  <c r="BD92" i="16"/>
  <c r="AR93" i="16"/>
  <c r="AV93" i="16"/>
  <c r="AZ93" i="16"/>
  <c r="BD93" i="16"/>
  <c r="AR94" i="16"/>
  <c r="AV94" i="16"/>
  <c r="AZ94" i="16"/>
  <c r="BD94" i="16"/>
  <c r="AR95" i="16"/>
  <c r="AV95" i="16"/>
  <c r="AZ95" i="16"/>
  <c r="BD95" i="16"/>
  <c r="AS96" i="16"/>
  <c r="AW96" i="16"/>
  <c r="AZ97" i="16"/>
  <c r="AR100" i="16"/>
  <c r="AV100" i="16"/>
  <c r="AZ100" i="16"/>
  <c r="AR102" i="16"/>
  <c r="AV102" i="16"/>
  <c r="AZ102" i="16"/>
  <c r="AR103" i="16"/>
  <c r="AV103" i="16"/>
  <c r="AZ103" i="16"/>
  <c r="AR98" i="16"/>
  <c r="AV98" i="16"/>
  <c r="AZ98" i="16"/>
  <c r="AR99" i="16"/>
  <c r="AV99" i="16"/>
  <c r="AZ99" i="16"/>
  <c r="AP104" i="16"/>
  <c r="AT104" i="16"/>
  <c r="AX104" i="16"/>
  <c r="BB104" i="16"/>
  <c r="AR105" i="16"/>
  <c r="AV105" i="16"/>
  <c r="AZ105" i="16"/>
  <c r="AR106" i="16"/>
  <c r="AV106" i="16"/>
  <c r="AZ106" i="16"/>
  <c r="AR107" i="16"/>
  <c r="AV107" i="16"/>
  <c r="AZ107" i="16"/>
  <c r="AR108" i="16"/>
  <c r="AV108" i="16"/>
  <c r="AZ108" i="16"/>
  <c r="AP115" i="16"/>
  <c r="AT115" i="16"/>
  <c r="AX115" i="16"/>
  <c r="BB115" i="16"/>
  <c r="AQ116" i="16"/>
  <c r="AU116" i="16"/>
  <c r="AY116" i="16"/>
  <c r="BC116" i="16"/>
  <c r="AS117" i="16"/>
  <c r="AW117" i="16"/>
  <c r="BC117" i="16"/>
  <c r="AS118" i="16"/>
  <c r="AW118" i="16"/>
  <c r="BC118" i="16"/>
  <c r="AS119" i="16"/>
  <c r="AW119" i="16"/>
  <c r="BC119" i="16"/>
  <c r="AQ120" i="16"/>
  <c r="AU120" i="16"/>
  <c r="AY120" i="16"/>
  <c r="BC120" i="16"/>
  <c r="AS121" i="16"/>
  <c r="AW121" i="16"/>
  <c r="BC121" i="16"/>
  <c r="AS122" i="16"/>
  <c r="AW122" i="16"/>
  <c r="BC122" i="16"/>
  <c r="AS123" i="16"/>
  <c r="AW123" i="16"/>
  <c r="BC123" i="16"/>
  <c r="AS124" i="16"/>
  <c r="AW124" i="16"/>
  <c r="BC124" i="16"/>
  <c r="AS125" i="16"/>
  <c r="AW125" i="16"/>
  <c r="BC125" i="16"/>
  <c r="AS126" i="16"/>
  <c r="AW126" i="16"/>
  <c r="BC126" i="16"/>
  <c r="AS127" i="16"/>
  <c r="AW127" i="16"/>
  <c r="BC127" i="16"/>
  <c r="AS128" i="16"/>
  <c r="AW128" i="16"/>
  <c r="BC128" i="16"/>
  <c r="AS129" i="16"/>
  <c r="AW129" i="16"/>
  <c r="BC129" i="16"/>
  <c r="BC97" i="16"/>
  <c r="AS100" i="16"/>
  <c r="AW100" i="16"/>
  <c r="BC100" i="16"/>
  <c r="AS102" i="16"/>
  <c r="AW102" i="16"/>
  <c r="BC102" i="16"/>
  <c r="AS103" i="16"/>
  <c r="AW103" i="16"/>
  <c r="BC103" i="16"/>
  <c r="AS98" i="16"/>
  <c r="AW98" i="16"/>
  <c r="BC98" i="16"/>
  <c r="AS99" i="16"/>
  <c r="AW99" i="16"/>
  <c r="BC99" i="16"/>
  <c r="AQ104" i="16"/>
  <c r="AU104" i="16"/>
  <c r="AY104" i="16"/>
  <c r="BC104" i="16"/>
  <c r="AS105" i="16"/>
  <c r="AW105" i="16"/>
  <c r="BC105" i="16"/>
  <c r="AS106" i="16"/>
  <c r="AW106" i="16"/>
  <c r="BC106" i="16"/>
  <c r="AS107" i="16"/>
  <c r="AW107" i="16"/>
  <c r="BC107" i="16"/>
  <c r="AS108" i="16"/>
  <c r="AW108" i="16"/>
  <c r="BC108" i="16"/>
  <c r="AQ115" i="16"/>
  <c r="AU115" i="16"/>
  <c r="AY115" i="16"/>
  <c r="BC115" i="16"/>
  <c r="AR116" i="16"/>
  <c r="AV116" i="16"/>
  <c r="AZ116" i="16"/>
  <c r="BD116" i="16"/>
  <c r="AT117" i="16"/>
  <c r="AX117" i="16"/>
  <c r="BD117" i="16"/>
  <c r="AT118" i="16"/>
  <c r="AX118" i="16"/>
  <c r="BD118" i="16"/>
  <c r="AT119" i="16"/>
  <c r="AX119" i="16"/>
  <c r="BD119" i="16"/>
  <c r="AR120" i="16"/>
  <c r="AV120" i="16"/>
  <c r="AZ120" i="16"/>
  <c r="BD120" i="16"/>
  <c r="AT121" i="16"/>
  <c r="AX121" i="16"/>
  <c r="BD121" i="16"/>
  <c r="AT122" i="16"/>
  <c r="AX122" i="16"/>
  <c r="BD122" i="16"/>
  <c r="AT123" i="16"/>
  <c r="AX123" i="16"/>
  <c r="BD123" i="16"/>
  <c r="AT124" i="16"/>
  <c r="AX124" i="16"/>
  <c r="BD124" i="16"/>
  <c r="AT125" i="16"/>
  <c r="AX125" i="16"/>
  <c r="BD125" i="16"/>
  <c r="AT126" i="16"/>
  <c r="AX126" i="16"/>
  <c r="BD126" i="16"/>
  <c r="AT127" i="16"/>
  <c r="AX127" i="16"/>
  <c r="BD127" i="16"/>
  <c r="AT128" i="16"/>
  <c r="AX128" i="16"/>
  <c r="BD128" i="16"/>
  <c r="AT129" i="16"/>
  <c r="AX129" i="16"/>
  <c r="BD129" i="16"/>
  <c r="AT97" i="16"/>
  <c r="AX97" i="16"/>
  <c r="BD97" i="16"/>
  <c r="AT100" i="16"/>
  <c r="AX100" i="16"/>
  <c r="BD100" i="16"/>
  <c r="AT102" i="16"/>
  <c r="AX102" i="16"/>
  <c r="BD102" i="16"/>
  <c r="AT103" i="16"/>
  <c r="AX103" i="16"/>
  <c r="BD103" i="16"/>
  <c r="AT98" i="16"/>
  <c r="AX98" i="16"/>
  <c r="BD98" i="16"/>
  <c r="AT99" i="16"/>
  <c r="AX99" i="16"/>
  <c r="BD99" i="16"/>
  <c r="AR104" i="16"/>
  <c r="AV104" i="16"/>
  <c r="AZ104" i="16"/>
  <c r="BD104" i="16"/>
  <c r="AT105" i="16"/>
  <c r="AX105" i="16"/>
  <c r="BD105" i="16"/>
  <c r="AT106" i="16"/>
  <c r="AX106" i="16"/>
  <c r="BD106" i="16"/>
  <c r="AT107" i="16"/>
  <c r="AX107" i="16"/>
  <c r="BD107" i="16"/>
  <c r="AT108" i="16"/>
  <c r="AX108" i="16"/>
  <c r="BD108" i="16"/>
  <c r="AR115" i="16"/>
  <c r="AV115" i="16"/>
  <c r="AZ115" i="16"/>
  <c r="BD115" i="16"/>
  <c r="AS116" i="16"/>
  <c r="AW116" i="16"/>
  <c r="AQ117" i="16"/>
  <c r="AU117" i="16"/>
  <c r="AY117" i="16"/>
  <c r="AQ118" i="16"/>
  <c r="AU118" i="16"/>
  <c r="AY118" i="16"/>
  <c r="AQ119" i="16"/>
  <c r="AU119" i="16"/>
  <c r="AY119" i="16"/>
  <c r="AO120" i="16"/>
  <c r="AS120" i="16"/>
  <c r="AW120" i="16"/>
  <c r="BA120" i="16"/>
  <c r="AQ121" i="16"/>
  <c r="AU121" i="16"/>
  <c r="AY121" i="16"/>
  <c r="AQ122" i="16"/>
  <c r="AU122" i="16"/>
  <c r="AY122" i="16"/>
  <c r="AQ123" i="16"/>
  <c r="AU123" i="16"/>
  <c r="AY123" i="16"/>
  <c r="AQ124" i="16"/>
  <c r="AU124" i="16"/>
  <c r="AY124" i="16"/>
  <c r="AQ125" i="16"/>
  <c r="AU125" i="16"/>
  <c r="AY125" i="16"/>
  <c r="AQ126" i="16"/>
  <c r="AU126" i="16"/>
  <c r="AY126" i="16"/>
  <c r="AQ127" i="16"/>
  <c r="AU127" i="16"/>
  <c r="AY127" i="16"/>
  <c r="AQ128" i="16"/>
  <c r="AU128" i="16"/>
  <c r="AY128" i="16"/>
  <c r="AQ129" i="16"/>
  <c r="AU129" i="16"/>
  <c r="AY129" i="16"/>
  <c r="AQ97" i="16"/>
  <c r="AU97" i="16"/>
  <c r="AY97" i="16"/>
  <c r="AQ100" i="16"/>
  <c r="AU100" i="16"/>
  <c r="AY100" i="16"/>
  <c r="AQ102" i="16"/>
  <c r="AU102" i="16"/>
  <c r="AY102" i="16"/>
  <c r="AQ103" i="16"/>
  <c r="AU103" i="16"/>
  <c r="AY103" i="16"/>
  <c r="AQ98" i="16"/>
  <c r="AU98" i="16"/>
  <c r="AY98" i="16"/>
  <c r="AQ99" i="16"/>
  <c r="AU99" i="16"/>
  <c r="AY99" i="16"/>
  <c r="AO104" i="16"/>
  <c r="AS104" i="16"/>
  <c r="AW104" i="16"/>
  <c r="BA104" i="16"/>
  <c r="AQ105" i="16"/>
  <c r="AU105" i="16"/>
  <c r="AY105" i="16"/>
  <c r="AQ106" i="16"/>
  <c r="AU106" i="16"/>
  <c r="AY106" i="16"/>
  <c r="AQ107" i="16"/>
  <c r="AU107" i="16"/>
  <c r="AY107" i="16"/>
  <c r="AQ108" i="16"/>
  <c r="AU108" i="16"/>
  <c r="AY108" i="16"/>
  <c r="AO115" i="16"/>
  <c r="AS115" i="16"/>
  <c r="AW115" i="16"/>
  <c r="BA115" i="16"/>
  <c r="AT116" i="16"/>
  <c r="AX116" i="16"/>
  <c r="AR117" i="16"/>
  <c r="AV117" i="16"/>
  <c r="AZ117" i="16"/>
  <c r="AR118" i="16"/>
  <c r="AV118" i="16"/>
  <c r="AZ118" i="16"/>
  <c r="AR119" i="16"/>
  <c r="AV119" i="16"/>
  <c r="AZ119" i="16"/>
  <c r="AP120" i="16"/>
  <c r="AT120" i="16"/>
  <c r="AX120" i="16"/>
  <c r="BB120" i="16"/>
  <c r="AR121" i="16"/>
  <c r="AV121" i="16"/>
  <c r="AZ121" i="16"/>
  <c r="AR122" i="16"/>
  <c r="AV122" i="16"/>
  <c r="AZ122" i="16"/>
  <c r="AR123" i="16"/>
  <c r="AV123" i="16"/>
  <c r="AZ123" i="16"/>
  <c r="AR124" i="16"/>
  <c r="AV124" i="16"/>
  <c r="AZ124" i="16"/>
  <c r="AR125" i="16"/>
  <c r="AV125" i="16"/>
  <c r="AZ125" i="16"/>
  <c r="AR126" i="16"/>
  <c r="AV126" i="16"/>
  <c r="AZ126" i="16"/>
  <c r="AR127" i="16"/>
  <c r="AV127" i="16"/>
  <c r="AZ127" i="16"/>
  <c r="AR128" i="16"/>
  <c r="AV128" i="16"/>
  <c r="AZ128" i="16"/>
  <c r="AR129" i="16"/>
  <c r="AV129" i="16"/>
  <c r="AZ129" i="16"/>
  <c r="N29" i="20"/>
  <c r="G99" i="19" s="1"/>
  <c r="K35" i="20"/>
  <c r="H148" i="19" s="1"/>
  <c r="AQ51" i="16"/>
  <c r="BC51" i="16"/>
  <c r="N37" i="20"/>
  <c r="G101" i="19" s="1"/>
  <c r="BD53" i="16"/>
  <c r="BB69" i="16"/>
  <c r="AQ74" i="16"/>
  <c r="BC74" i="16"/>
  <c r="AO83" i="16"/>
  <c r="BH83" i="16" s="1"/>
  <c r="BA84" i="16"/>
  <c r="E65" i="20"/>
  <c r="AO85" i="16"/>
  <c r="BH85" i="16" s="1"/>
  <c r="BA87" i="16"/>
  <c r="E69" i="20"/>
  <c r="AO96" i="16"/>
  <c r="K69" i="20"/>
  <c r="BB96" i="16"/>
  <c r="Y73" i="20"/>
  <c r="Y91" i="20"/>
  <c r="AE92" i="20"/>
  <c r="Y70" i="20"/>
  <c r="AD72" i="20"/>
  <c r="AE101" i="20"/>
  <c r="Y100" i="20"/>
  <c r="AE95" i="20"/>
  <c r="AD91" i="20"/>
  <c r="AD99" i="20"/>
  <c r="AD73" i="20"/>
  <c r="AX73" i="20"/>
  <c r="AO82" i="2"/>
  <c r="BH82" i="2" s="1"/>
  <c r="BK80" i="9"/>
  <c r="AS98" i="20"/>
  <c r="BM96" i="20"/>
  <c r="AS94" i="20"/>
  <c r="AY91" i="20"/>
  <c r="BM91" i="20"/>
  <c r="O16" i="20"/>
  <c r="E20" i="20"/>
  <c r="AO30" i="16"/>
  <c r="BH30" i="16" s="1"/>
  <c r="E21" i="20"/>
  <c r="AO31" i="16"/>
  <c r="BH31" i="16" s="1"/>
  <c r="E25" i="20"/>
  <c r="AO37" i="16"/>
  <c r="BH37" i="16" s="1"/>
  <c r="E35" i="20"/>
  <c r="H147" i="19" s="1"/>
  <c r="BD51" i="16"/>
  <c r="AO69" i="16"/>
  <c r="BH69" i="16" s="1"/>
  <c r="J59" i="20"/>
  <c r="H139" i="19" s="1"/>
  <c r="E60" i="20"/>
  <c r="G152" i="19" s="1"/>
  <c r="BD74" i="16"/>
  <c r="BC77" i="16"/>
  <c r="BB79" i="16"/>
  <c r="BB82" i="16"/>
  <c r="BB84" i="16"/>
  <c r="BB87" i="16"/>
  <c r="AE70" i="20"/>
  <c r="AD98" i="20"/>
  <c r="AD92" i="20"/>
  <c r="AE90" i="20"/>
  <c r="Y99" i="20"/>
  <c r="AY71" i="20"/>
  <c r="BA82" i="9"/>
  <c r="AO51" i="16"/>
  <c r="BH51" i="16" s="1"/>
  <c r="AS51" i="16"/>
  <c r="K59" i="20"/>
  <c r="H153" i="19" s="1"/>
  <c r="AO74" i="16"/>
  <c r="BH74" i="16" s="1"/>
  <c r="AS74" i="16"/>
  <c r="K62" i="20"/>
  <c r="BD77" i="16"/>
  <c r="BA83" i="16"/>
  <c r="AO84" i="16"/>
  <c r="BH84" i="16" s="1"/>
  <c r="J65" i="20"/>
  <c r="BA85" i="16"/>
  <c r="AO87" i="16"/>
  <c r="BH87" i="16" s="1"/>
  <c r="J89" i="20"/>
  <c r="BA116" i="16"/>
  <c r="AD78" i="20"/>
  <c r="AD71" i="20"/>
  <c r="AD101" i="20"/>
  <c r="AE98" i="20"/>
  <c r="Y95" i="20"/>
  <c r="Y101" i="20"/>
  <c r="Y98" i="20"/>
  <c r="Y92" i="20"/>
  <c r="AD90" i="20"/>
  <c r="AE97" i="20"/>
  <c r="BR70" i="20"/>
  <c r="BB82" i="9"/>
  <c r="BK82" i="8"/>
  <c r="AS99" i="20"/>
  <c r="AS95" i="20"/>
  <c r="AY92" i="20"/>
  <c r="AS92" i="20"/>
  <c r="AY90" i="20"/>
  <c r="AS90" i="20"/>
  <c r="BR72" i="20"/>
  <c r="K28" i="20"/>
  <c r="G78" i="19" s="1"/>
  <c r="M29" i="20"/>
  <c r="G98" i="19" s="1"/>
  <c r="J35" i="20"/>
  <c r="G139" i="19" s="1"/>
  <c r="E36" i="20"/>
  <c r="G147" i="19" s="1"/>
  <c r="L36" i="20"/>
  <c r="G138" i="19" s="1"/>
  <c r="K36" i="20"/>
  <c r="G148" i="19" s="1"/>
  <c r="M37" i="20"/>
  <c r="G100" i="19" s="1"/>
  <c r="E38" i="20"/>
  <c r="BC53" i="16"/>
  <c r="BA69" i="16"/>
  <c r="E59" i="20"/>
  <c r="H152" i="19" s="1"/>
  <c r="E62" i="20"/>
  <c r="E63" i="20"/>
  <c r="AO77" i="16"/>
  <c r="BH77" i="16" s="1"/>
  <c r="AO79" i="16"/>
  <c r="BH79" i="16" s="1"/>
  <c r="BB83" i="16"/>
  <c r="K65" i="20"/>
  <c r="BB85" i="16"/>
  <c r="J69" i="20"/>
  <c r="BA96" i="16"/>
  <c r="E89" i="20"/>
  <c r="AO116" i="16"/>
  <c r="BH116" i="16" s="1"/>
  <c r="K89" i="20"/>
  <c r="BB116" i="16"/>
  <c r="AE78" i="20"/>
  <c r="AE73" i="20"/>
  <c r="AE96" i="20"/>
  <c r="AD96" i="20"/>
  <c r="Y78" i="20"/>
  <c r="AE100" i="20"/>
  <c r="Y96" i="20"/>
  <c r="Y90" i="20"/>
  <c r="AD95" i="20"/>
  <c r="AD70" i="20"/>
  <c r="BB82" i="2"/>
  <c r="U18" i="17"/>
  <c r="AB71" i="3"/>
  <c r="AB70" i="3" s="1"/>
  <c r="AB134" i="3" s="1"/>
  <c r="AB95" i="3"/>
  <c r="AA104" i="3"/>
  <c r="AC104" i="3" s="1"/>
  <c r="BE110" i="16"/>
  <c r="BE109" i="16"/>
  <c r="BE111" i="16"/>
  <c r="BE113" i="16"/>
  <c r="BE114" i="16"/>
  <c r="BE112" i="16"/>
  <c r="AB29" i="3"/>
  <c r="AB48" i="3"/>
  <c r="AE81" i="20"/>
  <c r="AE80" i="20"/>
  <c r="BR86" i="20"/>
  <c r="BR85" i="20"/>
  <c r="BR81" i="20"/>
  <c r="BM86" i="20"/>
  <c r="BM85" i="20"/>
  <c r="BM81" i="20"/>
  <c r="AS85" i="20"/>
  <c r="AS86" i="20"/>
  <c r="AS81" i="20"/>
  <c r="Y81" i="20"/>
  <c r="AE79" i="20"/>
  <c r="AE85" i="20"/>
  <c r="AD85" i="20"/>
  <c r="AD81" i="20"/>
  <c r="AD80" i="20"/>
  <c r="AD79" i="20"/>
  <c r="Y79" i="20"/>
  <c r="Y85" i="20"/>
  <c r="BS86" i="20"/>
  <c r="BS85" i="20"/>
  <c r="BS81" i="20"/>
  <c r="Y80" i="20"/>
  <c r="AS79" i="20"/>
  <c r="AE72" i="20"/>
  <c r="AD86" i="20"/>
  <c r="BR99" i="20"/>
  <c r="BR98" i="20"/>
  <c r="BR96" i="20"/>
  <c r="BR95" i="20"/>
  <c r="BR90" i="20"/>
  <c r="Y94" i="20"/>
  <c r="AS80" i="20"/>
  <c r="AS78" i="20"/>
  <c r="AE86" i="20"/>
  <c r="Y72" i="20"/>
  <c r="Y71" i="20"/>
  <c r="Y86" i="20"/>
  <c r="BB100" i="16"/>
  <c r="BA100" i="16"/>
  <c r="AO123" i="16"/>
  <c r="BH123" i="16" s="1"/>
  <c r="AO119" i="16"/>
  <c r="BH119" i="16" s="1"/>
  <c r="AO100" i="16"/>
  <c r="BH100" i="16" s="1"/>
  <c r="AO122" i="16"/>
  <c r="BH122" i="16" s="1"/>
  <c r="BA98" i="16"/>
  <c r="AB43" i="3"/>
  <c r="BA97" i="16"/>
  <c r="AO127" i="16"/>
  <c r="BH127" i="16" s="1"/>
  <c r="BA119" i="16"/>
  <c r="BA118" i="16"/>
  <c r="AO126" i="16"/>
  <c r="BH126" i="16" s="1"/>
  <c r="BE23" i="16"/>
  <c r="AO128" i="16"/>
  <c r="BH128" i="16" s="1"/>
  <c r="AO125" i="16"/>
  <c r="BH125" i="16" s="1"/>
  <c r="BB117" i="16"/>
  <c r="AO97" i="16"/>
  <c r="BH97" i="16" s="1"/>
  <c r="AO118" i="16"/>
  <c r="BH118" i="16" s="1"/>
  <c r="AO129" i="16"/>
  <c r="BH129" i="16" s="1"/>
  <c r="AO117" i="16"/>
  <c r="BH117" i="16" s="1"/>
  <c r="AB32" i="3"/>
  <c r="S127" i="2"/>
  <c r="T126" i="2"/>
  <c r="AA38" i="3"/>
  <c r="AA120" i="3"/>
  <c r="AC120" i="3" s="1"/>
  <c r="AA43" i="3"/>
  <c r="AA95" i="3"/>
  <c r="AD135" i="16"/>
  <c r="AH135" i="16"/>
  <c r="AL135" i="16"/>
  <c r="AD131" i="16"/>
  <c r="BE34" i="16"/>
  <c r="BE36" i="16"/>
  <c r="Z131" i="16"/>
  <c r="AH131" i="16"/>
  <c r="AB131" i="16"/>
  <c r="AF131" i="16"/>
  <c r="AJ131" i="16"/>
  <c r="BE17" i="16"/>
  <c r="Y134" i="16"/>
  <c r="AC134" i="16"/>
  <c r="AA132" i="16"/>
  <c r="AE132" i="16"/>
  <c r="AM132" i="16"/>
  <c r="BE31" i="16"/>
  <c r="BE32" i="16"/>
  <c r="AF133" i="16"/>
  <c r="AD134" i="16"/>
  <c r="AL134" i="16"/>
  <c r="BE19" i="16"/>
  <c r="BE20" i="16"/>
  <c r="BE25" i="16"/>
  <c r="BE29" i="16"/>
  <c r="Y133" i="16"/>
  <c r="AC133" i="16"/>
  <c r="AF134" i="16"/>
  <c r="U212" i="17"/>
  <c r="U383" i="17"/>
  <c r="G124" i="2"/>
  <c r="G124" i="16" s="1"/>
  <c r="T121" i="2"/>
  <c r="S124" i="2"/>
  <c r="S121" i="2"/>
  <c r="U245" i="17"/>
  <c r="G102" i="2"/>
  <c r="U246" i="17"/>
  <c r="S102" i="2"/>
  <c r="S11" i="16"/>
  <c r="AC11" i="16"/>
  <c r="AO11" i="16"/>
  <c r="BA11" i="16"/>
  <c r="BE43" i="16"/>
  <c r="BE46" i="16"/>
  <c r="H11" i="16"/>
  <c r="U11" i="16"/>
  <c r="AG11" i="16"/>
  <c r="AP11" i="16"/>
  <c r="BC11" i="16"/>
  <c r="AA131" i="16"/>
  <c r="AE131" i="16"/>
  <c r="AI131" i="16"/>
  <c r="AM131" i="16"/>
  <c r="AB132" i="16"/>
  <c r="AF132" i="16"/>
  <c r="AJ132" i="16"/>
  <c r="BE28" i="16"/>
  <c r="BE37" i="16"/>
  <c r="BE47" i="16"/>
  <c r="BE48" i="16"/>
  <c r="BE51" i="16"/>
  <c r="L11" i="16"/>
  <c r="X11" i="16"/>
  <c r="AJ11" i="16"/>
  <c r="AT11" i="16"/>
  <c r="BE16" i="16"/>
  <c r="Y132" i="16"/>
  <c r="AC132" i="16"/>
  <c r="AG132" i="16"/>
  <c r="BE44" i="16"/>
  <c r="BE125" i="16"/>
  <c r="BE79" i="16"/>
  <c r="P11" i="16"/>
  <c r="Y11" i="16"/>
  <c r="AL11" i="16"/>
  <c r="AC131" i="16"/>
  <c r="AG131" i="16"/>
  <c r="AK131" i="16"/>
  <c r="Z132" i="16"/>
  <c r="AD132" i="16"/>
  <c r="AL132" i="16"/>
  <c r="BE30" i="16"/>
  <c r="BE38" i="16"/>
  <c r="BE45" i="16"/>
  <c r="AA133" i="16"/>
  <c r="AE133" i="16"/>
  <c r="AM133" i="16"/>
  <c r="BE69" i="16"/>
  <c r="BE71" i="16"/>
  <c r="BE84" i="16"/>
  <c r="BE42" i="16"/>
  <c r="BE74" i="16"/>
  <c r="BE77" i="16"/>
  <c r="BE78" i="16"/>
  <c r="BE82" i="16"/>
  <c r="BE91" i="16"/>
  <c r="AD133" i="16"/>
  <c r="AL133" i="16"/>
  <c r="BE83" i="16"/>
  <c r="BE70" i="16"/>
  <c r="BE89" i="16"/>
  <c r="BE98" i="16"/>
  <c r="BE104" i="16"/>
  <c r="BE80" i="16"/>
  <c r="BE93" i="16"/>
  <c r="Z135" i="16"/>
  <c r="BE97" i="16"/>
  <c r="BE100" i="16"/>
  <c r="BE85" i="16"/>
  <c r="BE87" i="16"/>
  <c r="BE88" i="16"/>
  <c r="BE90" i="16"/>
  <c r="AA134" i="16"/>
  <c r="AE134" i="16"/>
  <c r="AM134" i="16"/>
  <c r="BE92" i="16"/>
  <c r="BE95" i="16"/>
  <c r="BE96" i="16"/>
  <c r="BE103" i="16"/>
  <c r="BE99" i="16"/>
  <c r="BE107" i="16"/>
  <c r="X135" i="16"/>
  <c r="AB135" i="16"/>
  <c r="AF135" i="16"/>
  <c r="AJ135" i="16"/>
  <c r="BE94" i="16"/>
  <c r="BE102" i="16"/>
  <c r="Y135" i="16"/>
  <c r="AC135" i="16"/>
  <c r="AG135" i="16"/>
  <c r="AK135" i="16"/>
  <c r="BE105" i="16"/>
  <c r="BE108" i="16"/>
  <c r="BE115" i="16"/>
  <c r="BE116" i="16"/>
  <c r="BE117" i="16"/>
  <c r="BE118" i="16"/>
  <c r="AA135" i="16"/>
  <c r="AE135" i="16"/>
  <c r="AI135" i="16"/>
  <c r="AM135" i="16"/>
  <c r="BE106" i="16"/>
  <c r="BE121" i="16"/>
  <c r="BE123" i="16"/>
  <c r="BE120" i="16"/>
  <c r="BE122" i="16"/>
  <c r="BE126" i="16"/>
  <c r="BE119" i="16"/>
  <c r="BE124" i="16"/>
  <c r="BE127" i="16"/>
  <c r="BE128" i="16"/>
  <c r="BE129" i="16"/>
  <c r="AA29" i="3"/>
  <c r="AC29" i="3" s="1"/>
  <c r="AB38" i="3"/>
  <c r="AA32" i="3"/>
  <c r="AA115" i="3"/>
  <c r="X19" i="3"/>
  <c r="AE91" i="20" l="1"/>
  <c r="BB56" i="24"/>
  <c r="BA56" i="24"/>
  <c r="BA133" i="24" s="1"/>
  <c r="BH96" i="16"/>
  <c r="K40" i="20"/>
  <c r="BB56" i="16"/>
  <c r="AE71" i="20"/>
  <c r="J40" i="20"/>
  <c r="BA56" i="16"/>
  <c r="BB136" i="23"/>
  <c r="S102" i="16"/>
  <c r="J75" i="20" s="1"/>
  <c r="AD75" i="20"/>
  <c r="G102" i="16"/>
  <c r="E75" i="20" s="1"/>
  <c r="Y75" i="20"/>
  <c r="G56" i="16"/>
  <c r="Y40" i="20"/>
  <c r="BK115" i="23"/>
  <c r="BK82" i="24"/>
  <c r="BK119" i="24"/>
  <c r="BK117" i="24"/>
  <c r="T97" i="24"/>
  <c r="BB97" i="24" s="1"/>
  <c r="BK97" i="24" s="1"/>
  <c r="BK80" i="24"/>
  <c r="AO134" i="24"/>
  <c r="BK115" i="22"/>
  <c r="BB134" i="24"/>
  <c r="BK70" i="22"/>
  <c r="BK134" i="22" s="1"/>
  <c r="BB123" i="22"/>
  <c r="T123" i="8"/>
  <c r="T123" i="16" s="1"/>
  <c r="BA126" i="22"/>
  <c r="S126" i="8"/>
  <c r="S126" i="16" s="1"/>
  <c r="BB128" i="22"/>
  <c r="T128" i="8"/>
  <c r="T128" i="16" s="1"/>
  <c r="BA99" i="22"/>
  <c r="S99" i="8"/>
  <c r="S99" i="16" s="1"/>
  <c r="BB124" i="22"/>
  <c r="T124" i="8"/>
  <c r="T124" i="16" s="1"/>
  <c r="BA128" i="22"/>
  <c r="S128" i="8"/>
  <c r="S128" i="16" s="1"/>
  <c r="BB108" i="22"/>
  <c r="T108" i="8"/>
  <c r="T108" i="16" s="1"/>
  <c r="BA107" i="22"/>
  <c r="S107" i="8"/>
  <c r="S107" i="16" s="1"/>
  <c r="BA106" i="22"/>
  <c r="S106" i="8"/>
  <c r="S106" i="16" s="1"/>
  <c r="BA125" i="22"/>
  <c r="S125" i="8"/>
  <c r="S125" i="16" s="1"/>
  <c r="BA108" i="22"/>
  <c r="S108" i="8"/>
  <c r="S108" i="16" s="1"/>
  <c r="BA113" i="22"/>
  <c r="S113" i="8"/>
  <c r="S113" i="16" s="1"/>
  <c r="BB106" i="22"/>
  <c r="T106" i="8"/>
  <c r="T106" i="16" s="1"/>
  <c r="BA112" i="22"/>
  <c r="S112" i="8"/>
  <c r="S112" i="16" s="1"/>
  <c r="BA122" i="22"/>
  <c r="S122" i="8"/>
  <c r="S122" i="16" s="1"/>
  <c r="BB125" i="22"/>
  <c r="T125" i="8"/>
  <c r="T125" i="16" s="1"/>
  <c r="T113" i="24"/>
  <c r="BB113" i="24" s="1"/>
  <c r="T113" i="8"/>
  <c r="T113" i="16" s="1"/>
  <c r="S123" i="24"/>
  <c r="BA123" i="24" s="1"/>
  <c r="S123" i="8"/>
  <c r="S123" i="16" s="1"/>
  <c r="BA103" i="22"/>
  <c r="S103" i="8"/>
  <c r="T99" i="24"/>
  <c r="BB99" i="24" s="1"/>
  <c r="T99" i="8"/>
  <c r="T99" i="16" s="1"/>
  <c r="BB127" i="22"/>
  <c r="T127" i="8"/>
  <c r="T127" i="16" s="1"/>
  <c r="BB122" i="22"/>
  <c r="T122" i="8"/>
  <c r="T122" i="16" s="1"/>
  <c r="BB107" i="22"/>
  <c r="T107" i="8"/>
  <c r="T107" i="16" s="1"/>
  <c r="BB112" i="22"/>
  <c r="T112" i="8"/>
  <c r="T112" i="16" s="1"/>
  <c r="S105" i="24"/>
  <c r="BA105" i="24" s="1"/>
  <c r="S105" i="8"/>
  <c r="S105" i="16" s="1"/>
  <c r="BB105" i="22"/>
  <c r="T105" i="8"/>
  <c r="T105" i="16" s="1"/>
  <c r="BB80" i="16"/>
  <c r="G158" i="24"/>
  <c r="BK129" i="22"/>
  <c r="BK104" i="23"/>
  <c r="S129" i="24"/>
  <c r="BA129" i="24" s="1"/>
  <c r="BH95" i="22"/>
  <c r="BB103" i="22"/>
  <c r="BH120" i="22"/>
  <c r="BH115" i="22"/>
  <c r="BH70" i="22"/>
  <c r="S127" i="16"/>
  <c r="BA127" i="16" s="1"/>
  <c r="AO136" i="22"/>
  <c r="BH42" i="22"/>
  <c r="BH104" i="22"/>
  <c r="BK97" i="22"/>
  <c r="T129" i="24"/>
  <c r="BB129" i="24" s="1"/>
  <c r="BH70" i="23"/>
  <c r="BA134" i="24"/>
  <c r="BK120" i="23"/>
  <c r="BK79" i="24"/>
  <c r="BH104" i="23"/>
  <c r="BH48" i="23"/>
  <c r="BH95" i="23"/>
  <c r="BA136" i="23"/>
  <c r="BK70" i="23"/>
  <c r="BK134" i="23" s="1"/>
  <c r="BH120" i="23"/>
  <c r="BK95" i="23"/>
  <c r="BK100" i="24"/>
  <c r="BK104" i="21"/>
  <c r="BK70" i="21"/>
  <c r="BK134" i="21" s="1"/>
  <c r="BA135" i="21"/>
  <c r="BA136" i="21" s="1"/>
  <c r="AO135" i="21"/>
  <c r="T118" i="24"/>
  <c r="BB118" i="24" s="1"/>
  <c r="BB118" i="21"/>
  <c r="BH115" i="24"/>
  <c r="BH120" i="24"/>
  <c r="G164" i="21"/>
  <c r="T98" i="24"/>
  <c r="BB98" i="24" s="1"/>
  <c r="BB98" i="21"/>
  <c r="BH115" i="21"/>
  <c r="BH120" i="21"/>
  <c r="BK121" i="21"/>
  <c r="BK120" i="21" s="1"/>
  <c r="BB103" i="21"/>
  <c r="BK103" i="21" s="1"/>
  <c r="AO135" i="24"/>
  <c r="BH104" i="24"/>
  <c r="BH104" i="21"/>
  <c r="BH95" i="21"/>
  <c r="BH95" i="24"/>
  <c r="BH70" i="24"/>
  <c r="BH70" i="21"/>
  <c r="G56" i="24"/>
  <c r="AO56" i="24" s="1"/>
  <c r="BH56" i="24" s="1"/>
  <c r="AC32" i="3"/>
  <c r="AC95" i="3"/>
  <c r="AC115" i="3"/>
  <c r="T121" i="16"/>
  <c r="BB121" i="16" s="1"/>
  <c r="AC38" i="3"/>
  <c r="AC43" i="3"/>
  <c r="AC20" i="3"/>
  <c r="BK82" i="2"/>
  <c r="BL76" i="16"/>
  <c r="BK113" i="2"/>
  <c r="BK112" i="2"/>
  <c r="S121" i="16"/>
  <c r="BA121" i="16" s="1"/>
  <c r="BK106" i="2"/>
  <c r="BK107" i="2"/>
  <c r="BK108" i="2"/>
  <c r="S124" i="16"/>
  <c r="BA124" i="16" s="1"/>
  <c r="T126" i="16"/>
  <c r="BB126" i="16" s="1"/>
  <c r="BL33" i="16"/>
  <c r="U384" i="17"/>
  <c r="BJ41" i="16"/>
  <c r="BK91" i="16"/>
  <c r="BK37" i="16"/>
  <c r="BK19" i="16"/>
  <c r="BJ97" i="16"/>
  <c r="BJ128" i="16"/>
  <c r="BJ78" i="16"/>
  <c r="BI93" i="16"/>
  <c r="BI89" i="16"/>
  <c r="U405" i="17"/>
  <c r="U363" i="17"/>
  <c r="AB94" i="3"/>
  <c r="AB135" i="3" s="1"/>
  <c r="U399" i="17"/>
  <c r="BJ98" i="16"/>
  <c r="BL100" i="16"/>
  <c r="BJ93" i="16"/>
  <c r="BJ91" i="16"/>
  <c r="BJ90" i="16"/>
  <c r="BJ51" i="16"/>
  <c r="BK39" i="16"/>
  <c r="BL40" i="16"/>
  <c r="BJ108" i="16"/>
  <c r="BJ99" i="16"/>
  <c r="BL126" i="16"/>
  <c r="BI91" i="16"/>
  <c r="BI90" i="16"/>
  <c r="BJ80" i="16"/>
  <c r="BJ96" i="16"/>
  <c r="BL49" i="16"/>
  <c r="BK31" i="16"/>
  <c r="BK30" i="16"/>
  <c r="BJ35" i="16"/>
  <c r="BL18" i="16"/>
  <c r="BK18" i="16"/>
  <c r="U377" i="17"/>
  <c r="U391" i="17"/>
  <c r="U285" i="17"/>
  <c r="U264" i="17"/>
  <c r="U271" i="17"/>
  <c r="U265" i="17"/>
  <c r="S129" i="16"/>
  <c r="U419" i="17"/>
  <c r="U364" i="17"/>
  <c r="J148" i="19"/>
  <c r="J147" i="19"/>
  <c r="BL82" i="16"/>
  <c r="BJ75" i="16"/>
  <c r="BL79" i="16"/>
  <c r="BJ77" i="16"/>
  <c r="BJ49" i="16"/>
  <c r="BL45" i="16"/>
  <c r="BL41" i="16"/>
  <c r="BL36" i="16"/>
  <c r="BJ31" i="16"/>
  <c r="BJ30" i="16"/>
  <c r="U370" i="17"/>
  <c r="U313" i="17"/>
  <c r="U320" i="17"/>
  <c r="U272" i="17"/>
  <c r="J152" i="19"/>
  <c r="BL46" i="16"/>
  <c r="BL23" i="16"/>
  <c r="BL22" i="16"/>
  <c r="U253" i="17"/>
  <c r="U413" i="17"/>
  <c r="U226" i="17"/>
  <c r="U225" i="17"/>
  <c r="U406" i="17"/>
  <c r="U378" i="17"/>
  <c r="U392" i="17"/>
  <c r="U398" i="17"/>
  <c r="U321" i="17"/>
  <c r="G144" i="19"/>
  <c r="G140" i="19"/>
  <c r="H144" i="19"/>
  <c r="J144" i="19" s="1"/>
  <c r="BL47" i="16"/>
  <c r="U279" i="17"/>
  <c r="U286" i="17"/>
  <c r="U314" i="17"/>
  <c r="U278" i="17"/>
  <c r="U385" i="17"/>
  <c r="T129" i="16"/>
  <c r="U420" i="17"/>
  <c r="U412" i="17"/>
  <c r="U371" i="17"/>
  <c r="U346" i="17"/>
  <c r="U254" i="17"/>
  <c r="U219" i="17"/>
  <c r="BL44" i="16"/>
  <c r="BK46" i="16"/>
  <c r="BJ76" i="16"/>
  <c r="BJ116" i="16"/>
  <c r="BJ106" i="16"/>
  <c r="BJ103" i="16"/>
  <c r="BL107" i="16"/>
  <c r="BL98" i="16"/>
  <c r="BL97" i="16"/>
  <c r="BJ84" i="16"/>
  <c r="BJ79" i="16"/>
  <c r="BL96" i="16"/>
  <c r="BJ83" i="16"/>
  <c r="BJ82" i="16"/>
  <c r="BL75" i="16"/>
  <c r="BK93" i="16"/>
  <c r="BK89" i="16"/>
  <c r="BJ87" i="16"/>
  <c r="BJ85" i="16"/>
  <c r="BK77" i="16"/>
  <c r="BL52" i="16"/>
  <c r="BK51" i="16"/>
  <c r="BL35" i="16"/>
  <c r="BL30" i="16"/>
  <c r="BJ18" i="16"/>
  <c r="BK74" i="16"/>
  <c r="BL84" i="16"/>
  <c r="BI77" i="16"/>
  <c r="BJ92" i="16"/>
  <c r="BJ89" i="16"/>
  <c r="BJ88" i="16"/>
  <c r="BL78" i="16"/>
  <c r="BL72" i="16"/>
  <c r="BJ50" i="16"/>
  <c r="BL37" i="16"/>
  <c r="BK36" i="16"/>
  <c r="BL34" i="16"/>
  <c r="BJ24" i="16"/>
  <c r="BJ22" i="16"/>
  <c r="BL50" i="16"/>
  <c r="BK33" i="16"/>
  <c r="BJ107" i="16"/>
  <c r="BL108" i="16"/>
  <c r="BL125" i="16"/>
  <c r="BI92" i="16"/>
  <c r="BI88" i="16"/>
  <c r="BJ73" i="16"/>
  <c r="BL69" i="16"/>
  <c r="BK44" i="16"/>
  <c r="BF132" i="16"/>
  <c r="BL93" i="16"/>
  <c r="BK69" i="16"/>
  <c r="BI51" i="16"/>
  <c r="BJ100" i="16"/>
  <c r="BL105" i="16"/>
  <c r="BL102" i="16"/>
  <c r="BJ105" i="16"/>
  <c r="BJ102" i="16"/>
  <c r="BJ129" i="16"/>
  <c r="BJ125" i="16"/>
  <c r="BL89" i="16"/>
  <c r="BI78" i="16"/>
  <c r="BJ124" i="16"/>
  <c r="BJ119" i="16"/>
  <c r="BL80" i="16"/>
  <c r="BJ127" i="16"/>
  <c r="BJ123" i="16"/>
  <c r="BJ126" i="16"/>
  <c r="BL92" i="16"/>
  <c r="BL91" i="16"/>
  <c r="BL90" i="16"/>
  <c r="BL88" i="16"/>
  <c r="BL87" i="16"/>
  <c r="BK92" i="16"/>
  <c r="BK90" i="16"/>
  <c r="BK88" i="16"/>
  <c r="BK78" i="16"/>
  <c r="BJ72" i="16"/>
  <c r="BJ69" i="16"/>
  <c r="BJ74" i="16"/>
  <c r="BJ53" i="16"/>
  <c r="BJ52" i="16"/>
  <c r="BK53" i="16"/>
  <c r="BK47" i="16"/>
  <c r="BJ40" i="16"/>
  <c r="BJ39" i="16"/>
  <c r="BI37" i="16"/>
  <c r="BJ33" i="16"/>
  <c r="BK35" i="16"/>
  <c r="BK34" i="16"/>
  <c r="BJ44" i="16"/>
  <c r="BL39" i="16"/>
  <c r="BL31" i="16"/>
  <c r="BL25" i="16"/>
  <c r="BK24" i="16"/>
  <c r="BK25" i="16"/>
  <c r="BK23" i="16"/>
  <c r="BK22" i="16"/>
  <c r="BF16" i="16"/>
  <c r="BO16" i="16" s="1"/>
  <c r="BI74" i="16"/>
  <c r="BJ122" i="16"/>
  <c r="BK96" i="16"/>
  <c r="BL53" i="16"/>
  <c r="BL99" i="16"/>
  <c r="BL128" i="16"/>
  <c r="BL124" i="16"/>
  <c r="BL119" i="16"/>
  <c r="BJ118" i="16"/>
  <c r="BL73" i="16"/>
  <c r="BJ46" i="16"/>
  <c r="BL129" i="16"/>
  <c r="BL121" i="16"/>
  <c r="BL116" i="16"/>
  <c r="BL85" i="16"/>
  <c r="BK45" i="16"/>
  <c r="BF135" i="16"/>
  <c r="BO94" i="16"/>
  <c r="BL122" i="16"/>
  <c r="BJ121" i="16"/>
  <c r="BL117" i="16"/>
  <c r="BL83" i="16"/>
  <c r="BL19" i="16"/>
  <c r="BO42" i="16"/>
  <c r="BL106" i="16"/>
  <c r="BL103" i="16"/>
  <c r="BL127" i="16"/>
  <c r="BL123" i="16"/>
  <c r="BL118" i="16"/>
  <c r="BJ117" i="16"/>
  <c r="BO17" i="16"/>
  <c r="BO70" i="16"/>
  <c r="BK82" i="9"/>
  <c r="BK100" i="16"/>
  <c r="AO103" i="16"/>
  <c r="BH103" i="16" s="1"/>
  <c r="E80" i="20"/>
  <c r="AO107" i="16"/>
  <c r="BH107" i="16" s="1"/>
  <c r="J90" i="20"/>
  <c r="BA117" i="16"/>
  <c r="BK117" i="16" s="1"/>
  <c r="AY99" i="20"/>
  <c r="BM97" i="20"/>
  <c r="AX94" i="20"/>
  <c r="AO82" i="16"/>
  <c r="BH82" i="16" s="1"/>
  <c r="BK87" i="16"/>
  <c r="BK84" i="16"/>
  <c r="K92" i="20"/>
  <c r="BB119" i="16"/>
  <c r="BK119" i="16" s="1"/>
  <c r="E72" i="20"/>
  <c r="AO99" i="16"/>
  <c r="BH99" i="16" s="1"/>
  <c r="BS99" i="20"/>
  <c r="AY94" i="20"/>
  <c r="BR100" i="20"/>
  <c r="BR97" i="20"/>
  <c r="BA80" i="16"/>
  <c r="BK80" i="16" s="1"/>
  <c r="BH115" i="16"/>
  <c r="BK116" i="16"/>
  <c r="BK85" i="16"/>
  <c r="BL77" i="16"/>
  <c r="BL74" i="16"/>
  <c r="BL51" i="16"/>
  <c r="E78" i="20"/>
  <c r="AO105" i="16"/>
  <c r="E94" i="20"/>
  <c r="AO121" i="16"/>
  <c r="BH121" i="16" s="1"/>
  <c r="BS94" i="20"/>
  <c r="AX97" i="20"/>
  <c r="AO80" i="16"/>
  <c r="BH80" i="16" s="1"/>
  <c r="BK83" i="16"/>
  <c r="BH29" i="16"/>
  <c r="E71" i="20"/>
  <c r="AO98" i="16"/>
  <c r="BH98" i="16" s="1"/>
  <c r="BB102" i="16"/>
  <c r="E79" i="20"/>
  <c r="AO106" i="16"/>
  <c r="BH106" i="16" s="1"/>
  <c r="AS97" i="20"/>
  <c r="BR94" i="20"/>
  <c r="BA82" i="16"/>
  <c r="BK82" i="16" s="1"/>
  <c r="BA79" i="16"/>
  <c r="BK79" i="16" s="1"/>
  <c r="AU134" i="16"/>
  <c r="G150" i="16"/>
  <c r="AU133" i="16"/>
  <c r="AB42" i="3"/>
  <c r="AB133" i="3" s="1"/>
  <c r="BC133" i="16"/>
  <c r="AU132" i="16"/>
  <c r="E85" i="20"/>
  <c r="E86" i="20"/>
  <c r="AD94" i="20"/>
  <c r="K90" i="20"/>
  <c r="J91" i="20"/>
  <c r="E73" i="20"/>
  <c r="K73" i="20"/>
  <c r="AD97" i="20"/>
  <c r="AE99" i="20"/>
  <c r="E70" i="20"/>
  <c r="E98" i="20"/>
  <c r="E100" i="20"/>
  <c r="E95" i="20"/>
  <c r="E92" i="20"/>
  <c r="AE94" i="20"/>
  <c r="AO124" i="16"/>
  <c r="BH124" i="16" s="1"/>
  <c r="Y97" i="20"/>
  <c r="E90" i="20"/>
  <c r="E91" i="20"/>
  <c r="J92" i="20"/>
  <c r="J70" i="20"/>
  <c r="BC134" i="16"/>
  <c r="BB97" i="16"/>
  <c r="BK97" i="16" s="1"/>
  <c r="AY70" i="20"/>
  <c r="AD100" i="20"/>
  <c r="E81" i="20"/>
  <c r="E101" i="20"/>
  <c r="E99" i="20"/>
  <c r="J71" i="20"/>
  <c r="E96" i="20"/>
  <c r="J73" i="20"/>
  <c r="AB131" i="3"/>
  <c r="AA94" i="3"/>
  <c r="AR134" i="16"/>
  <c r="BD135" i="16"/>
  <c r="AF136" i="16"/>
  <c r="BB131" i="16"/>
  <c r="BD131" i="16"/>
  <c r="AD136" i="16"/>
  <c r="AX132" i="16"/>
  <c r="AT134" i="16"/>
  <c r="AX131" i="16"/>
  <c r="AZ131" i="16"/>
  <c r="AV132" i="16"/>
  <c r="AY135" i="16"/>
  <c r="AT135" i="16"/>
  <c r="AR133" i="16"/>
  <c r="BC135" i="16"/>
  <c r="BD134" i="16"/>
  <c r="AV133" i="16"/>
  <c r="BA131" i="16"/>
  <c r="AV134" i="16"/>
  <c r="BD133" i="16"/>
  <c r="BD132" i="16"/>
  <c r="AZ135" i="16"/>
  <c r="AQ135" i="16"/>
  <c r="AV135" i="16"/>
  <c r="AR135" i="16"/>
  <c r="AU135" i="16"/>
  <c r="AX135" i="16"/>
  <c r="AS135" i="16"/>
  <c r="AW134" i="16"/>
  <c r="AW133" i="16"/>
  <c r="BA132" i="16"/>
  <c r="AW132" i="16"/>
  <c r="AY131" i="16"/>
  <c r="AW135" i="16"/>
  <c r="BC132" i="16"/>
  <c r="AE136" i="16"/>
  <c r="BE135" i="16"/>
  <c r="AA136" i="16"/>
  <c r="AM136" i="16"/>
  <c r="AC136" i="16"/>
  <c r="AB28" i="3"/>
  <c r="AB132" i="3" s="1"/>
  <c r="AA28" i="3"/>
  <c r="G161" i="21" l="1"/>
  <c r="BK56" i="24"/>
  <c r="BK48" i="24" s="1"/>
  <c r="BK42" i="24" s="1"/>
  <c r="BK133" i="24" s="1"/>
  <c r="BB133" i="24"/>
  <c r="BK56" i="16"/>
  <c r="BH105" i="16"/>
  <c r="BH104" i="16" s="1"/>
  <c r="E40" i="20"/>
  <c r="AO56" i="16"/>
  <c r="BH56" i="16" s="1"/>
  <c r="BA102" i="16"/>
  <c r="BK102" i="16" s="1"/>
  <c r="BK108" i="22"/>
  <c r="AO102" i="16"/>
  <c r="BH102" i="16" s="1"/>
  <c r="S103" i="16"/>
  <c r="J76" i="20" s="1"/>
  <c r="AX76" i="20"/>
  <c r="BB99" i="22"/>
  <c r="G161" i="22" s="1"/>
  <c r="BK70" i="24"/>
  <c r="BK134" i="24" s="1"/>
  <c r="BK94" i="23"/>
  <c r="BK135" i="23" s="1"/>
  <c r="BK136" i="23" s="1"/>
  <c r="T125" i="24"/>
  <c r="BB125" i="24" s="1"/>
  <c r="BK107" i="22"/>
  <c r="S99" i="24"/>
  <c r="BA99" i="24" s="1"/>
  <c r="BK99" i="24" s="1"/>
  <c r="S113" i="24"/>
  <c r="BA113" i="24" s="1"/>
  <c r="BK113" i="24" s="1"/>
  <c r="S107" i="24"/>
  <c r="BA107" i="24" s="1"/>
  <c r="BK106" i="22"/>
  <c r="S106" i="24"/>
  <c r="BA106" i="24" s="1"/>
  <c r="T123" i="24"/>
  <c r="BB123" i="24" s="1"/>
  <c r="BK123" i="24" s="1"/>
  <c r="BB113" i="22"/>
  <c r="BK113" i="22" s="1"/>
  <c r="T127" i="24"/>
  <c r="BB127" i="24" s="1"/>
  <c r="T106" i="24"/>
  <c r="BB106" i="24" s="1"/>
  <c r="T124" i="24"/>
  <c r="BB124" i="24" s="1"/>
  <c r="T107" i="24"/>
  <c r="BB107" i="24" s="1"/>
  <c r="BK122" i="22"/>
  <c r="T112" i="24"/>
  <c r="BB112" i="24" s="1"/>
  <c r="T105" i="24"/>
  <c r="BB105" i="24" s="1"/>
  <c r="BK105" i="24" s="1"/>
  <c r="BA105" i="22"/>
  <c r="BK103" i="22"/>
  <c r="S126" i="24"/>
  <c r="BA126" i="24" s="1"/>
  <c r="T103" i="24"/>
  <c r="BB103" i="24" s="1"/>
  <c r="BA123" i="22"/>
  <c r="BK123" i="22" s="1"/>
  <c r="BK129" i="24"/>
  <c r="T122" i="24"/>
  <c r="BB122" i="24" s="1"/>
  <c r="T108" i="24"/>
  <c r="BB108" i="24" s="1"/>
  <c r="S128" i="24"/>
  <c r="BA128" i="24" s="1"/>
  <c r="S112" i="24"/>
  <c r="BA112" i="24" s="1"/>
  <c r="S125" i="24"/>
  <c r="BA125" i="24" s="1"/>
  <c r="BK125" i="22"/>
  <c r="S108" i="24"/>
  <c r="BA108" i="24" s="1"/>
  <c r="T128" i="24"/>
  <c r="BB128" i="24" s="1"/>
  <c r="S103" i="24"/>
  <c r="BA103" i="24" s="1"/>
  <c r="S122" i="24"/>
  <c r="BA122" i="24" s="1"/>
  <c r="BK128" i="22"/>
  <c r="BK112" i="22"/>
  <c r="AX100" i="20"/>
  <c r="T103" i="16"/>
  <c r="K76" i="20" s="1"/>
  <c r="BH133" i="22"/>
  <c r="BB121" i="22"/>
  <c r="T121" i="24"/>
  <c r="BB121" i="24" s="1"/>
  <c r="BB126" i="22"/>
  <c r="BK126" i="22" s="1"/>
  <c r="T126" i="24"/>
  <c r="BB126" i="24" s="1"/>
  <c r="BA127" i="22"/>
  <c r="BK127" i="22" s="1"/>
  <c r="S127" i="24"/>
  <c r="BA127" i="24" s="1"/>
  <c r="BA124" i="22"/>
  <c r="BK124" i="22" s="1"/>
  <c r="S124" i="24"/>
  <c r="BA124" i="24" s="1"/>
  <c r="BA121" i="22"/>
  <c r="S121" i="24"/>
  <c r="BA121" i="24" s="1"/>
  <c r="BH94" i="22"/>
  <c r="BH134" i="22"/>
  <c r="BH42" i="23"/>
  <c r="BH94" i="23"/>
  <c r="BH134" i="23"/>
  <c r="BB135" i="21"/>
  <c r="BB136" i="21" s="1"/>
  <c r="BK98" i="21"/>
  <c r="BK95" i="21" s="1"/>
  <c r="BK98" i="24"/>
  <c r="BK118" i="21"/>
  <c r="BK115" i="21" s="1"/>
  <c r="G163" i="21"/>
  <c r="G163" i="24"/>
  <c r="BK118" i="24"/>
  <c r="BK115" i="24" s="1"/>
  <c r="BH94" i="24"/>
  <c r="BH94" i="21"/>
  <c r="BH134" i="24"/>
  <c r="BH134" i="21"/>
  <c r="AO133" i="21"/>
  <c r="AO136" i="21" s="1"/>
  <c r="BH48" i="24"/>
  <c r="AO133" i="24"/>
  <c r="G155" i="24"/>
  <c r="AC94" i="3"/>
  <c r="BK20" i="16"/>
  <c r="AC28" i="3"/>
  <c r="BL29" i="16"/>
  <c r="BM78" i="16"/>
  <c r="BL17" i="16"/>
  <c r="BK29" i="16"/>
  <c r="BL38" i="16"/>
  <c r="BM93" i="16"/>
  <c r="BJ29" i="16"/>
  <c r="BK17" i="16"/>
  <c r="BM91" i="16"/>
  <c r="BL43" i="16"/>
  <c r="BJ48" i="16"/>
  <c r="BJ71" i="16"/>
  <c r="BJ70" i="16" s="1"/>
  <c r="BJ134" i="16" s="1"/>
  <c r="BL32" i="16"/>
  <c r="BL95" i="16"/>
  <c r="BM89" i="16"/>
  <c r="BJ104" i="16"/>
  <c r="BK32" i="16"/>
  <c r="BJ95" i="16"/>
  <c r="BB113" i="8"/>
  <c r="AY86" i="20"/>
  <c r="AY98" i="20"/>
  <c r="BA113" i="8"/>
  <c r="AX86" i="20"/>
  <c r="AX78" i="20"/>
  <c r="BL104" i="16"/>
  <c r="BM90" i="16"/>
  <c r="AX101" i="20"/>
  <c r="AY97" i="20"/>
  <c r="AY95" i="20"/>
  <c r="BA107" i="8"/>
  <c r="AX80" i="20"/>
  <c r="BB108" i="8"/>
  <c r="AY81" i="20"/>
  <c r="AX72" i="20"/>
  <c r="AY101" i="20"/>
  <c r="AX95" i="20"/>
  <c r="AY78" i="20"/>
  <c r="AX98" i="20"/>
  <c r="BM74" i="16"/>
  <c r="BB112" i="8"/>
  <c r="AY85" i="20"/>
  <c r="BB107" i="8"/>
  <c r="AY80" i="20"/>
  <c r="AX99" i="20"/>
  <c r="AY96" i="20"/>
  <c r="AY100" i="20"/>
  <c r="AY72" i="20"/>
  <c r="AY79" i="20"/>
  <c r="BA112" i="8"/>
  <c r="AX85" i="20"/>
  <c r="AX79" i="20"/>
  <c r="BA108" i="8"/>
  <c r="AX81" i="20"/>
  <c r="AX96" i="20"/>
  <c r="BM77" i="16"/>
  <c r="BO77" i="16" s="1"/>
  <c r="BM88" i="16"/>
  <c r="BM92" i="16"/>
  <c r="BJ115" i="16"/>
  <c r="BJ120" i="16"/>
  <c r="BK43" i="16"/>
  <c r="BL48" i="16"/>
  <c r="BJ38" i="16"/>
  <c r="BL120" i="16"/>
  <c r="BL115" i="16"/>
  <c r="BM51" i="16"/>
  <c r="BH95" i="16"/>
  <c r="BK121" i="16"/>
  <c r="BL71" i="16"/>
  <c r="BL70" i="16" s="1"/>
  <c r="BL134" i="16" s="1"/>
  <c r="BH120" i="16"/>
  <c r="AB136" i="3"/>
  <c r="E97" i="20"/>
  <c r="K70" i="20"/>
  <c r="K99" i="20"/>
  <c r="J97" i="20"/>
  <c r="J100" i="20"/>
  <c r="K94" i="20"/>
  <c r="J94" i="20"/>
  <c r="BD136" i="16"/>
  <c r="AA135" i="3"/>
  <c r="AA132" i="3"/>
  <c r="BK105" i="22" l="1"/>
  <c r="G162" i="22"/>
  <c r="BK107" i="24"/>
  <c r="BK99" i="22"/>
  <c r="BK95" i="22" s="1"/>
  <c r="BK125" i="24"/>
  <c r="BK127" i="24"/>
  <c r="BK126" i="24"/>
  <c r="BK124" i="24"/>
  <c r="BK106" i="24"/>
  <c r="BK112" i="24"/>
  <c r="BB135" i="24"/>
  <c r="BB136" i="24" s="1"/>
  <c r="BK103" i="24"/>
  <c r="BK95" i="24" s="1"/>
  <c r="BK122" i="24"/>
  <c r="G162" i="24"/>
  <c r="BK108" i="24"/>
  <c r="G161" i="24"/>
  <c r="BK128" i="24"/>
  <c r="BB135" i="22"/>
  <c r="BB136" i="22" s="1"/>
  <c r="BK104" i="22"/>
  <c r="BA135" i="22"/>
  <c r="BA136" i="22" s="1"/>
  <c r="BH135" i="22"/>
  <c r="BH136" i="22" s="1"/>
  <c r="G164" i="24"/>
  <c r="BK121" i="24"/>
  <c r="BA135" i="24"/>
  <c r="BA136" i="24" s="1"/>
  <c r="BK121" i="22"/>
  <c r="BK120" i="22" s="1"/>
  <c r="G164" i="22"/>
  <c r="BH135" i="23"/>
  <c r="BH133" i="23"/>
  <c r="BK94" i="21"/>
  <c r="BK135" i="21" s="1"/>
  <c r="BK136" i="21" s="1"/>
  <c r="BH135" i="21"/>
  <c r="BH135" i="24"/>
  <c r="BH42" i="24"/>
  <c r="BH48" i="21"/>
  <c r="BK16" i="16"/>
  <c r="BK131" i="16" s="1"/>
  <c r="BK138" i="16" s="1"/>
  <c r="BL28" i="16"/>
  <c r="BL132" i="16" s="1"/>
  <c r="BL42" i="16"/>
  <c r="BL133" i="16" s="1"/>
  <c r="BJ94" i="16"/>
  <c r="BJ135" i="16" s="1"/>
  <c r="BK108" i="8"/>
  <c r="BK112" i="8"/>
  <c r="J96" i="20"/>
  <c r="BA123" i="16"/>
  <c r="BB123" i="16"/>
  <c r="K96" i="20"/>
  <c r="BA129" i="16"/>
  <c r="BK107" i="8"/>
  <c r="BB124" i="16"/>
  <c r="BK124" i="16" s="1"/>
  <c r="K97" i="20"/>
  <c r="BA105" i="16"/>
  <c r="J78" i="20"/>
  <c r="BK113" i="8"/>
  <c r="BB113" i="16"/>
  <c r="K86" i="20"/>
  <c r="K72" i="20"/>
  <c r="BB99" i="16"/>
  <c r="J98" i="20"/>
  <c r="BA125" i="16"/>
  <c r="BA99" i="16"/>
  <c r="J72" i="20"/>
  <c r="BA106" i="16"/>
  <c r="J79" i="20"/>
  <c r="BA112" i="16"/>
  <c r="J85" i="20"/>
  <c r="K80" i="20"/>
  <c r="BB107" i="16"/>
  <c r="BB122" i="16"/>
  <c r="K95" i="20"/>
  <c r="BA128" i="16"/>
  <c r="J101" i="20"/>
  <c r="BA113" i="16"/>
  <c r="J86" i="20"/>
  <c r="BB125" i="16"/>
  <c r="K98" i="20"/>
  <c r="BB106" i="16"/>
  <c r="K79" i="20"/>
  <c r="BB112" i="16"/>
  <c r="K85" i="20"/>
  <c r="BA122" i="16"/>
  <c r="J95" i="20"/>
  <c r="BA108" i="16"/>
  <c r="J81" i="20"/>
  <c r="BA103" i="16"/>
  <c r="BB127" i="16"/>
  <c r="BK127" i="16" s="1"/>
  <c r="K100" i="20"/>
  <c r="J99" i="20"/>
  <c r="BA126" i="16"/>
  <c r="BK126" i="16" s="1"/>
  <c r="BB105" i="16"/>
  <c r="K78" i="20"/>
  <c r="BB128" i="16"/>
  <c r="K101" i="20"/>
  <c r="BB108" i="16"/>
  <c r="K81" i="20"/>
  <c r="BA107" i="16"/>
  <c r="J80" i="20"/>
  <c r="BB129" i="16"/>
  <c r="BB118" i="16"/>
  <c r="K91" i="20"/>
  <c r="BB103" i="16"/>
  <c r="BB98" i="16"/>
  <c r="BK98" i="16" s="1"/>
  <c r="K71" i="20"/>
  <c r="BL94" i="16"/>
  <c r="BL135" i="16" s="1"/>
  <c r="BH94" i="16"/>
  <c r="BH135" i="16" s="1"/>
  <c r="AO135" i="16"/>
  <c r="G14" i="10"/>
  <c r="G12" i="10"/>
  <c r="C16" i="4"/>
  <c r="G162" i="16" l="1"/>
  <c r="G161" i="16"/>
  <c r="C26" i="4"/>
  <c r="N19" i="4"/>
  <c r="BK104" i="24"/>
  <c r="BK94" i="22"/>
  <c r="BK135" i="22" s="1"/>
  <c r="BK136" i="22" s="1"/>
  <c r="BK120" i="24"/>
  <c r="G165" i="22"/>
  <c r="BH42" i="21"/>
  <c r="BH133" i="24"/>
  <c r="BK122" i="16"/>
  <c r="BK103" i="16"/>
  <c r="BK113" i="16"/>
  <c r="BA135" i="16"/>
  <c r="BK107" i="16"/>
  <c r="G164" i="16"/>
  <c r="BK112" i="16"/>
  <c r="BK99" i="16"/>
  <c r="BK108" i="16"/>
  <c r="BK128" i="16"/>
  <c r="BK106" i="16"/>
  <c r="BK125" i="16"/>
  <c r="BK105" i="16"/>
  <c r="BK123" i="16"/>
  <c r="BK129" i="16"/>
  <c r="BK118" i="16"/>
  <c r="BK115" i="16" s="1"/>
  <c r="G163" i="16"/>
  <c r="BB135" i="16"/>
  <c r="BK94" i="24" l="1"/>
  <c r="BK135" i="24" s="1"/>
  <c r="BK136" i="24" s="1"/>
  <c r="BH133" i="21"/>
  <c r="BK95" i="16"/>
  <c r="BK104" i="16"/>
  <c r="BK120" i="16"/>
  <c r="D40" i="14"/>
  <c r="E34" i="14"/>
  <c r="E14" i="14" s="1"/>
  <c r="D34" i="14"/>
  <c r="F34" i="14"/>
  <c r="F14" i="14" s="1"/>
  <c r="BK94" i="16" l="1"/>
  <c r="BK135" i="16" s="1"/>
  <c r="G68" i="18"/>
  <c r="C28" i="14"/>
  <c r="F10" i="14"/>
  <c r="E10" i="14"/>
  <c r="D10" i="14"/>
  <c r="F8" i="14"/>
  <c r="C5" i="14"/>
  <c r="C5" i="13"/>
  <c r="F14" i="13"/>
  <c r="F13" i="13" s="1"/>
  <c r="D45" i="13"/>
  <c r="D14" i="13" s="1"/>
  <c r="D13" i="13" s="1"/>
  <c r="J50" i="18" l="1"/>
  <c r="G52" i="18"/>
  <c r="H50" i="18"/>
  <c r="H52" i="18" s="1"/>
  <c r="H59" i="18" s="1"/>
  <c r="G59" i="18"/>
  <c r="G53" i="18"/>
  <c r="G72" i="18"/>
  <c r="G73" i="18" s="1"/>
  <c r="G69" i="18"/>
  <c r="D18" i="14"/>
  <c r="D25" i="14"/>
  <c r="D25" i="13"/>
  <c r="D18" i="13"/>
  <c r="F8" i="13" l="1"/>
  <c r="F32" i="13" s="1"/>
  <c r="F10" i="13"/>
  <c r="E10" i="13"/>
  <c r="I12" i="10"/>
  <c r="N20" i="4" s="1"/>
  <c r="O20" i="4" s="1"/>
  <c r="J18" i="4"/>
  <c r="D10" i="13"/>
  <c r="C28" i="13"/>
  <c r="I135" i="11"/>
  <c r="I141" i="11"/>
  <c r="I139" i="11"/>
  <c r="I136" i="11"/>
  <c r="I134" i="11"/>
  <c r="I105" i="11"/>
  <c r="I104" i="11"/>
  <c r="I81" i="11"/>
  <c r="I70" i="11"/>
  <c r="I78" i="11"/>
  <c r="Y20" i="11"/>
  <c r="Y142" i="11"/>
  <c r="Y141" i="11"/>
  <c r="Y140" i="11"/>
  <c r="Y139" i="11"/>
  <c r="Y137" i="11"/>
  <c r="Y136" i="11"/>
  <c r="Y135" i="11"/>
  <c r="Y134" i="11"/>
  <c r="Y131" i="11"/>
  <c r="Y130" i="11"/>
  <c r="Y129" i="11"/>
  <c r="Y128" i="11"/>
  <c r="Y127" i="11"/>
  <c r="Y120" i="11"/>
  <c r="Y119" i="11"/>
  <c r="Y118" i="11"/>
  <c r="Y117" i="11"/>
  <c r="Y116" i="11"/>
  <c r="Y108" i="11"/>
  <c r="Y107" i="11"/>
  <c r="Y106" i="11"/>
  <c r="Y105" i="11"/>
  <c r="Y104" i="11"/>
  <c r="Y114" i="11"/>
  <c r="Y113" i="11"/>
  <c r="Y112" i="11"/>
  <c r="Y111" i="11"/>
  <c r="Y110" i="11"/>
  <c r="Y125" i="11"/>
  <c r="Y124" i="11"/>
  <c r="Y123" i="11"/>
  <c r="Y122" i="11"/>
  <c r="Y86" i="11"/>
  <c r="Y85" i="11"/>
  <c r="Y84" i="11"/>
  <c r="Y82" i="11"/>
  <c r="Y81" i="11"/>
  <c r="Y92" i="11"/>
  <c r="Y91" i="11"/>
  <c r="Y90" i="11"/>
  <c r="Y89" i="11"/>
  <c r="Y88" i="11"/>
  <c r="Y68" i="11"/>
  <c r="Y67" i="11"/>
  <c r="Y66" i="11"/>
  <c r="Y65" i="11"/>
  <c r="Y64" i="11"/>
  <c r="Y74" i="11"/>
  <c r="Y73" i="11"/>
  <c r="Y72" i="11"/>
  <c r="Y71" i="11"/>
  <c r="Y70" i="11"/>
  <c r="Y79" i="11"/>
  <c r="Y78" i="11"/>
  <c r="Y77" i="11"/>
  <c r="Y76" i="11"/>
  <c r="Y50" i="11"/>
  <c r="Y48" i="11"/>
  <c r="Y47" i="11"/>
  <c r="Y46" i="11"/>
  <c r="Y45" i="11"/>
  <c r="Y43" i="11"/>
  <c r="Y42" i="11"/>
  <c r="Y41" i="11"/>
  <c r="Y40" i="11"/>
  <c r="Y39" i="11"/>
  <c r="Y37" i="11"/>
  <c r="Y36" i="11"/>
  <c r="Y35" i="11"/>
  <c r="Y34" i="11"/>
  <c r="Y32" i="11"/>
  <c r="Y31" i="11"/>
  <c r="Y30" i="11"/>
  <c r="Y28" i="11"/>
  <c r="Y27" i="11"/>
  <c r="Y52" i="11"/>
  <c r="Y24" i="11"/>
  <c r="Y23" i="11"/>
  <c r="Y22" i="11"/>
  <c r="Y18" i="11"/>
  <c r="Y17" i="11"/>
  <c r="Y16" i="11"/>
  <c r="Y15" i="11"/>
  <c r="Y14" i="11"/>
  <c r="Y12" i="11"/>
  <c r="Y11" i="11"/>
  <c r="Y10" i="11"/>
  <c r="Y9" i="11"/>
  <c r="Y7" i="11"/>
  <c r="Y6" i="11"/>
  <c r="U142" i="11"/>
  <c r="U141" i="11"/>
  <c r="U140" i="11"/>
  <c r="U139" i="11"/>
  <c r="U137" i="11"/>
  <c r="U136" i="11"/>
  <c r="U135" i="11"/>
  <c r="U134" i="11"/>
  <c r="U131" i="11"/>
  <c r="U130" i="11"/>
  <c r="U129" i="11"/>
  <c r="U128" i="11"/>
  <c r="U127" i="11"/>
  <c r="U120" i="11"/>
  <c r="U119" i="11"/>
  <c r="U118" i="11"/>
  <c r="U117" i="11"/>
  <c r="U116" i="11"/>
  <c r="U108" i="11"/>
  <c r="U107" i="11"/>
  <c r="U106" i="11"/>
  <c r="U105" i="11"/>
  <c r="U104" i="11"/>
  <c r="U114" i="11"/>
  <c r="U113" i="11"/>
  <c r="U112" i="11"/>
  <c r="U111" i="11"/>
  <c r="U110" i="11"/>
  <c r="U125" i="11"/>
  <c r="U124" i="11"/>
  <c r="U123" i="11"/>
  <c r="U122" i="11"/>
  <c r="U86" i="11"/>
  <c r="U85" i="11"/>
  <c r="U84" i="11"/>
  <c r="U82" i="11"/>
  <c r="U81" i="11"/>
  <c r="U92" i="11"/>
  <c r="U91" i="11"/>
  <c r="U90" i="11"/>
  <c r="U89" i="11"/>
  <c r="U88" i="11"/>
  <c r="U68" i="11"/>
  <c r="U67" i="11"/>
  <c r="U66" i="11"/>
  <c r="U65" i="11"/>
  <c r="U64" i="11"/>
  <c r="U74" i="11"/>
  <c r="U73" i="11"/>
  <c r="U72" i="11"/>
  <c r="U71" i="11"/>
  <c r="U70" i="11"/>
  <c r="U79" i="11"/>
  <c r="U78" i="11"/>
  <c r="U77" i="11"/>
  <c r="U76" i="11"/>
  <c r="U50" i="11"/>
  <c r="U48" i="11"/>
  <c r="U47" i="11"/>
  <c r="U46" i="11"/>
  <c r="U45" i="11"/>
  <c r="U43" i="11"/>
  <c r="U42" i="11"/>
  <c r="U41" i="11"/>
  <c r="U40" i="11"/>
  <c r="U39" i="11"/>
  <c r="U37" i="11"/>
  <c r="U36" i="11"/>
  <c r="U35" i="11"/>
  <c r="U34" i="11"/>
  <c r="U32" i="11"/>
  <c r="U31" i="11"/>
  <c r="U30" i="11"/>
  <c r="U28" i="11"/>
  <c r="U27" i="11"/>
  <c r="U52" i="11"/>
  <c r="U24" i="11"/>
  <c r="U23" i="11"/>
  <c r="U22" i="11"/>
  <c r="U20" i="11"/>
  <c r="U18" i="11"/>
  <c r="U17" i="11"/>
  <c r="U16" i="11"/>
  <c r="U15" i="11"/>
  <c r="U14" i="11"/>
  <c r="U12" i="11"/>
  <c r="U11" i="11"/>
  <c r="U10" i="11"/>
  <c r="U9" i="11"/>
  <c r="U7" i="11"/>
  <c r="U6" i="11"/>
  <c r="Q142" i="11"/>
  <c r="Q141" i="11"/>
  <c r="Q140" i="11"/>
  <c r="Q139" i="11"/>
  <c r="Q137" i="11"/>
  <c r="Q136" i="11"/>
  <c r="Q135" i="11"/>
  <c r="Q134" i="11"/>
  <c r="Q131" i="11"/>
  <c r="Q130" i="11"/>
  <c r="Q129" i="11"/>
  <c r="Q128" i="11"/>
  <c r="Q127" i="11"/>
  <c r="Q120" i="11"/>
  <c r="Q119" i="11"/>
  <c r="Q118" i="11"/>
  <c r="Q117" i="11"/>
  <c r="Q116" i="11"/>
  <c r="Q108" i="11"/>
  <c r="Q107" i="11"/>
  <c r="Q106" i="11"/>
  <c r="Q105" i="11"/>
  <c r="Q104" i="11"/>
  <c r="Q114" i="11"/>
  <c r="Q113" i="11"/>
  <c r="Q112" i="11"/>
  <c r="Q111" i="11"/>
  <c r="Q110" i="11"/>
  <c r="Q125" i="11"/>
  <c r="Q124" i="11"/>
  <c r="Q123" i="11"/>
  <c r="Q122" i="11"/>
  <c r="Q86" i="11"/>
  <c r="Q85" i="11"/>
  <c r="Q84" i="11"/>
  <c r="Q82" i="11"/>
  <c r="Q81" i="11"/>
  <c r="Q92" i="11"/>
  <c r="Q91" i="11"/>
  <c r="Q90" i="11"/>
  <c r="Q89" i="11"/>
  <c r="Q88" i="11"/>
  <c r="Q68" i="11"/>
  <c r="Q67" i="11"/>
  <c r="Q66" i="11"/>
  <c r="Q65" i="11"/>
  <c r="Q64" i="11"/>
  <c r="Q74" i="11"/>
  <c r="Q73" i="11"/>
  <c r="Q72" i="11"/>
  <c r="Q71" i="11"/>
  <c r="Q70" i="11"/>
  <c r="Q79" i="11"/>
  <c r="Q78" i="11"/>
  <c r="Q77" i="11"/>
  <c r="Q76" i="11"/>
  <c r="Q50" i="11"/>
  <c r="Q48" i="11"/>
  <c r="Q47" i="11"/>
  <c r="Q46" i="11"/>
  <c r="Q45" i="11"/>
  <c r="Q43" i="11"/>
  <c r="Q42" i="11"/>
  <c r="Q41" i="11"/>
  <c r="Q40" i="11"/>
  <c r="Q39" i="11"/>
  <c r="Q37" i="11"/>
  <c r="Q36" i="11"/>
  <c r="Q35" i="11"/>
  <c r="Q34" i="11"/>
  <c r="Q32" i="11"/>
  <c r="Q31" i="11"/>
  <c r="Q30" i="11"/>
  <c r="Q28" i="11"/>
  <c r="Q27" i="11"/>
  <c r="Q52" i="11"/>
  <c r="Q24" i="11"/>
  <c r="Q23" i="11"/>
  <c r="Q22" i="11"/>
  <c r="Q20" i="11"/>
  <c r="Q18" i="11"/>
  <c r="Q17" i="11"/>
  <c r="Q16" i="11"/>
  <c r="Q15" i="11"/>
  <c r="Q14" i="11"/>
  <c r="Q12" i="11"/>
  <c r="Q11" i="11"/>
  <c r="Q10" i="11"/>
  <c r="Q9" i="11"/>
  <c r="Q7" i="11"/>
  <c r="Q6" i="11"/>
  <c r="I131" i="11"/>
  <c r="I130" i="11"/>
  <c r="I129" i="11"/>
  <c r="I127" i="11"/>
  <c r="I117" i="11"/>
  <c r="I92" i="11"/>
  <c r="I91" i="11"/>
  <c r="I90" i="11"/>
  <c r="I88" i="11"/>
  <c r="I65" i="11"/>
  <c r="I72" i="11"/>
  <c r="C148" i="11"/>
  <c r="B148" i="11"/>
  <c r="C147" i="11"/>
  <c r="B147" i="11"/>
  <c r="C146" i="11"/>
  <c r="B146" i="11"/>
  <c r="C145" i="11"/>
  <c r="B145" i="11"/>
  <c r="C144" i="11"/>
  <c r="B144" i="11"/>
  <c r="A143" i="11"/>
  <c r="C142" i="11"/>
  <c r="C141" i="11"/>
  <c r="C140" i="11"/>
  <c r="C139" i="11"/>
  <c r="B138" i="11"/>
  <c r="C137" i="11"/>
  <c r="C136" i="11"/>
  <c r="C135" i="11"/>
  <c r="C134" i="11"/>
  <c r="B133" i="11"/>
  <c r="A132" i="11"/>
  <c r="C131" i="11"/>
  <c r="C130" i="11"/>
  <c r="C129" i="11"/>
  <c r="C128" i="11"/>
  <c r="C127" i="11"/>
  <c r="B126" i="11"/>
  <c r="C120" i="11"/>
  <c r="C119" i="11"/>
  <c r="C118" i="11"/>
  <c r="C117" i="11"/>
  <c r="C116" i="11"/>
  <c r="C108" i="11"/>
  <c r="C107" i="11"/>
  <c r="C106" i="11"/>
  <c r="C105" i="11"/>
  <c r="C104" i="11"/>
  <c r="C114" i="11"/>
  <c r="C113" i="11"/>
  <c r="C112" i="11"/>
  <c r="C111" i="11"/>
  <c r="C110" i="11"/>
  <c r="C125" i="11"/>
  <c r="C124" i="11"/>
  <c r="C123" i="11"/>
  <c r="C122" i="11"/>
  <c r="B121" i="11"/>
  <c r="A102" i="11"/>
  <c r="C98" i="11"/>
  <c r="B98" i="11"/>
  <c r="C97" i="11"/>
  <c r="B97" i="11"/>
  <c r="C96" i="11"/>
  <c r="B96" i="11"/>
  <c r="C95" i="11"/>
  <c r="B95" i="11"/>
  <c r="C94" i="11"/>
  <c r="B94" i="11"/>
  <c r="A93" i="11"/>
  <c r="E86" i="11"/>
  <c r="E85" i="11"/>
  <c r="E84" i="11"/>
  <c r="E82" i="11"/>
  <c r="E81" i="11"/>
  <c r="C92" i="11"/>
  <c r="C91" i="11"/>
  <c r="C90" i="11"/>
  <c r="C89" i="11"/>
  <c r="C88" i="11"/>
  <c r="B87" i="11"/>
  <c r="C68" i="11"/>
  <c r="C67" i="11"/>
  <c r="C66" i="11"/>
  <c r="C65" i="11"/>
  <c r="C64" i="11"/>
  <c r="C74" i="11"/>
  <c r="C73" i="11"/>
  <c r="C72" i="11"/>
  <c r="C71" i="11"/>
  <c r="C70" i="11"/>
  <c r="C79" i="11"/>
  <c r="C78" i="11"/>
  <c r="C77" i="11"/>
  <c r="C76" i="11"/>
  <c r="B75" i="11"/>
  <c r="A62" i="11"/>
  <c r="C48" i="11"/>
  <c r="C47" i="11"/>
  <c r="C46" i="11"/>
  <c r="C45" i="11"/>
  <c r="B44" i="11"/>
  <c r="C43" i="11"/>
  <c r="C42" i="11"/>
  <c r="C41" i="11"/>
  <c r="C40" i="11"/>
  <c r="C39" i="11"/>
  <c r="B38" i="11"/>
  <c r="C37" i="11"/>
  <c r="C36" i="11"/>
  <c r="C35" i="11"/>
  <c r="C34" i="11"/>
  <c r="B33" i="11"/>
  <c r="C32" i="11"/>
  <c r="C86" i="11" s="1"/>
  <c r="C31" i="11"/>
  <c r="C85" i="11" s="1"/>
  <c r="C30" i="11"/>
  <c r="C84" i="11" s="1"/>
  <c r="B29" i="11"/>
  <c r="C28" i="11"/>
  <c r="C82" i="11" s="1"/>
  <c r="C27" i="11"/>
  <c r="C81" i="11" s="1"/>
  <c r="B26" i="11"/>
  <c r="A25" i="11"/>
  <c r="C24" i="11"/>
  <c r="C23" i="11"/>
  <c r="C22" i="11"/>
  <c r="B21" i="11"/>
  <c r="C20" i="11"/>
  <c r="B19" i="11"/>
  <c r="C18" i="11"/>
  <c r="C17" i="11"/>
  <c r="C16" i="11"/>
  <c r="C15" i="11"/>
  <c r="C14" i="11"/>
  <c r="B13" i="11"/>
  <c r="C12" i="11"/>
  <c r="C11" i="11"/>
  <c r="C10" i="11"/>
  <c r="C9" i="11"/>
  <c r="B8" i="11"/>
  <c r="C7" i="11"/>
  <c r="C6" i="11"/>
  <c r="B5" i="11"/>
  <c r="A4" i="11"/>
  <c r="K27" i="10"/>
  <c r="F21" i="10"/>
  <c r="F23" i="10"/>
  <c r="F22" i="10"/>
  <c r="F20" i="10"/>
  <c r="E12" i="10" s="1"/>
  <c r="C25" i="4" s="1"/>
  <c r="F19" i="10"/>
  <c r="H31" i="10"/>
  <c r="H13" i="10" s="1"/>
  <c r="G13" i="10"/>
  <c r="I14" i="10"/>
  <c r="H29" i="10"/>
  <c r="H28" i="10"/>
  <c r="J28" i="10"/>
  <c r="H27" i="10"/>
  <c r="F31" i="10"/>
  <c r="E13" i="10" s="1"/>
  <c r="F30" i="10"/>
  <c r="E14" i="10" s="1"/>
  <c r="F29" i="10"/>
  <c r="F28" i="10"/>
  <c r="BE86" i="9"/>
  <c r="BE86" i="2"/>
  <c r="J10" i="4"/>
  <c r="J8" i="4"/>
  <c r="I8" i="4"/>
  <c r="H8" i="4"/>
  <c r="C17" i="4"/>
  <c r="G31" i="4"/>
  <c r="C27" i="4" l="1"/>
  <c r="H14" i="10"/>
  <c r="D22" i="14" s="1"/>
  <c r="L19" i="10"/>
  <c r="L13" i="10" s="1"/>
  <c r="H101" i="19"/>
  <c r="J101" i="19" s="1"/>
  <c r="W86" i="3"/>
  <c r="W87" i="3"/>
  <c r="W88" i="3"/>
  <c r="W81" i="3"/>
  <c r="W82" i="3"/>
  <c r="BE81" i="9"/>
  <c r="BE82" i="9"/>
  <c r="BE80" i="9"/>
  <c r="BE83" i="9"/>
  <c r="BE81" i="8"/>
  <c r="BE82" i="8"/>
  <c r="BE83" i="8"/>
  <c r="BE84" i="8"/>
  <c r="BE83" i="2"/>
  <c r="BE81" i="2"/>
  <c r="BE82" i="2"/>
  <c r="BE111" i="8"/>
  <c r="BE109" i="8"/>
  <c r="BE110" i="8"/>
  <c r="BE113" i="8"/>
  <c r="BE112" i="8"/>
  <c r="BE114" i="8"/>
  <c r="BE107" i="8"/>
  <c r="BE108" i="8"/>
  <c r="BE111" i="9"/>
  <c r="BE109" i="9"/>
  <c r="BE110" i="9"/>
  <c r="BE114" i="9"/>
  <c r="BE113" i="9"/>
  <c r="BE112" i="9"/>
  <c r="BE108" i="9"/>
  <c r="W111" i="3"/>
  <c r="W110" i="3"/>
  <c r="W109" i="3"/>
  <c r="W112" i="3"/>
  <c r="W113" i="3"/>
  <c r="W114" i="3"/>
  <c r="W107" i="3"/>
  <c r="W108" i="3"/>
  <c r="BE110" i="2"/>
  <c r="BE109" i="2"/>
  <c r="BE111" i="2"/>
  <c r="BE112" i="2"/>
  <c r="BE113" i="2"/>
  <c r="BE114" i="2"/>
  <c r="BE107" i="2"/>
  <c r="BE108" i="2"/>
  <c r="BE106" i="2"/>
  <c r="H35" i="4"/>
  <c r="J29" i="10"/>
  <c r="K28" i="10"/>
  <c r="I13" i="10"/>
  <c r="I106" i="11"/>
  <c r="I40" i="11"/>
  <c r="I110" i="11"/>
  <c r="I128" i="11"/>
  <c r="C50" i="11"/>
  <c r="I89" i="11"/>
  <c r="I46" i="11"/>
  <c r="I118" i="11"/>
  <c r="I140" i="11"/>
  <c r="I116" i="11"/>
  <c r="I84" i="11"/>
  <c r="I64" i="11"/>
  <c r="I71" i="11"/>
  <c r="I66" i="11"/>
  <c r="I47" i="11"/>
  <c r="I35" i="4"/>
  <c r="H25" i="4" l="1"/>
  <c r="D22" i="13"/>
  <c r="E22" i="14"/>
  <c r="E22" i="13"/>
  <c r="I25" i="4"/>
  <c r="N18" i="4"/>
  <c r="H99" i="19"/>
  <c r="J99" i="19" s="1"/>
  <c r="H98" i="19"/>
  <c r="J98" i="19" s="1"/>
  <c r="H100" i="19"/>
  <c r="J100" i="19" s="1"/>
  <c r="J30" i="10"/>
  <c r="K29" i="10"/>
  <c r="D26" i="14"/>
  <c r="D26" i="13"/>
  <c r="O18" i="4" l="1"/>
  <c r="K30" i="10"/>
  <c r="J31" i="10"/>
  <c r="K31" i="10" s="1"/>
  <c r="C5" i="4" l="1"/>
  <c r="G11" i="3"/>
  <c r="G11" i="9"/>
  <c r="G11" i="8"/>
  <c r="G11" i="2"/>
  <c r="B7" i="3"/>
  <c r="B7" i="9"/>
  <c r="B7" i="8"/>
  <c r="B7" i="2"/>
  <c r="C13" i="10" l="1"/>
  <c r="E8" i="14" l="1"/>
  <c r="E8" i="13"/>
  <c r="E32" i="13" s="1"/>
  <c r="C14" i="10"/>
  <c r="I10" i="4"/>
  <c r="D8" i="14" l="1"/>
  <c r="D8" i="13"/>
  <c r="D32" i="13" s="1"/>
  <c r="H10" i="4"/>
  <c r="AM129" i="9" l="1"/>
  <c r="BD129" i="9" s="1"/>
  <c r="AL129" i="9"/>
  <c r="BC129" i="9" s="1"/>
  <c r="AK129" i="9"/>
  <c r="BB129" i="9" s="1"/>
  <c r="AJ129" i="9"/>
  <c r="BA129" i="9" s="1"/>
  <c r="AI129" i="9"/>
  <c r="AZ129" i="9" s="1"/>
  <c r="AH129" i="9"/>
  <c r="AY129" i="9" s="1"/>
  <c r="AG129" i="9"/>
  <c r="AX129" i="9" s="1"/>
  <c r="AF129" i="9"/>
  <c r="AW129" i="9" s="1"/>
  <c r="AE129" i="9"/>
  <c r="AV129" i="9" s="1"/>
  <c r="AD129" i="9"/>
  <c r="AU129" i="9" s="1"/>
  <c r="AC129" i="9"/>
  <c r="AT129" i="9" s="1"/>
  <c r="AB129" i="9"/>
  <c r="AS129" i="9" s="1"/>
  <c r="AA129" i="9"/>
  <c r="AR129" i="9" s="1"/>
  <c r="Z129" i="9"/>
  <c r="AQ129" i="9" s="1"/>
  <c r="Y129" i="9"/>
  <c r="X129" i="9"/>
  <c r="AO129" i="9" s="1"/>
  <c r="BH129" i="9" s="1"/>
  <c r="AM128" i="9"/>
  <c r="BD128" i="9" s="1"/>
  <c r="AL128" i="9"/>
  <c r="BC128" i="9" s="1"/>
  <c r="BL128" i="9" s="1"/>
  <c r="AK128" i="9"/>
  <c r="BB128" i="9" s="1"/>
  <c r="AJ128" i="9"/>
  <c r="BA128" i="9" s="1"/>
  <c r="AI128" i="9"/>
  <c r="AZ128" i="9" s="1"/>
  <c r="AH128" i="9"/>
  <c r="AY128" i="9" s="1"/>
  <c r="AG128" i="9"/>
  <c r="AX128" i="9" s="1"/>
  <c r="AF128" i="9"/>
  <c r="AW128" i="9" s="1"/>
  <c r="AE128" i="9"/>
  <c r="AV128" i="9" s="1"/>
  <c r="AD128" i="9"/>
  <c r="AU128" i="9" s="1"/>
  <c r="AC128" i="9"/>
  <c r="AT128" i="9" s="1"/>
  <c r="AB128" i="9"/>
  <c r="AS128" i="9" s="1"/>
  <c r="AA128" i="9"/>
  <c r="AR128" i="9" s="1"/>
  <c r="Z128" i="9"/>
  <c r="AQ128" i="9" s="1"/>
  <c r="Y128" i="9"/>
  <c r="X128" i="9"/>
  <c r="AO128" i="9" s="1"/>
  <c r="BH128" i="9" s="1"/>
  <c r="AM127" i="9"/>
  <c r="BD127" i="9" s="1"/>
  <c r="AL127" i="9"/>
  <c r="BC127" i="9" s="1"/>
  <c r="BL127" i="9" s="1"/>
  <c r="AK127" i="9"/>
  <c r="BB127" i="9" s="1"/>
  <c r="AJ127" i="9"/>
  <c r="BA127" i="9" s="1"/>
  <c r="AI127" i="9"/>
  <c r="AZ127" i="9" s="1"/>
  <c r="AH127" i="9"/>
  <c r="AY127" i="9" s="1"/>
  <c r="AG127" i="9"/>
  <c r="AX127" i="9" s="1"/>
  <c r="AF127" i="9"/>
  <c r="AW127" i="9" s="1"/>
  <c r="AE127" i="9"/>
  <c r="AV127" i="9" s="1"/>
  <c r="AD127" i="9"/>
  <c r="AU127" i="9" s="1"/>
  <c r="AC127" i="9"/>
  <c r="AT127" i="9" s="1"/>
  <c r="AB127" i="9"/>
  <c r="AS127" i="9" s="1"/>
  <c r="AA127" i="9"/>
  <c r="AR127" i="9" s="1"/>
  <c r="Z127" i="9"/>
  <c r="AQ127" i="9" s="1"/>
  <c r="Y127" i="9"/>
  <c r="X127" i="9"/>
  <c r="AO127" i="9" s="1"/>
  <c r="BH127" i="9" s="1"/>
  <c r="AM126" i="9"/>
  <c r="BD126" i="9" s="1"/>
  <c r="AL126" i="9"/>
  <c r="BC126" i="9" s="1"/>
  <c r="BL126" i="9" s="1"/>
  <c r="AK126" i="9"/>
  <c r="BB126" i="9" s="1"/>
  <c r="AJ126" i="9"/>
  <c r="BA126" i="9" s="1"/>
  <c r="AI126" i="9"/>
  <c r="AZ126" i="9" s="1"/>
  <c r="AH126" i="9"/>
  <c r="AY126" i="9" s="1"/>
  <c r="AG126" i="9"/>
  <c r="AX126" i="9" s="1"/>
  <c r="AF126" i="9"/>
  <c r="AW126" i="9" s="1"/>
  <c r="AE126" i="9"/>
  <c r="AV126" i="9" s="1"/>
  <c r="AD126" i="9"/>
  <c r="AU126" i="9" s="1"/>
  <c r="AC126" i="9"/>
  <c r="AT126" i="9" s="1"/>
  <c r="AB126" i="9"/>
  <c r="AS126" i="9" s="1"/>
  <c r="AA126" i="9"/>
  <c r="AR126" i="9" s="1"/>
  <c r="Z126" i="9"/>
  <c r="AQ126" i="9" s="1"/>
  <c r="Y126" i="9"/>
  <c r="X126" i="9"/>
  <c r="AO126" i="9" s="1"/>
  <c r="BH126" i="9" s="1"/>
  <c r="AM125" i="9"/>
  <c r="BD125" i="9" s="1"/>
  <c r="AL125" i="9"/>
  <c r="BC125" i="9" s="1"/>
  <c r="BL125" i="9" s="1"/>
  <c r="AK125" i="9"/>
  <c r="BB125" i="9" s="1"/>
  <c r="AJ125" i="9"/>
  <c r="BA125" i="9" s="1"/>
  <c r="AI125" i="9"/>
  <c r="AZ125" i="9" s="1"/>
  <c r="AH125" i="9"/>
  <c r="AY125" i="9" s="1"/>
  <c r="AG125" i="9"/>
  <c r="AX125" i="9" s="1"/>
  <c r="AF125" i="9"/>
  <c r="AW125" i="9" s="1"/>
  <c r="AE125" i="9"/>
  <c r="AV125" i="9" s="1"/>
  <c r="AD125" i="9"/>
  <c r="AU125" i="9" s="1"/>
  <c r="AC125" i="9"/>
  <c r="AT125" i="9" s="1"/>
  <c r="AB125" i="9"/>
  <c r="AS125" i="9" s="1"/>
  <c r="AA125" i="9"/>
  <c r="AR125" i="9" s="1"/>
  <c r="Z125" i="9"/>
  <c r="AQ125" i="9" s="1"/>
  <c r="Y125" i="9"/>
  <c r="X125" i="9"/>
  <c r="AO125" i="9" s="1"/>
  <c r="BH125" i="9" s="1"/>
  <c r="AM124" i="9"/>
  <c r="BD124" i="9" s="1"/>
  <c r="AL124" i="9"/>
  <c r="BC124" i="9" s="1"/>
  <c r="BL124" i="9" s="1"/>
  <c r="AK124" i="9"/>
  <c r="BB124" i="9" s="1"/>
  <c r="AJ124" i="9"/>
  <c r="BA124" i="9" s="1"/>
  <c r="AI124" i="9"/>
  <c r="AZ124" i="9" s="1"/>
  <c r="AH124" i="9"/>
  <c r="AY124" i="9" s="1"/>
  <c r="AG124" i="9"/>
  <c r="AX124" i="9" s="1"/>
  <c r="AF124" i="9"/>
  <c r="AW124" i="9" s="1"/>
  <c r="AE124" i="9"/>
  <c r="AV124" i="9" s="1"/>
  <c r="AD124" i="9"/>
  <c r="AU124" i="9" s="1"/>
  <c r="AC124" i="9"/>
  <c r="AT124" i="9" s="1"/>
  <c r="AB124" i="9"/>
  <c r="AS124" i="9" s="1"/>
  <c r="AA124" i="9"/>
  <c r="AR124" i="9" s="1"/>
  <c r="Z124" i="9"/>
  <c r="AQ124" i="9" s="1"/>
  <c r="Y124" i="9"/>
  <c r="X124" i="9"/>
  <c r="AO124" i="9" s="1"/>
  <c r="BH124" i="9" s="1"/>
  <c r="AM123" i="9"/>
  <c r="BD123" i="9" s="1"/>
  <c r="AL123" i="9"/>
  <c r="BC123" i="9" s="1"/>
  <c r="BL123" i="9" s="1"/>
  <c r="AK123" i="9"/>
  <c r="BB123" i="9" s="1"/>
  <c r="AJ123" i="9"/>
  <c r="BA123" i="9" s="1"/>
  <c r="AI123" i="9"/>
  <c r="AZ123" i="9" s="1"/>
  <c r="AH123" i="9"/>
  <c r="AY123" i="9" s="1"/>
  <c r="AG123" i="9"/>
  <c r="AX123" i="9" s="1"/>
  <c r="AF123" i="9"/>
  <c r="AW123" i="9" s="1"/>
  <c r="AE123" i="9"/>
  <c r="AV123" i="9" s="1"/>
  <c r="AD123" i="9"/>
  <c r="AU123" i="9" s="1"/>
  <c r="AC123" i="9"/>
  <c r="AT123" i="9" s="1"/>
  <c r="AB123" i="9"/>
  <c r="AS123" i="9" s="1"/>
  <c r="AA123" i="9"/>
  <c r="AR123" i="9" s="1"/>
  <c r="Z123" i="9"/>
  <c r="AQ123" i="9" s="1"/>
  <c r="Y123" i="9"/>
  <c r="X123" i="9"/>
  <c r="AO123" i="9" s="1"/>
  <c r="BH123" i="9" s="1"/>
  <c r="AM122" i="9"/>
  <c r="BD122" i="9" s="1"/>
  <c r="AL122" i="9"/>
  <c r="BC122" i="9" s="1"/>
  <c r="BL122" i="9" s="1"/>
  <c r="AK122" i="9"/>
  <c r="BB122" i="9" s="1"/>
  <c r="AJ122" i="9"/>
  <c r="BA122" i="9" s="1"/>
  <c r="AI122" i="9"/>
  <c r="AZ122" i="9" s="1"/>
  <c r="AH122" i="9"/>
  <c r="AY122" i="9" s="1"/>
  <c r="AG122" i="9"/>
  <c r="AX122" i="9" s="1"/>
  <c r="AF122" i="9"/>
  <c r="AW122" i="9" s="1"/>
  <c r="AE122" i="9"/>
  <c r="AV122" i="9" s="1"/>
  <c r="AD122" i="9"/>
  <c r="AU122" i="9" s="1"/>
  <c r="AC122" i="9"/>
  <c r="AT122" i="9" s="1"/>
  <c r="AB122" i="9"/>
  <c r="AS122" i="9" s="1"/>
  <c r="AA122" i="9"/>
  <c r="AR122" i="9" s="1"/>
  <c r="Z122" i="9"/>
  <c r="AQ122" i="9" s="1"/>
  <c r="Y122" i="9"/>
  <c r="X122" i="9"/>
  <c r="AO122" i="9" s="1"/>
  <c r="BH122" i="9" s="1"/>
  <c r="AM121" i="9"/>
  <c r="BD121" i="9" s="1"/>
  <c r="AL121" i="9"/>
  <c r="BC121" i="9" s="1"/>
  <c r="BL121" i="9" s="1"/>
  <c r="AK121" i="9"/>
  <c r="BB121" i="9" s="1"/>
  <c r="AJ121" i="9"/>
  <c r="BA121" i="9" s="1"/>
  <c r="AI121" i="9"/>
  <c r="AZ121" i="9" s="1"/>
  <c r="AH121" i="9"/>
  <c r="AY121" i="9" s="1"/>
  <c r="AG121" i="9"/>
  <c r="AX121" i="9" s="1"/>
  <c r="AF121" i="9"/>
  <c r="AW121" i="9" s="1"/>
  <c r="AE121" i="9"/>
  <c r="AV121" i="9" s="1"/>
  <c r="AD121" i="9"/>
  <c r="AU121" i="9" s="1"/>
  <c r="AC121" i="9"/>
  <c r="AT121" i="9" s="1"/>
  <c r="AB121" i="9"/>
  <c r="AS121" i="9" s="1"/>
  <c r="AA121" i="9"/>
  <c r="AR121" i="9" s="1"/>
  <c r="Z121" i="9"/>
  <c r="AQ121" i="9" s="1"/>
  <c r="Y121" i="9"/>
  <c r="X121" i="9"/>
  <c r="AO121" i="9" s="1"/>
  <c r="BH121" i="9" s="1"/>
  <c r="AM120" i="9"/>
  <c r="BD120" i="9" s="1"/>
  <c r="AL120" i="9"/>
  <c r="BC120" i="9" s="1"/>
  <c r="AK120" i="9"/>
  <c r="BB120" i="9" s="1"/>
  <c r="AJ120" i="9"/>
  <c r="BA120" i="9" s="1"/>
  <c r="AI120" i="9"/>
  <c r="AZ120" i="9" s="1"/>
  <c r="AH120" i="9"/>
  <c r="AY120" i="9" s="1"/>
  <c r="AG120" i="9"/>
  <c r="AX120" i="9" s="1"/>
  <c r="AF120" i="9"/>
  <c r="AW120" i="9" s="1"/>
  <c r="AE120" i="9"/>
  <c r="AV120" i="9" s="1"/>
  <c r="AD120" i="9"/>
  <c r="AU120" i="9" s="1"/>
  <c r="AC120" i="9"/>
  <c r="AT120" i="9" s="1"/>
  <c r="AB120" i="9"/>
  <c r="AS120" i="9" s="1"/>
  <c r="AA120" i="9"/>
  <c r="AR120" i="9" s="1"/>
  <c r="Z120" i="9"/>
  <c r="AQ120" i="9" s="1"/>
  <c r="Y120" i="9"/>
  <c r="X120" i="9"/>
  <c r="AO120" i="9" s="1"/>
  <c r="AM119" i="9"/>
  <c r="BD119" i="9" s="1"/>
  <c r="AL119" i="9"/>
  <c r="BC119" i="9" s="1"/>
  <c r="BL119" i="9" s="1"/>
  <c r="AK119" i="9"/>
  <c r="BB119" i="9" s="1"/>
  <c r="AJ119" i="9"/>
  <c r="BA119" i="9" s="1"/>
  <c r="AI119" i="9"/>
  <c r="AZ119" i="9" s="1"/>
  <c r="AH119" i="9"/>
  <c r="AY119" i="9" s="1"/>
  <c r="AG119" i="9"/>
  <c r="AX119" i="9" s="1"/>
  <c r="AF119" i="9"/>
  <c r="AW119" i="9" s="1"/>
  <c r="AE119" i="9"/>
  <c r="AV119" i="9" s="1"/>
  <c r="AD119" i="9"/>
  <c r="AU119" i="9" s="1"/>
  <c r="AC119" i="9"/>
  <c r="AT119" i="9" s="1"/>
  <c r="AB119" i="9"/>
  <c r="AS119" i="9" s="1"/>
  <c r="AA119" i="9"/>
  <c r="AR119" i="9" s="1"/>
  <c r="Z119" i="9"/>
  <c r="AQ119" i="9" s="1"/>
  <c r="Y119" i="9"/>
  <c r="X119" i="9"/>
  <c r="AO119" i="9" s="1"/>
  <c r="BH119" i="9" s="1"/>
  <c r="AM118" i="9"/>
  <c r="BD118" i="9" s="1"/>
  <c r="AL118" i="9"/>
  <c r="BC118" i="9" s="1"/>
  <c r="BL118" i="9" s="1"/>
  <c r="AK118" i="9"/>
  <c r="BB118" i="9" s="1"/>
  <c r="AJ118" i="9"/>
  <c r="BA118" i="9" s="1"/>
  <c r="AI118" i="9"/>
  <c r="AZ118" i="9" s="1"/>
  <c r="AH118" i="9"/>
  <c r="AY118" i="9" s="1"/>
  <c r="AG118" i="9"/>
  <c r="AX118" i="9" s="1"/>
  <c r="AF118" i="9"/>
  <c r="AW118" i="9" s="1"/>
  <c r="AE118" i="9"/>
  <c r="AV118" i="9" s="1"/>
  <c r="AD118" i="9"/>
  <c r="AU118" i="9" s="1"/>
  <c r="AC118" i="9"/>
  <c r="AT118" i="9" s="1"/>
  <c r="AB118" i="9"/>
  <c r="AS118" i="9" s="1"/>
  <c r="AA118" i="9"/>
  <c r="AR118" i="9" s="1"/>
  <c r="Z118" i="9"/>
  <c r="AQ118" i="9" s="1"/>
  <c r="Y118" i="9"/>
  <c r="X118" i="9"/>
  <c r="AO118" i="9" s="1"/>
  <c r="BH118" i="9" s="1"/>
  <c r="AM117" i="9"/>
  <c r="BD117" i="9" s="1"/>
  <c r="AL117" i="9"/>
  <c r="BC117" i="9" s="1"/>
  <c r="BL117" i="9" s="1"/>
  <c r="AK117" i="9"/>
  <c r="BB117" i="9" s="1"/>
  <c r="AJ117" i="9"/>
  <c r="BA117" i="9" s="1"/>
  <c r="AI117" i="9"/>
  <c r="AZ117" i="9" s="1"/>
  <c r="AH117" i="9"/>
  <c r="AY117" i="9" s="1"/>
  <c r="AG117" i="9"/>
  <c r="AX117" i="9" s="1"/>
  <c r="AF117" i="9"/>
  <c r="AW117" i="9" s="1"/>
  <c r="AE117" i="9"/>
  <c r="AV117" i="9" s="1"/>
  <c r="AD117" i="9"/>
  <c r="AU117" i="9" s="1"/>
  <c r="AC117" i="9"/>
  <c r="AT117" i="9" s="1"/>
  <c r="AB117" i="9"/>
  <c r="AS117" i="9" s="1"/>
  <c r="AA117" i="9"/>
  <c r="AR117" i="9" s="1"/>
  <c r="Z117" i="9"/>
  <c r="AQ117" i="9" s="1"/>
  <c r="Y117" i="9"/>
  <c r="X117" i="9"/>
  <c r="AO117" i="9" s="1"/>
  <c r="BH117" i="9" s="1"/>
  <c r="AM116" i="9"/>
  <c r="BD116" i="9" s="1"/>
  <c r="AL116" i="9"/>
  <c r="BC116" i="9" s="1"/>
  <c r="AK116" i="9"/>
  <c r="BB116" i="9" s="1"/>
  <c r="AJ116" i="9"/>
  <c r="BA116" i="9" s="1"/>
  <c r="AI116" i="9"/>
  <c r="AZ116" i="9" s="1"/>
  <c r="AH116" i="9"/>
  <c r="AY116" i="9" s="1"/>
  <c r="AG116" i="9"/>
  <c r="AX116" i="9" s="1"/>
  <c r="AF116" i="9"/>
  <c r="AW116" i="9" s="1"/>
  <c r="AE116" i="9"/>
  <c r="AV116" i="9" s="1"/>
  <c r="AD116" i="9"/>
  <c r="AU116" i="9" s="1"/>
  <c r="AC116" i="9"/>
  <c r="AT116" i="9" s="1"/>
  <c r="AB116" i="9"/>
  <c r="AS116" i="9" s="1"/>
  <c r="AA116" i="9"/>
  <c r="AR116" i="9" s="1"/>
  <c r="Z116" i="9"/>
  <c r="AQ116" i="9" s="1"/>
  <c r="Y116" i="9"/>
  <c r="X116" i="9"/>
  <c r="AO116" i="9" s="1"/>
  <c r="BH116" i="9" s="1"/>
  <c r="AM115" i="9"/>
  <c r="BD115" i="9" s="1"/>
  <c r="AL115" i="9"/>
  <c r="BC115" i="9" s="1"/>
  <c r="AK115" i="9"/>
  <c r="BB115" i="9" s="1"/>
  <c r="AJ115" i="9"/>
  <c r="BA115" i="9" s="1"/>
  <c r="AI115" i="9"/>
  <c r="AZ115" i="9" s="1"/>
  <c r="AH115" i="9"/>
  <c r="AY115" i="9" s="1"/>
  <c r="AG115" i="9"/>
  <c r="AX115" i="9" s="1"/>
  <c r="AF115" i="9"/>
  <c r="AW115" i="9" s="1"/>
  <c r="AE115" i="9"/>
  <c r="AV115" i="9" s="1"/>
  <c r="AD115" i="9"/>
  <c r="AU115" i="9" s="1"/>
  <c r="AC115" i="9"/>
  <c r="AT115" i="9" s="1"/>
  <c r="AB115" i="9"/>
  <c r="AS115" i="9" s="1"/>
  <c r="AA115" i="9"/>
  <c r="AR115" i="9" s="1"/>
  <c r="Z115" i="9"/>
  <c r="AQ115" i="9" s="1"/>
  <c r="Y115" i="9"/>
  <c r="X115" i="9"/>
  <c r="AO115" i="9" s="1"/>
  <c r="AM107" i="9"/>
  <c r="BD107" i="9" s="1"/>
  <c r="AL107" i="9"/>
  <c r="BC107" i="9" s="1"/>
  <c r="AK107" i="9"/>
  <c r="BB107" i="9" s="1"/>
  <c r="AJ107" i="9"/>
  <c r="BA107" i="9" s="1"/>
  <c r="AI107" i="9"/>
  <c r="AZ107" i="9" s="1"/>
  <c r="AH107" i="9"/>
  <c r="AY107" i="9" s="1"/>
  <c r="AG107" i="9"/>
  <c r="AX107" i="9" s="1"/>
  <c r="AF107" i="9"/>
  <c r="AW107" i="9" s="1"/>
  <c r="AE107" i="9"/>
  <c r="AV107" i="9" s="1"/>
  <c r="AD107" i="9"/>
  <c r="AU107" i="9" s="1"/>
  <c r="AC107" i="9"/>
  <c r="AT107" i="9" s="1"/>
  <c r="AB107" i="9"/>
  <c r="AS107" i="9" s="1"/>
  <c r="AA107" i="9"/>
  <c r="AR107" i="9" s="1"/>
  <c r="Z107" i="9"/>
  <c r="AQ107" i="9" s="1"/>
  <c r="Y107" i="9"/>
  <c r="X107" i="9"/>
  <c r="AO107" i="9" s="1"/>
  <c r="BH107" i="9" s="1"/>
  <c r="AM106" i="9"/>
  <c r="BD106" i="9" s="1"/>
  <c r="AL106" i="9"/>
  <c r="BC106" i="9" s="1"/>
  <c r="AK106" i="9"/>
  <c r="BB106" i="9" s="1"/>
  <c r="AJ106" i="9"/>
  <c r="BA106" i="9" s="1"/>
  <c r="AI106" i="9"/>
  <c r="AZ106" i="9" s="1"/>
  <c r="AH106" i="9"/>
  <c r="AY106" i="9" s="1"/>
  <c r="AG106" i="9"/>
  <c r="AX106" i="9" s="1"/>
  <c r="AF106" i="9"/>
  <c r="AW106" i="9" s="1"/>
  <c r="AE106" i="9"/>
  <c r="AV106" i="9" s="1"/>
  <c r="AD106" i="9"/>
  <c r="AU106" i="9" s="1"/>
  <c r="AC106" i="9"/>
  <c r="AT106" i="9" s="1"/>
  <c r="AB106" i="9"/>
  <c r="AS106" i="9" s="1"/>
  <c r="AA106" i="9"/>
  <c r="AR106" i="9" s="1"/>
  <c r="Z106" i="9"/>
  <c r="AQ106" i="9" s="1"/>
  <c r="Y106" i="9"/>
  <c r="X106" i="9"/>
  <c r="AO106" i="9" s="1"/>
  <c r="BH106" i="9" s="1"/>
  <c r="AM105" i="9"/>
  <c r="BD105" i="9" s="1"/>
  <c r="AL105" i="9"/>
  <c r="BC105" i="9" s="1"/>
  <c r="AK105" i="9"/>
  <c r="BB105" i="9" s="1"/>
  <c r="AJ105" i="9"/>
  <c r="BA105" i="9" s="1"/>
  <c r="AI105" i="9"/>
  <c r="AZ105" i="9" s="1"/>
  <c r="AH105" i="9"/>
  <c r="AY105" i="9" s="1"/>
  <c r="AG105" i="9"/>
  <c r="AX105" i="9" s="1"/>
  <c r="AF105" i="9"/>
  <c r="AW105" i="9" s="1"/>
  <c r="AE105" i="9"/>
  <c r="AV105" i="9" s="1"/>
  <c r="AD105" i="9"/>
  <c r="AU105" i="9" s="1"/>
  <c r="AC105" i="9"/>
  <c r="AT105" i="9" s="1"/>
  <c r="AB105" i="9"/>
  <c r="AS105" i="9" s="1"/>
  <c r="AA105" i="9"/>
  <c r="AR105" i="9" s="1"/>
  <c r="Z105" i="9"/>
  <c r="AQ105" i="9" s="1"/>
  <c r="Y105" i="9"/>
  <c r="X105" i="9"/>
  <c r="AO105" i="9" s="1"/>
  <c r="AM104" i="9"/>
  <c r="BD104" i="9" s="1"/>
  <c r="AL104" i="9"/>
  <c r="BC104" i="9" s="1"/>
  <c r="AK104" i="9"/>
  <c r="BB104" i="9" s="1"/>
  <c r="AJ104" i="9"/>
  <c r="BA104" i="9" s="1"/>
  <c r="AI104" i="9"/>
  <c r="AZ104" i="9" s="1"/>
  <c r="AH104" i="9"/>
  <c r="AY104" i="9" s="1"/>
  <c r="AG104" i="9"/>
  <c r="AX104" i="9" s="1"/>
  <c r="AF104" i="9"/>
  <c r="AW104" i="9" s="1"/>
  <c r="AE104" i="9"/>
  <c r="AV104" i="9" s="1"/>
  <c r="AD104" i="9"/>
  <c r="AU104" i="9" s="1"/>
  <c r="AC104" i="9"/>
  <c r="AT104" i="9" s="1"/>
  <c r="AB104" i="9"/>
  <c r="AS104" i="9" s="1"/>
  <c r="AA104" i="9"/>
  <c r="AR104" i="9" s="1"/>
  <c r="Z104" i="9"/>
  <c r="AQ104" i="9" s="1"/>
  <c r="Y104" i="9"/>
  <c r="X104" i="9"/>
  <c r="AO104" i="9" s="1"/>
  <c r="AM99" i="9"/>
  <c r="BD99" i="9" s="1"/>
  <c r="AL99" i="9"/>
  <c r="BC99" i="9" s="1"/>
  <c r="AK99" i="9"/>
  <c r="BB99" i="9" s="1"/>
  <c r="AJ99" i="9"/>
  <c r="BA99" i="9" s="1"/>
  <c r="AI99" i="9"/>
  <c r="AZ99" i="9" s="1"/>
  <c r="AH99" i="9"/>
  <c r="AY99" i="9" s="1"/>
  <c r="AG99" i="9"/>
  <c r="AX99" i="9" s="1"/>
  <c r="AF99" i="9"/>
  <c r="AW99" i="9" s="1"/>
  <c r="AE99" i="9"/>
  <c r="AV99" i="9" s="1"/>
  <c r="AD99" i="9"/>
  <c r="AU99" i="9" s="1"/>
  <c r="AC99" i="9"/>
  <c r="AT99" i="9" s="1"/>
  <c r="AB99" i="9"/>
  <c r="AS99" i="9" s="1"/>
  <c r="AA99" i="9"/>
  <c r="AR99" i="9" s="1"/>
  <c r="Z99" i="9"/>
  <c r="AQ99" i="9" s="1"/>
  <c r="Y99" i="9"/>
  <c r="X99" i="9"/>
  <c r="AO99" i="9" s="1"/>
  <c r="BH99" i="9" s="1"/>
  <c r="AM98" i="9"/>
  <c r="BD98" i="9" s="1"/>
  <c r="AL98" i="9"/>
  <c r="BC98" i="9" s="1"/>
  <c r="AK98" i="9"/>
  <c r="BB98" i="9" s="1"/>
  <c r="AJ98" i="9"/>
  <c r="BA98" i="9" s="1"/>
  <c r="AI98" i="9"/>
  <c r="AZ98" i="9" s="1"/>
  <c r="AH98" i="9"/>
  <c r="AY98" i="9" s="1"/>
  <c r="AG98" i="9"/>
  <c r="AX98" i="9" s="1"/>
  <c r="AF98" i="9"/>
  <c r="AW98" i="9" s="1"/>
  <c r="AE98" i="9"/>
  <c r="AV98" i="9" s="1"/>
  <c r="AD98" i="9"/>
  <c r="AU98" i="9" s="1"/>
  <c r="AC98" i="9"/>
  <c r="AT98" i="9" s="1"/>
  <c r="AB98" i="9"/>
  <c r="AS98" i="9" s="1"/>
  <c r="AA98" i="9"/>
  <c r="AR98" i="9" s="1"/>
  <c r="Z98" i="9"/>
  <c r="AQ98" i="9" s="1"/>
  <c r="Y98" i="9"/>
  <c r="X98" i="9"/>
  <c r="AO98" i="9" s="1"/>
  <c r="BH98" i="9" s="1"/>
  <c r="AM103" i="9"/>
  <c r="BD103" i="9" s="1"/>
  <c r="AL103" i="9"/>
  <c r="BC103" i="9" s="1"/>
  <c r="AK103" i="9"/>
  <c r="BB103" i="9" s="1"/>
  <c r="AJ103" i="9"/>
  <c r="BA103" i="9" s="1"/>
  <c r="AI103" i="9"/>
  <c r="AZ103" i="9" s="1"/>
  <c r="AH103" i="9"/>
  <c r="AY103" i="9" s="1"/>
  <c r="AG103" i="9"/>
  <c r="AX103" i="9" s="1"/>
  <c r="AF103" i="9"/>
  <c r="AW103" i="9" s="1"/>
  <c r="AE103" i="9"/>
  <c r="AV103" i="9" s="1"/>
  <c r="AD103" i="9"/>
  <c r="AU103" i="9" s="1"/>
  <c r="AC103" i="9"/>
  <c r="AT103" i="9" s="1"/>
  <c r="AB103" i="9"/>
  <c r="AS103" i="9" s="1"/>
  <c r="AA103" i="9"/>
  <c r="AR103" i="9" s="1"/>
  <c r="Z103" i="9"/>
  <c r="AQ103" i="9" s="1"/>
  <c r="Y103" i="9"/>
  <c r="X103" i="9"/>
  <c r="AO103" i="9" s="1"/>
  <c r="BH103" i="9" s="1"/>
  <c r="AM102" i="9"/>
  <c r="BD102" i="9" s="1"/>
  <c r="AL102" i="9"/>
  <c r="BC102" i="9" s="1"/>
  <c r="AK102" i="9"/>
  <c r="BB102" i="9" s="1"/>
  <c r="AJ102" i="9"/>
  <c r="BA102" i="9" s="1"/>
  <c r="AI102" i="9"/>
  <c r="AZ102" i="9" s="1"/>
  <c r="AH102" i="9"/>
  <c r="AY102" i="9" s="1"/>
  <c r="AG102" i="9"/>
  <c r="AX102" i="9" s="1"/>
  <c r="AF102" i="9"/>
  <c r="AW102" i="9" s="1"/>
  <c r="AE102" i="9"/>
  <c r="AV102" i="9" s="1"/>
  <c r="AD102" i="9"/>
  <c r="AU102" i="9" s="1"/>
  <c r="AC102" i="9"/>
  <c r="AT102" i="9" s="1"/>
  <c r="AB102" i="9"/>
  <c r="AS102" i="9" s="1"/>
  <c r="AA102" i="9"/>
  <c r="AR102" i="9" s="1"/>
  <c r="Z102" i="9"/>
  <c r="AQ102" i="9" s="1"/>
  <c r="Y102" i="9"/>
  <c r="X102" i="9"/>
  <c r="AO102" i="9" s="1"/>
  <c r="BH102" i="9" s="1"/>
  <c r="AM100" i="9"/>
  <c r="BD100" i="9" s="1"/>
  <c r="AL100" i="9"/>
  <c r="BC100" i="9" s="1"/>
  <c r="AK100" i="9"/>
  <c r="BB100" i="9" s="1"/>
  <c r="AJ100" i="9"/>
  <c r="BA100" i="9" s="1"/>
  <c r="AI100" i="9"/>
  <c r="AZ100" i="9" s="1"/>
  <c r="AH100" i="9"/>
  <c r="AY100" i="9" s="1"/>
  <c r="AG100" i="9"/>
  <c r="AX100" i="9" s="1"/>
  <c r="AF100" i="9"/>
  <c r="AW100" i="9" s="1"/>
  <c r="AE100" i="9"/>
  <c r="AV100" i="9" s="1"/>
  <c r="AD100" i="9"/>
  <c r="AU100" i="9" s="1"/>
  <c r="AC100" i="9"/>
  <c r="AT100" i="9" s="1"/>
  <c r="AB100" i="9"/>
  <c r="AS100" i="9" s="1"/>
  <c r="AA100" i="9"/>
  <c r="AR100" i="9" s="1"/>
  <c r="Z100" i="9"/>
  <c r="AQ100" i="9" s="1"/>
  <c r="Y100" i="9"/>
  <c r="X100" i="9"/>
  <c r="AO100" i="9" s="1"/>
  <c r="BH100" i="9" s="1"/>
  <c r="AM97" i="9"/>
  <c r="BD97" i="9" s="1"/>
  <c r="AL97" i="9"/>
  <c r="BC97" i="9" s="1"/>
  <c r="AK97" i="9"/>
  <c r="BB97" i="9" s="1"/>
  <c r="AJ97" i="9"/>
  <c r="BA97" i="9" s="1"/>
  <c r="AI97" i="9"/>
  <c r="AZ97" i="9" s="1"/>
  <c r="AH97" i="9"/>
  <c r="AY97" i="9" s="1"/>
  <c r="AG97" i="9"/>
  <c r="AX97" i="9" s="1"/>
  <c r="AF97" i="9"/>
  <c r="AW97" i="9" s="1"/>
  <c r="AE97" i="9"/>
  <c r="AV97" i="9" s="1"/>
  <c r="AD97" i="9"/>
  <c r="AU97" i="9" s="1"/>
  <c r="AC97" i="9"/>
  <c r="AT97" i="9" s="1"/>
  <c r="AB97" i="9"/>
  <c r="AS97" i="9" s="1"/>
  <c r="AA97" i="9"/>
  <c r="AR97" i="9" s="1"/>
  <c r="Z97" i="9"/>
  <c r="AQ97" i="9" s="1"/>
  <c r="Y97" i="9"/>
  <c r="X97" i="9"/>
  <c r="AO97" i="9" s="1"/>
  <c r="BH97" i="9" s="1"/>
  <c r="AM96" i="9"/>
  <c r="BD96" i="9" s="1"/>
  <c r="AL96" i="9"/>
  <c r="BC96" i="9" s="1"/>
  <c r="AK96" i="9"/>
  <c r="BB96" i="9" s="1"/>
  <c r="AJ96" i="9"/>
  <c r="BA96" i="9" s="1"/>
  <c r="AI96" i="9"/>
  <c r="AZ96" i="9" s="1"/>
  <c r="AH96" i="9"/>
  <c r="AY96" i="9" s="1"/>
  <c r="AG96" i="9"/>
  <c r="AX96" i="9" s="1"/>
  <c r="AF96" i="9"/>
  <c r="AW96" i="9" s="1"/>
  <c r="AE96" i="9"/>
  <c r="AV96" i="9" s="1"/>
  <c r="AD96" i="9"/>
  <c r="AU96" i="9" s="1"/>
  <c r="AC96" i="9"/>
  <c r="AT96" i="9" s="1"/>
  <c r="AB96" i="9"/>
  <c r="AS96" i="9" s="1"/>
  <c r="AA96" i="9"/>
  <c r="AR96" i="9" s="1"/>
  <c r="Z96" i="9"/>
  <c r="AQ96" i="9" s="1"/>
  <c r="Y96" i="9"/>
  <c r="X96" i="9"/>
  <c r="AO96" i="9" s="1"/>
  <c r="AM95" i="9"/>
  <c r="BD95" i="9" s="1"/>
  <c r="AL95" i="9"/>
  <c r="BC95" i="9" s="1"/>
  <c r="AK95" i="9"/>
  <c r="BB95" i="9" s="1"/>
  <c r="AJ95" i="9"/>
  <c r="BA95" i="9" s="1"/>
  <c r="AI95" i="9"/>
  <c r="AZ95" i="9" s="1"/>
  <c r="AH95" i="9"/>
  <c r="AY95" i="9" s="1"/>
  <c r="AG95" i="9"/>
  <c r="AX95" i="9" s="1"/>
  <c r="AF95" i="9"/>
  <c r="AW95" i="9" s="1"/>
  <c r="AE95" i="9"/>
  <c r="AV95" i="9" s="1"/>
  <c r="AD95" i="9"/>
  <c r="AU95" i="9" s="1"/>
  <c r="AC95" i="9"/>
  <c r="AT95" i="9" s="1"/>
  <c r="AB95" i="9"/>
  <c r="AS95" i="9" s="1"/>
  <c r="AA95" i="9"/>
  <c r="AR95" i="9" s="1"/>
  <c r="Z95" i="9"/>
  <c r="AQ95" i="9" s="1"/>
  <c r="Y95" i="9"/>
  <c r="X95" i="9"/>
  <c r="AO95" i="9" s="1"/>
  <c r="AM94" i="9"/>
  <c r="BD94" i="9" s="1"/>
  <c r="AL94" i="9"/>
  <c r="BC94" i="9" s="1"/>
  <c r="AK94" i="9"/>
  <c r="BB94" i="9" s="1"/>
  <c r="AJ94" i="9"/>
  <c r="BA94" i="9" s="1"/>
  <c r="AI94" i="9"/>
  <c r="AZ94" i="9" s="1"/>
  <c r="AH94" i="9"/>
  <c r="AY94" i="9" s="1"/>
  <c r="AG94" i="9"/>
  <c r="AX94" i="9" s="1"/>
  <c r="AF94" i="9"/>
  <c r="AW94" i="9" s="1"/>
  <c r="AE94" i="9"/>
  <c r="AV94" i="9" s="1"/>
  <c r="AD94" i="9"/>
  <c r="AU94" i="9" s="1"/>
  <c r="AC94" i="9"/>
  <c r="AT94" i="9" s="1"/>
  <c r="AB94" i="9"/>
  <c r="AS94" i="9" s="1"/>
  <c r="AA94" i="9"/>
  <c r="AR94" i="9" s="1"/>
  <c r="Z94" i="9"/>
  <c r="AQ94" i="9" s="1"/>
  <c r="Y94" i="9"/>
  <c r="X94" i="9"/>
  <c r="AO94" i="9" s="1"/>
  <c r="AM93" i="9"/>
  <c r="BD93" i="9" s="1"/>
  <c r="AL93" i="9"/>
  <c r="BC93" i="9" s="1"/>
  <c r="AK93" i="9"/>
  <c r="BB93" i="9" s="1"/>
  <c r="AJ93" i="9"/>
  <c r="BA93" i="9" s="1"/>
  <c r="AI93" i="9"/>
  <c r="AZ93" i="9" s="1"/>
  <c r="AH93" i="9"/>
  <c r="AY93" i="9" s="1"/>
  <c r="AG93" i="9"/>
  <c r="AX93" i="9" s="1"/>
  <c r="AF93" i="9"/>
  <c r="AW93" i="9" s="1"/>
  <c r="AE93" i="9"/>
  <c r="AV93" i="9" s="1"/>
  <c r="AD93" i="9"/>
  <c r="AU93" i="9" s="1"/>
  <c r="AC93" i="9"/>
  <c r="AT93" i="9" s="1"/>
  <c r="AB93" i="9"/>
  <c r="AS93" i="9" s="1"/>
  <c r="AA93" i="9"/>
  <c r="AR93" i="9" s="1"/>
  <c r="Z93" i="9"/>
  <c r="AQ93" i="9" s="1"/>
  <c r="Y93" i="9"/>
  <c r="X93" i="9"/>
  <c r="AO93" i="9" s="1"/>
  <c r="BH93" i="9" s="1"/>
  <c r="AM92" i="9"/>
  <c r="BD92" i="9" s="1"/>
  <c r="AL92" i="9"/>
  <c r="BC92" i="9" s="1"/>
  <c r="AK92" i="9"/>
  <c r="BB92" i="9" s="1"/>
  <c r="AJ92" i="9"/>
  <c r="BA92" i="9" s="1"/>
  <c r="AI92" i="9"/>
  <c r="AZ92" i="9" s="1"/>
  <c r="AH92" i="9"/>
  <c r="AY92" i="9" s="1"/>
  <c r="AG92" i="9"/>
  <c r="AX92" i="9" s="1"/>
  <c r="AF92" i="9"/>
  <c r="AW92" i="9" s="1"/>
  <c r="AE92" i="9"/>
  <c r="AV92" i="9" s="1"/>
  <c r="AD92" i="9"/>
  <c r="AU92" i="9" s="1"/>
  <c r="AC92" i="9"/>
  <c r="AT92" i="9" s="1"/>
  <c r="AB92" i="9"/>
  <c r="AS92" i="9" s="1"/>
  <c r="AA92" i="9"/>
  <c r="AR92" i="9" s="1"/>
  <c r="Z92" i="9"/>
  <c r="AQ92" i="9" s="1"/>
  <c r="Y92" i="9"/>
  <c r="X92" i="9"/>
  <c r="AO92" i="9" s="1"/>
  <c r="BH92" i="9" s="1"/>
  <c r="AM91" i="9"/>
  <c r="BD91" i="9" s="1"/>
  <c r="AL91" i="9"/>
  <c r="BC91" i="9" s="1"/>
  <c r="AK91" i="9"/>
  <c r="BB91" i="9" s="1"/>
  <c r="AJ91" i="9"/>
  <c r="BA91" i="9" s="1"/>
  <c r="AI91" i="9"/>
  <c r="AZ91" i="9" s="1"/>
  <c r="AH91" i="9"/>
  <c r="AY91" i="9" s="1"/>
  <c r="AG91" i="9"/>
  <c r="AX91" i="9" s="1"/>
  <c r="AF91" i="9"/>
  <c r="AW91" i="9" s="1"/>
  <c r="AE91" i="9"/>
  <c r="AV91" i="9" s="1"/>
  <c r="AD91" i="9"/>
  <c r="AU91" i="9" s="1"/>
  <c r="AC91" i="9"/>
  <c r="AT91" i="9" s="1"/>
  <c r="AB91" i="9"/>
  <c r="AS91" i="9" s="1"/>
  <c r="AA91" i="9"/>
  <c r="AR91" i="9" s="1"/>
  <c r="Z91" i="9"/>
  <c r="AQ91" i="9" s="1"/>
  <c r="Y91" i="9"/>
  <c r="X91" i="9"/>
  <c r="AO91" i="9" s="1"/>
  <c r="BH91" i="9" s="1"/>
  <c r="AM90" i="9"/>
  <c r="BD90" i="9" s="1"/>
  <c r="AL90" i="9"/>
  <c r="BC90" i="9" s="1"/>
  <c r="AK90" i="9"/>
  <c r="BB90" i="9" s="1"/>
  <c r="AJ90" i="9"/>
  <c r="BA90" i="9" s="1"/>
  <c r="AI90" i="9"/>
  <c r="AZ90" i="9" s="1"/>
  <c r="AH90" i="9"/>
  <c r="AY90" i="9" s="1"/>
  <c r="AG90" i="9"/>
  <c r="AX90" i="9" s="1"/>
  <c r="AF90" i="9"/>
  <c r="AW90" i="9" s="1"/>
  <c r="AE90" i="9"/>
  <c r="AV90" i="9" s="1"/>
  <c r="AD90" i="9"/>
  <c r="AU90" i="9" s="1"/>
  <c r="AC90" i="9"/>
  <c r="AT90" i="9" s="1"/>
  <c r="AB90" i="9"/>
  <c r="AS90" i="9" s="1"/>
  <c r="AA90" i="9"/>
  <c r="AR90" i="9" s="1"/>
  <c r="Z90" i="9"/>
  <c r="AQ90" i="9" s="1"/>
  <c r="Y90" i="9"/>
  <c r="X90" i="9"/>
  <c r="AO90" i="9" s="1"/>
  <c r="BH90" i="9" s="1"/>
  <c r="AM89" i="9"/>
  <c r="BD89" i="9" s="1"/>
  <c r="AL89" i="9"/>
  <c r="BC89" i="9" s="1"/>
  <c r="AK89" i="9"/>
  <c r="BB89" i="9" s="1"/>
  <c r="AJ89" i="9"/>
  <c r="BA89" i="9" s="1"/>
  <c r="AI89" i="9"/>
  <c r="AZ89" i="9" s="1"/>
  <c r="AH89" i="9"/>
  <c r="AY89" i="9" s="1"/>
  <c r="AG89" i="9"/>
  <c r="AX89" i="9" s="1"/>
  <c r="AF89" i="9"/>
  <c r="AW89" i="9" s="1"/>
  <c r="AE89" i="9"/>
  <c r="AV89" i="9" s="1"/>
  <c r="AD89" i="9"/>
  <c r="AU89" i="9" s="1"/>
  <c r="AC89" i="9"/>
  <c r="AT89" i="9" s="1"/>
  <c r="AB89" i="9"/>
  <c r="AS89" i="9" s="1"/>
  <c r="AA89" i="9"/>
  <c r="AR89" i="9" s="1"/>
  <c r="Z89" i="9"/>
  <c r="AQ89" i="9" s="1"/>
  <c r="Y89" i="9"/>
  <c r="X89" i="9"/>
  <c r="AO89" i="9" s="1"/>
  <c r="BH89" i="9" s="1"/>
  <c r="AM88" i="9"/>
  <c r="BD88" i="9" s="1"/>
  <c r="AL88" i="9"/>
  <c r="BC88" i="9" s="1"/>
  <c r="AK88" i="9"/>
  <c r="BB88" i="9" s="1"/>
  <c r="AJ88" i="9"/>
  <c r="BA88" i="9" s="1"/>
  <c r="AI88" i="9"/>
  <c r="AZ88" i="9" s="1"/>
  <c r="AH88" i="9"/>
  <c r="AY88" i="9" s="1"/>
  <c r="AG88" i="9"/>
  <c r="AX88" i="9" s="1"/>
  <c r="AF88" i="9"/>
  <c r="AW88" i="9" s="1"/>
  <c r="AE88" i="9"/>
  <c r="AV88" i="9" s="1"/>
  <c r="AD88" i="9"/>
  <c r="AU88" i="9" s="1"/>
  <c r="AC88" i="9"/>
  <c r="AT88" i="9" s="1"/>
  <c r="AB88" i="9"/>
  <c r="AS88" i="9" s="1"/>
  <c r="AA88" i="9"/>
  <c r="AR88" i="9" s="1"/>
  <c r="Z88" i="9"/>
  <c r="AQ88" i="9" s="1"/>
  <c r="Y88" i="9"/>
  <c r="X88" i="9"/>
  <c r="AO88" i="9" s="1"/>
  <c r="BH88" i="9" s="1"/>
  <c r="AM87" i="9"/>
  <c r="BD87" i="9" s="1"/>
  <c r="AL87" i="9"/>
  <c r="BC87" i="9" s="1"/>
  <c r="AK87" i="9"/>
  <c r="BB87" i="9" s="1"/>
  <c r="AJ87" i="9"/>
  <c r="BA87" i="9" s="1"/>
  <c r="AI87" i="9"/>
  <c r="AZ87" i="9" s="1"/>
  <c r="AH87" i="9"/>
  <c r="AY87" i="9" s="1"/>
  <c r="AG87" i="9"/>
  <c r="AX87" i="9" s="1"/>
  <c r="AF87" i="9"/>
  <c r="AW87" i="9" s="1"/>
  <c r="AE87" i="9"/>
  <c r="AV87" i="9" s="1"/>
  <c r="AD87" i="9"/>
  <c r="AU87" i="9" s="1"/>
  <c r="AC87" i="9"/>
  <c r="AT87" i="9" s="1"/>
  <c r="AB87" i="9"/>
  <c r="AA87" i="9"/>
  <c r="AR87" i="9" s="1"/>
  <c r="Z87" i="9"/>
  <c r="Y87" i="9"/>
  <c r="X87" i="9"/>
  <c r="AO87" i="9" s="1"/>
  <c r="BH87" i="9" s="1"/>
  <c r="AM85" i="9"/>
  <c r="BD85" i="9" s="1"/>
  <c r="AL85" i="9"/>
  <c r="BC85" i="9" s="1"/>
  <c r="AK85" i="9"/>
  <c r="BB85" i="9" s="1"/>
  <c r="AJ85" i="9"/>
  <c r="BA85" i="9" s="1"/>
  <c r="AI85" i="9"/>
  <c r="AZ85" i="9" s="1"/>
  <c r="AH85" i="9"/>
  <c r="AY85" i="9" s="1"/>
  <c r="AG85" i="9"/>
  <c r="AX85" i="9" s="1"/>
  <c r="AF85" i="9"/>
  <c r="AW85" i="9" s="1"/>
  <c r="AE85" i="9"/>
  <c r="AV85" i="9" s="1"/>
  <c r="AD85" i="9"/>
  <c r="AU85" i="9" s="1"/>
  <c r="AC85" i="9"/>
  <c r="AT85" i="9" s="1"/>
  <c r="AB85" i="9"/>
  <c r="AA85" i="9"/>
  <c r="AR85" i="9" s="1"/>
  <c r="Z85" i="9"/>
  <c r="Y85" i="9"/>
  <c r="X85" i="9"/>
  <c r="AO85" i="9" s="1"/>
  <c r="BH85" i="9" s="1"/>
  <c r="AM84" i="9"/>
  <c r="BD84" i="9" s="1"/>
  <c r="AL84" i="9"/>
  <c r="BC84" i="9" s="1"/>
  <c r="AK84" i="9"/>
  <c r="BB84" i="9" s="1"/>
  <c r="AJ84" i="9"/>
  <c r="BA84" i="9" s="1"/>
  <c r="AI84" i="9"/>
  <c r="AZ84" i="9" s="1"/>
  <c r="AH84" i="9"/>
  <c r="AY84" i="9" s="1"/>
  <c r="AG84" i="9"/>
  <c r="AX84" i="9" s="1"/>
  <c r="AF84" i="9"/>
  <c r="AW84" i="9" s="1"/>
  <c r="AE84" i="9"/>
  <c r="AV84" i="9" s="1"/>
  <c r="AD84" i="9"/>
  <c r="AU84" i="9" s="1"/>
  <c r="AC84" i="9"/>
  <c r="AT84" i="9" s="1"/>
  <c r="AB84" i="9"/>
  <c r="AA84" i="9"/>
  <c r="AR84" i="9" s="1"/>
  <c r="Z84" i="9"/>
  <c r="Y84" i="9"/>
  <c r="X84" i="9"/>
  <c r="AO84" i="9" s="1"/>
  <c r="BH84" i="9" s="1"/>
  <c r="AM79" i="9"/>
  <c r="BD79" i="9" s="1"/>
  <c r="AL79" i="9"/>
  <c r="BC79" i="9" s="1"/>
  <c r="AK79" i="9"/>
  <c r="BB79" i="9" s="1"/>
  <c r="AJ79" i="9"/>
  <c r="BA79" i="9" s="1"/>
  <c r="AI79" i="9"/>
  <c r="AZ79" i="9" s="1"/>
  <c r="AH79" i="9"/>
  <c r="AY79" i="9" s="1"/>
  <c r="AG79" i="9"/>
  <c r="AX79" i="9" s="1"/>
  <c r="AF79" i="9"/>
  <c r="AW79" i="9" s="1"/>
  <c r="AE79" i="9"/>
  <c r="AV79" i="9" s="1"/>
  <c r="AD79" i="9"/>
  <c r="AU79" i="9" s="1"/>
  <c r="AC79" i="9"/>
  <c r="AT79" i="9" s="1"/>
  <c r="AB79" i="9"/>
  <c r="AA79" i="9"/>
  <c r="AR79" i="9" s="1"/>
  <c r="Z79" i="9"/>
  <c r="Y79" i="9"/>
  <c r="X79" i="9"/>
  <c r="AO79" i="9" s="1"/>
  <c r="BH79" i="9" s="1"/>
  <c r="AM78" i="9"/>
  <c r="BD78" i="9" s="1"/>
  <c r="AL78" i="9"/>
  <c r="BC78" i="9" s="1"/>
  <c r="AK78" i="9"/>
  <c r="BB78" i="9" s="1"/>
  <c r="AJ78" i="9"/>
  <c r="BA78" i="9" s="1"/>
  <c r="AI78" i="9"/>
  <c r="AZ78" i="9" s="1"/>
  <c r="AH78" i="9"/>
  <c r="AY78" i="9" s="1"/>
  <c r="AG78" i="9"/>
  <c r="AX78" i="9" s="1"/>
  <c r="AF78" i="9"/>
  <c r="AW78" i="9" s="1"/>
  <c r="AE78" i="9"/>
  <c r="AV78" i="9" s="1"/>
  <c r="AD78" i="9"/>
  <c r="AU78" i="9" s="1"/>
  <c r="AC78" i="9"/>
  <c r="AT78" i="9" s="1"/>
  <c r="AB78" i="9"/>
  <c r="AS78" i="9" s="1"/>
  <c r="AA78" i="9"/>
  <c r="AR78" i="9" s="1"/>
  <c r="Z78" i="9"/>
  <c r="AQ78" i="9" s="1"/>
  <c r="Y78" i="9"/>
  <c r="X78" i="9"/>
  <c r="AO78" i="9" s="1"/>
  <c r="BH78" i="9" s="1"/>
  <c r="AM77" i="9"/>
  <c r="BD77" i="9" s="1"/>
  <c r="AL77" i="9"/>
  <c r="BC77" i="9" s="1"/>
  <c r="AK77" i="9"/>
  <c r="BB77" i="9" s="1"/>
  <c r="AJ77" i="9"/>
  <c r="BA77" i="9" s="1"/>
  <c r="AI77" i="9"/>
  <c r="AZ77" i="9" s="1"/>
  <c r="AH77" i="9"/>
  <c r="AY77" i="9" s="1"/>
  <c r="AG77" i="9"/>
  <c r="AX77" i="9" s="1"/>
  <c r="AF77" i="9"/>
  <c r="AW77" i="9" s="1"/>
  <c r="AE77" i="9"/>
  <c r="AV77" i="9" s="1"/>
  <c r="AD77" i="9"/>
  <c r="AU77" i="9" s="1"/>
  <c r="AC77" i="9"/>
  <c r="AT77" i="9" s="1"/>
  <c r="AB77" i="9"/>
  <c r="AS77" i="9" s="1"/>
  <c r="AA77" i="9"/>
  <c r="AR77" i="9" s="1"/>
  <c r="Z77" i="9"/>
  <c r="AQ77" i="9" s="1"/>
  <c r="Y77" i="9"/>
  <c r="X77" i="9"/>
  <c r="AO77" i="9" s="1"/>
  <c r="BH77" i="9" s="1"/>
  <c r="AM76" i="9"/>
  <c r="BD76" i="9" s="1"/>
  <c r="AL76" i="9"/>
  <c r="BC76" i="9" s="1"/>
  <c r="AJ76" i="9"/>
  <c r="BA76" i="9" s="1"/>
  <c r="AI76" i="9"/>
  <c r="AZ76" i="9" s="1"/>
  <c r="AH76" i="9"/>
  <c r="AY76" i="9" s="1"/>
  <c r="AF76" i="9"/>
  <c r="AW76" i="9" s="1"/>
  <c r="AE76" i="9"/>
  <c r="AV76" i="9" s="1"/>
  <c r="AD76" i="9"/>
  <c r="AU76" i="9" s="1"/>
  <c r="AC76" i="9"/>
  <c r="AT76" i="9" s="1"/>
  <c r="AA76" i="9"/>
  <c r="AR76" i="9" s="1"/>
  <c r="Y76" i="9"/>
  <c r="AM75" i="9"/>
  <c r="BD75" i="9" s="1"/>
  <c r="AL75" i="9"/>
  <c r="BC75" i="9" s="1"/>
  <c r="AK75" i="9"/>
  <c r="BB75" i="9" s="1"/>
  <c r="AJ75" i="9"/>
  <c r="BA75" i="9" s="1"/>
  <c r="AG75" i="9"/>
  <c r="AX75" i="9" s="1"/>
  <c r="AF75" i="9"/>
  <c r="AW75" i="9" s="1"/>
  <c r="AE75" i="9"/>
  <c r="AV75" i="9" s="1"/>
  <c r="AD75" i="9"/>
  <c r="AU75" i="9" s="1"/>
  <c r="AC75" i="9"/>
  <c r="AT75" i="9" s="1"/>
  <c r="AB75" i="9"/>
  <c r="AS75" i="9" s="1"/>
  <c r="AA75" i="9"/>
  <c r="AR75" i="9" s="1"/>
  <c r="Z75" i="9"/>
  <c r="AQ75" i="9" s="1"/>
  <c r="Y75" i="9"/>
  <c r="AM74" i="9"/>
  <c r="BD74" i="9" s="1"/>
  <c r="AL74" i="9"/>
  <c r="BC74" i="9" s="1"/>
  <c r="AK74" i="9"/>
  <c r="BB74" i="9" s="1"/>
  <c r="AJ74" i="9"/>
  <c r="BA74" i="9" s="1"/>
  <c r="AI74" i="9"/>
  <c r="AZ74" i="9" s="1"/>
  <c r="AH74" i="9"/>
  <c r="AY74" i="9" s="1"/>
  <c r="AG74" i="9"/>
  <c r="AX74" i="9" s="1"/>
  <c r="AF74" i="9"/>
  <c r="AW74" i="9" s="1"/>
  <c r="AE74" i="9"/>
  <c r="AV74" i="9" s="1"/>
  <c r="AD74" i="9"/>
  <c r="AU74" i="9" s="1"/>
  <c r="AC74" i="9"/>
  <c r="AT74" i="9" s="1"/>
  <c r="AB74" i="9"/>
  <c r="AS74" i="9" s="1"/>
  <c r="AA74" i="9"/>
  <c r="AR74" i="9" s="1"/>
  <c r="Z74" i="9"/>
  <c r="AQ74" i="9" s="1"/>
  <c r="Y74" i="9"/>
  <c r="X74" i="9"/>
  <c r="AO74" i="9" s="1"/>
  <c r="BH74" i="9" s="1"/>
  <c r="AM73" i="9"/>
  <c r="BD73" i="9" s="1"/>
  <c r="AL73" i="9"/>
  <c r="BC73" i="9" s="1"/>
  <c r="AJ73" i="9"/>
  <c r="BA73" i="9" s="1"/>
  <c r="AI73" i="9"/>
  <c r="AZ73" i="9" s="1"/>
  <c r="AH73" i="9"/>
  <c r="AY73" i="9" s="1"/>
  <c r="AF73" i="9"/>
  <c r="AW73" i="9" s="1"/>
  <c r="AE73" i="9"/>
  <c r="AV73" i="9" s="1"/>
  <c r="AD73" i="9"/>
  <c r="AU73" i="9" s="1"/>
  <c r="AC73" i="9"/>
  <c r="AT73" i="9" s="1"/>
  <c r="AA73" i="9"/>
  <c r="AR73" i="9" s="1"/>
  <c r="Y73" i="9"/>
  <c r="AM72" i="9"/>
  <c r="BD72" i="9" s="1"/>
  <c r="AL72" i="9"/>
  <c r="BC72" i="9" s="1"/>
  <c r="AI72" i="9"/>
  <c r="AZ72" i="9" s="1"/>
  <c r="AH72" i="9"/>
  <c r="AY72" i="9" s="1"/>
  <c r="AG72" i="9"/>
  <c r="AX72" i="9" s="1"/>
  <c r="AF72" i="9"/>
  <c r="AW72" i="9" s="1"/>
  <c r="AE72" i="9"/>
  <c r="AV72" i="9" s="1"/>
  <c r="AD72" i="9"/>
  <c r="AU72" i="9" s="1"/>
  <c r="AC72" i="9"/>
  <c r="AT72" i="9" s="1"/>
  <c r="AA72" i="9"/>
  <c r="AR72" i="9" s="1"/>
  <c r="Y72" i="9"/>
  <c r="AM71" i="9"/>
  <c r="BD71" i="9" s="1"/>
  <c r="AL71" i="9"/>
  <c r="BC71" i="9" s="1"/>
  <c r="AK71" i="9"/>
  <c r="BB71" i="9" s="1"/>
  <c r="AJ71" i="9"/>
  <c r="BA71" i="9" s="1"/>
  <c r="AI71" i="9"/>
  <c r="AZ71" i="9" s="1"/>
  <c r="AH71" i="9"/>
  <c r="AY71" i="9" s="1"/>
  <c r="AG71" i="9"/>
  <c r="AX71" i="9" s="1"/>
  <c r="AF71" i="9"/>
  <c r="AW71" i="9" s="1"/>
  <c r="AE71" i="9"/>
  <c r="AV71" i="9" s="1"/>
  <c r="AD71" i="9"/>
  <c r="AU71" i="9" s="1"/>
  <c r="AC71" i="9"/>
  <c r="AT71" i="9" s="1"/>
  <c r="AB71" i="9"/>
  <c r="AS71" i="9" s="1"/>
  <c r="AA71" i="9"/>
  <c r="AR71" i="9" s="1"/>
  <c r="Z71" i="9"/>
  <c r="AQ71" i="9" s="1"/>
  <c r="Y71" i="9"/>
  <c r="X71" i="9"/>
  <c r="AO71" i="9" s="1"/>
  <c r="AM70" i="9"/>
  <c r="BD70" i="9" s="1"/>
  <c r="AL70" i="9"/>
  <c r="BC70" i="9" s="1"/>
  <c r="AK70" i="9"/>
  <c r="BB70" i="9" s="1"/>
  <c r="AJ70" i="9"/>
  <c r="BA70" i="9" s="1"/>
  <c r="AI70" i="9"/>
  <c r="AZ70" i="9" s="1"/>
  <c r="AH70" i="9"/>
  <c r="AY70" i="9" s="1"/>
  <c r="AG70" i="9"/>
  <c r="AX70" i="9" s="1"/>
  <c r="AF70" i="9"/>
  <c r="AW70" i="9" s="1"/>
  <c r="AE70" i="9"/>
  <c r="AV70" i="9" s="1"/>
  <c r="AD70" i="9"/>
  <c r="AU70" i="9" s="1"/>
  <c r="AC70" i="9"/>
  <c r="AT70" i="9" s="1"/>
  <c r="AB70" i="9"/>
  <c r="AS70" i="9" s="1"/>
  <c r="AA70" i="9"/>
  <c r="AR70" i="9" s="1"/>
  <c r="Z70" i="9"/>
  <c r="AQ70" i="9" s="1"/>
  <c r="Y70" i="9"/>
  <c r="X70" i="9"/>
  <c r="AO70" i="9" s="1"/>
  <c r="AM69" i="9"/>
  <c r="BD69" i="9" s="1"/>
  <c r="AL69" i="9"/>
  <c r="BC69" i="9" s="1"/>
  <c r="AK69" i="9"/>
  <c r="BB69" i="9" s="1"/>
  <c r="AJ69" i="9"/>
  <c r="BA69" i="9" s="1"/>
  <c r="AI69" i="9"/>
  <c r="AZ69" i="9" s="1"/>
  <c r="AH69" i="9"/>
  <c r="AY69" i="9" s="1"/>
  <c r="AG69" i="9"/>
  <c r="AX69" i="9" s="1"/>
  <c r="AF69" i="9"/>
  <c r="AW69" i="9" s="1"/>
  <c r="AE69" i="9"/>
  <c r="AV69" i="9" s="1"/>
  <c r="AD69" i="9"/>
  <c r="AU69" i="9" s="1"/>
  <c r="AC69" i="9"/>
  <c r="AT69" i="9" s="1"/>
  <c r="AB69" i="9"/>
  <c r="AA69" i="9"/>
  <c r="AR69" i="9" s="1"/>
  <c r="Z69" i="9"/>
  <c r="Y69" i="9"/>
  <c r="X69" i="9"/>
  <c r="AO69" i="9" s="1"/>
  <c r="BH69" i="9" s="1"/>
  <c r="AM53" i="9"/>
  <c r="BD53" i="9" s="1"/>
  <c r="AL53" i="9"/>
  <c r="BC53" i="9" s="1"/>
  <c r="AK53" i="9"/>
  <c r="BB53" i="9" s="1"/>
  <c r="AJ53" i="9"/>
  <c r="BA53" i="9" s="1"/>
  <c r="AI53" i="9"/>
  <c r="AZ53" i="9" s="1"/>
  <c r="AH53" i="9"/>
  <c r="AY53" i="9" s="1"/>
  <c r="AG53" i="9"/>
  <c r="AX53" i="9" s="1"/>
  <c r="AF53" i="9"/>
  <c r="AW53" i="9" s="1"/>
  <c r="AE53" i="9"/>
  <c r="AV53" i="9" s="1"/>
  <c r="AD53" i="9"/>
  <c r="AU53" i="9" s="1"/>
  <c r="AC53" i="9"/>
  <c r="AT53" i="9" s="1"/>
  <c r="AB53" i="9"/>
  <c r="AA53" i="9"/>
  <c r="AR53" i="9" s="1"/>
  <c r="Z53" i="9"/>
  <c r="Y53" i="9"/>
  <c r="AM52" i="9"/>
  <c r="BD52" i="9" s="1"/>
  <c r="AL52" i="9"/>
  <c r="BC52" i="9" s="1"/>
  <c r="AK52" i="9"/>
  <c r="BB52" i="9" s="1"/>
  <c r="AJ52" i="9"/>
  <c r="BA52" i="9" s="1"/>
  <c r="AG52" i="9"/>
  <c r="AX52" i="9" s="1"/>
  <c r="AF52" i="9"/>
  <c r="AW52" i="9" s="1"/>
  <c r="AE52" i="9"/>
  <c r="AV52" i="9" s="1"/>
  <c r="AD52" i="9"/>
  <c r="AU52" i="9" s="1"/>
  <c r="AC52" i="9"/>
  <c r="AT52" i="9" s="1"/>
  <c r="AB52" i="9"/>
  <c r="AS52" i="9" s="1"/>
  <c r="AA52" i="9"/>
  <c r="AR52" i="9" s="1"/>
  <c r="Z52" i="9"/>
  <c r="AQ52" i="9" s="1"/>
  <c r="Y52" i="9"/>
  <c r="AM51" i="9"/>
  <c r="BD51" i="9" s="1"/>
  <c r="AL51" i="9"/>
  <c r="BC51" i="9" s="1"/>
  <c r="AK51" i="9"/>
  <c r="BB51" i="9" s="1"/>
  <c r="AJ51" i="9"/>
  <c r="BA51" i="9" s="1"/>
  <c r="AI51" i="9"/>
  <c r="AZ51" i="9" s="1"/>
  <c r="AH51" i="9"/>
  <c r="AY51" i="9" s="1"/>
  <c r="AG51" i="9"/>
  <c r="AX51" i="9" s="1"/>
  <c r="AF51" i="9"/>
  <c r="AW51" i="9" s="1"/>
  <c r="AE51" i="9"/>
  <c r="AV51" i="9" s="1"/>
  <c r="AD51" i="9"/>
  <c r="AU51" i="9" s="1"/>
  <c r="AC51" i="9"/>
  <c r="AT51" i="9" s="1"/>
  <c r="AB51" i="9"/>
  <c r="AS51" i="9" s="1"/>
  <c r="AA51" i="9"/>
  <c r="AR51" i="9" s="1"/>
  <c r="Z51" i="9"/>
  <c r="AQ51" i="9" s="1"/>
  <c r="Y51" i="9"/>
  <c r="X51" i="9"/>
  <c r="AO51" i="9" s="1"/>
  <c r="BH51" i="9" s="1"/>
  <c r="AM50" i="9"/>
  <c r="BD50" i="9" s="1"/>
  <c r="AL50" i="9"/>
  <c r="BC50" i="9" s="1"/>
  <c r="AJ50" i="9"/>
  <c r="BA50" i="9" s="1"/>
  <c r="AI50" i="9"/>
  <c r="AZ50" i="9" s="1"/>
  <c r="AH50" i="9"/>
  <c r="AY50" i="9" s="1"/>
  <c r="AF50" i="9"/>
  <c r="AW50" i="9" s="1"/>
  <c r="AE50" i="9"/>
  <c r="AV50" i="9" s="1"/>
  <c r="AD50" i="9"/>
  <c r="AU50" i="9" s="1"/>
  <c r="AC50" i="9"/>
  <c r="AT50" i="9" s="1"/>
  <c r="AA50" i="9"/>
  <c r="AR50" i="9" s="1"/>
  <c r="Y50" i="9"/>
  <c r="AM49" i="9"/>
  <c r="BD49" i="9" s="1"/>
  <c r="AL49" i="9"/>
  <c r="BC49" i="9" s="1"/>
  <c r="AI49" i="9"/>
  <c r="AZ49" i="9" s="1"/>
  <c r="AH49" i="9"/>
  <c r="AY49" i="9" s="1"/>
  <c r="AG49" i="9"/>
  <c r="AX49" i="9" s="1"/>
  <c r="AF49" i="9"/>
  <c r="AW49" i="9" s="1"/>
  <c r="AE49" i="9"/>
  <c r="AV49" i="9" s="1"/>
  <c r="AD49" i="9"/>
  <c r="AU49" i="9" s="1"/>
  <c r="AC49" i="9"/>
  <c r="AT49" i="9" s="1"/>
  <c r="AB49" i="9"/>
  <c r="AA49" i="9"/>
  <c r="AR49" i="9" s="1"/>
  <c r="Z49" i="9"/>
  <c r="Y49" i="9"/>
  <c r="AM48" i="9"/>
  <c r="BD48" i="9" s="1"/>
  <c r="AL48" i="9"/>
  <c r="BC48" i="9" s="1"/>
  <c r="AK48" i="9"/>
  <c r="BB48" i="9" s="1"/>
  <c r="AJ48" i="9"/>
  <c r="BA48" i="9" s="1"/>
  <c r="AI48" i="9"/>
  <c r="AZ48" i="9" s="1"/>
  <c r="AH48" i="9"/>
  <c r="AY48" i="9" s="1"/>
  <c r="AG48" i="9"/>
  <c r="AX48" i="9" s="1"/>
  <c r="AF48" i="9"/>
  <c r="AW48" i="9" s="1"/>
  <c r="AE48" i="9"/>
  <c r="AV48" i="9" s="1"/>
  <c r="AD48" i="9"/>
  <c r="AU48" i="9" s="1"/>
  <c r="AC48" i="9"/>
  <c r="AT48" i="9" s="1"/>
  <c r="AB48" i="9"/>
  <c r="AS48" i="9" s="1"/>
  <c r="AA48" i="9"/>
  <c r="AR48" i="9" s="1"/>
  <c r="Z48" i="9"/>
  <c r="AQ48" i="9" s="1"/>
  <c r="Y48" i="9"/>
  <c r="X48" i="9"/>
  <c r="AO48" i="9" s="1"/>
  <c r="AM47" i="9"/>
  <c r="BD47" i="9" s="1"/>
  <c r="AL47" i="9"/>
  <c r="BC47" i="9" s="1"/>
  <c r="AK47" i="9"/>
  <c r="BB47" i="9" s="1"/>
  <c r="AJ47" i="9"/>
  <c r="BA47" i="9" s="1"/>
  <c r="AI47" i="9"/>
  <c r="AZ47" i="9" s="1"/>
  <c r="AH47" i="9"/>
  <c r="AY47" i="9" s="1"/>
  <c r="AG47" i="9"/>
  <c r="AX47" i="9" s="1"/>
  <c r="AF47" i="9"/>
  <c r="AW47" i="9" s="1"/>
  <c r="AE47" i="9"/>
  <c r="AV47" i="9" s="1"/>
  <c r="AD47" i="9"/>
  <c r="AU47" i="9" s="1"/>
  <c r="AC47" i="9"/>
  <c r="AB47" i="9"/>
  <c r="AA47" i="9"/>
  <c r="AR47" i="9" s="1"/>
  <c r="Z47" i="9"/>
  <c r="Y47" i="9"/>
  <c r="X47" i="9"/>
  <c r="AM46" i="9"/>
  <c r="BD46" i="9" s="1"/>
  <c r="AL46" i="9"/>
  <c r="BC46" i="9" s="1"/>
  <c r="AK46" i="9"/>
  <c r="BB46" i="9" s="1"/>
  <c r="AJ46" i="9"/>
  <c r="BA46" i="9" s="1"/>
  <c r="AI46" i="9"/>
  <c r="AZ46" i="9" s="1"/>
  <c r="AH46" i="9"/>
  <c r="AY46" i="9" s="1"/>
  <c r="AG46" i="9"/>
  <c r="AX46" i="9" s="1"/>
  <c r="AF46" i="9"/>
  <c r="AW46" i="9" s="1"/>
  <c r="AE46" i="9"/>
  <c r="AV46" i="9" s="1"/>
  <c r="AD46" i="9"/>
  <c r="AU46" i="9" s="1"/>
  <c r="AC46" i="9"/>
  <c r="AT46" i="9" s="1"/>
  <c r="AB46" i="9"/>
  <c r="AA46" i="9"/>
  <c r="AR46" i="9" s="1"/>
  <c r="Z46" i="9"/>
  <c r="Y46" i="9"/>
  <c r="X46" i="9"/>
  <c r="AM45" i="9"/>
  <c r="BD45" i="9" s="1"/>
  <c r="AL45" i="9"/>
  <c r="BC45" i="9" s="1"/>
  <c r="AK45" i="9"/>
  <c r="BB45" i="9" s="1"/>
  <c r="AJ45" i="9"/>
  <c r="BA45" i="9" s="1"/>
  <c r="AI45" i="9"/>
  <c r="AZ45" i="9" s="1"/>
  <c r="AH45" i="9"/>
  <c r="AY45" i="9" s="1"/>
  <c r="AG45" i="9"/>
  <c r="AX45" i="9" s="1"/>
  <c r="AF45" i="9"/>
  <c r="AW45" i="9" s="1"/>
  <c r="AE45" i="9"/>
  <c r="AV45" i="9" s="1"/>
  <c r="AD45" i="9"/>
  <c r="AU45" i="9" s="1"/>
  <c r="AC45" i="9"/>
  <c r="AB45" i="9"/>
  <c r="AS45" i="9" s="1"/>
  <c r="AA45" i="9"/>
  <c r="AR45" i="9" s="1"/>
  <c r="Z45" i="9"/>
  <c r="AQ45" i="9" s="1"/>
  <c r="Y45" i="9"/>
  <c r="X45" i="9"/>
  <c r="AM44" i="9"/>
  <c r="BD44" i="9" s="1"/>
  <c r="AL44" i="9"/>
  <c r="BC44" i="9" s="1"/>
  <c r="AK44" i="9"/>
  <c r="BB44" i="9" s="1"/>
  <c r="AJ44" i="9"/>
  <c r="BA44" i="9" s="1"/>
  <c r="AI44" i="9"/>
  <c r="AZ44" i="9" s="1"/>
  <c r="AH44" i="9"/>
  <c r="AY44" i="9" s="1"/>
  <c r="AG44" i="9"/>
  <c r="AX44" i="9" s="1"/>
  <c r="AF44" i="9"/>
  <c r="AW44" i="9" s="1"/>
  <c r="AE44" i="9"/>
  <c r="AV44" i="9" s="1"/>
  <c r="AD44" i="9"/>
  <c r="AU44" i="9" s="1"/>
  <c r="AC44" i="9"/>
  <c r="AT44" i="9" s="1"/>
  <c r="AB44" i="9"/>
  <c r="AS44" i="9" s="1"/>
  <c r="AA44" i="9"/>
  <c r="AR44" i="9" s="1"/>
  <c r="Z44" i="9"/>
  <c r="AQ44" i="9" s="1"/>
  <c r="Y44" i="9"/>
  <c r="X44" i="9"/>
  <c r="AM43" i="9"/>
  <c r="BD43" i="9" s="1"/>
  <c r="AL43" i="9"/>
  <c r="BC43" i="9" s="1"/>
  <c r="AK43" i="9"/>
  <c r="BB43" i="9" s="1"/>
  <c r="AJ43" i="9"/>
  <c r="BA43" i="9" s="1"/>
  <c r="AI43" i="9"/>
  <c r="AZ43" i="9" s="1"/>
  <c r="AH43" i="9"/>
  <c r="AY43" i="9" s="1"/>
  <c r="AG43" i="9"/>
  <c r="AX43" i="9" s="1"/>
  <c r="AF43" i="9"/>
  <c r="AW43" i="9" s="1"/>
  <c r="AE43" i="9"/>
  <c r="AV43" i="9" s="1"/>
  <c r="AD43" i="9"/>
  <c r="AU43" i="9" s="1"/>
  <c r="AC43" i="9"/>
  <c r="AT43" i="9" s="1"/>
  <c r="AB43" i="9"/>
  <c r="AS43" i="9" s="1"/>
  <c r="AA43" i="9"/>
  <c r="AR43" i="9" s="1"/>
  <c r="Z43" i="9"/>
  <c r="AQ43" i="9" s="1"/>
  <c r="Y43" i="9"/>
  <c r="X43" i="9"/>
  <c r="AO43" i="9" s="1"/>
  <c r="AM42" i="9"/>
  <c r="BD42" i="9" s="1"/>
  <c r="AL42" i="9"/>
  <c r="BC42" i="9" s="1"/>
  <c r="AK42" i="9"/>
  <c r="BB42" i="9" s="1"/>
  <c r="AJ42" i="9"/>
  <c r="BA42" i="9" s="1"/>
  <c r="AI42" i="9"/>
  <c r="AZ42" i="9" s="1"/>
  <c r="AH42" i="9"/>
  <c r="AY42" i="9" s="1"/>
  <c r="AG42" i="9"/>
  <c r="AX42" i="9" s="1"/>
  <c r="AF42" i="9"/>
  <c r="AW42" i="9" s="1"/>
  <c r="AE42" i="9"/>
  <c r="AV42" i="9" s="1"/>
  <c r="AD42" i="9"/>
  <c r="AU42" i="9" s="1"/>
  <c r="AC42" i="9"/>
  <c r="AT42" i="9" s="1"/>
  <c r="AB42" i="9"/>
  <c r="AS42" i="9" s="1"/>
  <c r="AA42" i="9"/>
  <c r="AR42" i="9" s="1"/>
  <c r="Z42" i="9"/>
  <c r="AQ42" i="9" s="1"/>
  <c r="Y42" i="9"/>
  <c r="X42" i="9"/>
  <c r="AO42" i="9" s="1"/>
  <c r="AM41" i="9"/>
  <c r="BD41" i="9" s="1"/>
  <c r="AL41" i="9"/>
  <c r="BC41" i="9" s="1"/>
  <c r="AK41" i="9"/>
  <c r="BB41" i="9" s="1"/>
  <c r="AJ41" i="9"/>
  <c r="BA41" i="9" s="1"/>
  <c r="AG41" i="9"/>
  <c r="AX41" i="9" s="1"/>
  <c r="AF41" i="9"/>
  <c r="AW41" i="9" s="1"/>
  <c r="AE41" i="9"/>
  <c r="AV41" i="9" s="1"/>
  <c r="AD41" i="9"/>
  <c r="AU41" i="9" s="1"/>
  <c r="AC41" i="9"/>
  <c r="AT41" i="9" s="1"/>
  <c r="AB41" i="9"/>
  <c r="AS41" i="9" s="1"/>
  <c r="AA41" i="9"/>
  <c r="AR41" i="9" s="1"/>
  <c r="Z41" i="9"/>
  <c r="AQ41" i="9" s="1"/>
  <c r="Y41" i="9"/>
  <c r="D41" i="9"/>
  <c r="AM40" i="9"/>
  <c r="BD40" i="9" s="1"/>
  <c r="AL40" i="9"/>
  <c r="BC40" i="9" s="1"/>
  <c r="AJ40" i="9"/>
  <c r="BA40" i="9" s="1"/>
  <c r="AI40" i="9"/>
  <c r="AZ40" i="9" s="1"/>
  <c r="AH40" i="9"/>
  <c r="AY40" i="9" s="1"/>
  <c r="AG40" i="9"/>
  <c r="AX40" i="9" s="1"/>
  <c r="AF40" i="9"/>
  <c r="AW40" i="9" s="1"/>
  <c r="AE40" i="9"/>
  <c r="AV40" i="9" s="1"/>
  <c r="AD40" i="9"/>
  <c r="AU40" i="9" s="1"/>
  <c r="AC40" i="9"/>
  <c r="AT40" i="9" s="1"/>
  <c r="AB40" i="9"/>
  <c r="AA40" i="9"/>
  <c r="Z40" i="9"/>
  <c r="Y40" i="9"/>
  <c r="D40" i="9"/>
  <c r="AM39" i="9"/>
  <c r="BD39" i="9" s="1"/>
  <c r="AL39" i="9"/>
  <c r="BC39" i="9" s="1"/>
  <c r="AK39" i="9"/>
  <c r="BB39" i="9" s="1"/>
  <c r="AJ39" i="9"/>
  <c r="BA39" i="9" s="1"/>
  <c r="AI39" i="9"/>
  <c r="AZ39" i="9" s="1"/>
  <c r="AH39" i="9"/>
  <c r="AY39" i="9" s="1"/>
  <c r="AG39" i="9"/>
  <c r="AX39" i="9" s="1"/>
  <c r="AF39" i="9"/>
  <c r="AW39" i="9" s="1"/>
  <c r="AE39" i="9"/>
  <c r="AV39" i="9" s="1"/>
  <c r="AD39" i="9"/>
  <c r="AU39" i="9" s="1"/>
  <c r="AC39" i="9"/>
  <c r="AT39" i="9" s="1"/>
  <c r="AB39" i="9"/>
  <c r="AA39" i="9"/>
  <c r="Z39" i="9"/>
  <c r="Y39" i="9"/>
  <c r="D39" i="9"/>
  <c r="AM38" i="9"/>
  <c r="BD38" i="9" s="1"/>
  <c r="AL38" i="9"/>
  <c r="BC38" i="9" s="1"/>
  <c r="AK38" i="9"/>
  <c r="BB38" i="9" s="1"/>
  <c r="AJ38" i="9"/>
  <c r="BA38" i="9" s="1"/>
  <c r="AI38" i="9"/>
  <c r="AZ38" i="9" s="1"/>
  <c r="AH38" i="9"/>
  <c r="AY38" i="9" s="1"/>
  <c r="AG38" i="9"/>
  <c r="AX38" i="9" s="1"/>
  <c r="AF38" i="9"/>
  <c r="AW38" i="9" s="1"/>
  <c r="AE38" i="9"/>
  <c r="AV38" i="9" s="1"/>
  <c r="AD38" i="9"/>
  <c r="AU38" i="9" s="1"/>
  <c r="AC38" i="9"/>
  <c r="AT38" i="9" s="1"/>
  <c r="AB38" i="9"/>
  <c r="AS38" i="9" s="1"/>
  <c r="AA38" i="9"/>
  <c r="AR38" i="9" s="1"/>
  <c r="Z38" i="9"/>
  <c r="AQ38" i="9" s="1"/>
  <c r="Y38" i="9"/>
  <c r="X38" i="9"/>
  <c r="AO38" i="9" s="1"/>
  <c r="AM37" i="9"/>
  <c r="BD37" i="9" s="1"/>
  <c r="AL37" i="9"/>
  <c r="BC37" i="9" s="1"/>
  <c r="AK37" i="9"/>
  <c r="BB37" i="9" s="1"/>
  <c r="AJ37" i="9"/>
  <c r="BA37" i="9" s="1"/>
  <c r="AI37" i="9"/>
  <c r="AZ37" i="9" s="1"/>
  <c r="AH37" i="9"/>
  <c r="AY37" i="9" s="1"/>
  <c r="AG37" i="9"/>
  <c r="AX37" i="9" s="1"/>
  <c r="AF37" i="9"/>
  <c r="AW37" i="9" s="1"/>
  <c r="AE37" i="9"/>
  <c r="AV37" i="9" s="1"/>
  <c r="AD37" i="9"/>
  <c r="AU37" i="9" s="1"/>
  <c r="AC37" i="9"/>
  <c r="AB37" i="9"/>
  <c r="AS37" i="9" s="1"/>
  <c r="AA37" i="9"/>
  <c r="AR37" i="9" s="1"/>
  <c r="Z37" i="9"/>
  <c r="AQ37" i="9" s="1"/>
  <c r="Y37" i="9"/>
  <c r="X37" i="9"/>
  <c r="AO37" i="9" s="1"/>
  <c r="BH37" i="9" s="1"/>
  <c r="D37" i="9"/>
  <c r="AM36" i="9"/>
  <c r="BD36" i="9" s="1"/>
  <c r="AL36" i="9"/>
  <c r="BC36" i="9" s="1"/>
  <c r="AK36" i="9"/>
  <c r="BB36" i="9" s="1"/>
  <c r="AJ36" i="9"/>
  <c r="BA36" i="9" s="1"/>
  <c r="AI36" i="9"/>
  <c r="AZ36" i="9" s="1"/>
  <c r="AH36" i="9"/>
  <c r="AY36" i="9" s="1"/>
  <c r="AG36" i="9"/>
  <c r="AX36" i="9" s="1"/>
  <c r="AF36" i="9"/>
  <c r="AW36" i="9" s="1"/>
  <c r="AE36" i="9"/>
  <c r="AV36" i="9" s="1"/>
  <c r="AD36" i="9"/>
  <c r="AU36" i="9" s="1"/>
  <c r="AC36" i="9"/>
  <c r="AB36" i="9"/>
  <c r="AA36" i="9"/>
  <c r="AR36" i="9" s="1"/>
  <c r="Z36" i="9"/>
  <c r="Y36" i="9"/>
  <c r="X36" i="9"/>
  <c r="D36" i="9"/>
  <c r="AM35" i="9"/>
  <c r="BD35" i="9" s="1"/>
  <c r="AL35" i="9"/>
  <c r="BC35" i="9" s="1"/>
  <c r="AK35" i="9"/>
  <c r="BB35" i="9" s="1"/>
  <c r="AJ35" i="9"/>
  <c r="BA35" i="9" s="1"/>
  <c r="AI35" i="9"/>
  <c r="AZ35" i="9" s="1"/>
  <c r="AH35" i="9"/>
  <c r="AY35" i="9" s="1"/>
  <c r="AG35" i="9"/>
  <c r="AX35" i="9" s="1"/>
  <c r="AF35" i="9"/>
  <c r="AW35" i="9" s="1"/>
  <c r="AE35" i="9"/>
  <c r="AV35" i="9" s="1"/>
  <c r="AD35" i="9"/>
  <c r="AU35" i="9" s="1"/>
  <c r="AC35" i="9"/>
  <c r="AT35" i="9" s="1"/>
  <c r="AB35" i="9"/>
  <c r="AA35" i="9"/>
  <c r="AR35" i="9" s="1"/>
  <c r="Z35" i="9"/>
  <c r="Y35" i="9"/>
  <c r="D35" i="9"/>
  <c r="AM34" i="9"/>
  <c r="BD34" i="9" s="1"/>
  <c r="AL34" i="9"/>
  <c r="BC34" i="9" s="1"/>
  <c r="AK34" i="9"/>
  <c r="BB34" i="9" s="1"/>
  <c r="AJ34" i="9"/>
  <c r="BA34" i="9" s="1"/>
  <c r="AI34" i="9"/>
  <c r="AZ34" i="9" s="1"/>
  <c r="AH34" i="9"/>
  <c r="AY34" i="9" s="1"/>
  <c r="AG34" i="9"/>
  <c r="AX34" i="9" s="1"/>
  <c r="AF34" i="9"/>
  <c r="AW34" i="9" s="1"/>
  <c r="AE34" i="9"/>
  <c r="AV34" i="9" s="1"/>
  <c r="AD34" i="9"/>
  <c r="AU34" i="9" s="1"/>
  <c r="AC34" i="9"/>
  <c r="AB34" i="9"/>
  <c r="AS34" i="9" s="1"/>
  <c r="AA34" i="9"/>
  <c r="AR34" i="9" s="1"/>
  <c r="Z34" i="9"/>
  <c r="AQ34" i="9" s="1"/>
  <c r="Y34" i="9"/>
  <c r="X34" i="9"/>
  <c r="D34" i="9"/>
  <c r="AM33" i="9"/>
  <c r="BD33" i="9" s="1"/>
  <c r="AL33" i="9"/>
  <c r="BC33" i="9" s="1"/>
  <c r="AK33" i="9"/>
  <c r="BB33" i="9" s="1"/>
  <c r="AJ33" i="9"/>
  <c r="BA33" i="9" s="1"/>
  <c r="AI33" i="9"/>
  <c r="AZ33" i="9" s="1"/>
  <c r="AH33" i="9"/>
  <c r="AY33" i="9" s="1"/>
  <c r="AG33" i="9"/>
  <c r="AX33" i="9" s="1"/>
  <c r="AF33" i="9"/>
  <c r="AW33" i="9" s="1"/>
  <c r="AE33" i="9"/>
  <c r="AV33" i="9" s="1"/>
  <c r="AD33" i="9"/>
  <c r="AU33" i="9" s="1"/>
  <c r="AC33" i="9"/>
  <c r="AT33" i="9" s="1"/>
  <c r="AB33" i="9"/>
  <c r="AS33" i="9" s="1"/>
  <c r="AA33" i="9"/>
  <c r="AR33" i="9" s="1"/>
  <c r="Z33" i="9"/>
  <c r="AQ33" i="9" s="1"/>
  <c r="Y33" i="9"/>
  <c r="D33" i="9"/>
  <c r="AM32" i="9"/>
  <c r="BD32" i="9" s="1"/>
  <c r="AL32" i="9"/>
  <c r="BC32" i="9" s="1"/>
  <c r="AK32" i="9"/>
  <c r="BB32" i="9" s="1"/>
  <c r="AJ32" i="9"/>
  <c r="BA32" i="9" s="1"/>
  <c r="AI32" i="9"/>
  <c r="AZ32" i="9" s="1"/>
  <c r="AH32" i="9"/>
  <c r="AY32" i="9" s="1"/>
  <c r="AG32" i="9"/>
  <c r="AX32" i="9" s="1"/>
  <c r="AF32" i="9"/>
  <c r="AW32" i="9" s="1"/>
  <c r="AE32" i="9"/>
  <c r="AV32" i="9" s="1"/>
  <c r="AD32" i="9"/>
  <c r="AU32" i="9" s="1"/>
  <c r="AC32" i="9"/>
  <c r="AT32" i="9" s="1"/>
  <c r="AB32" i="9"/>
  <c r="AS32" i="9" s="1"/>
  <c r="AA32" i="9"/>
  <c r="AR32" i="9" s="1"/>
  <c r="Z32" i="9"/>
  <c r="AQ32" i="9" s="1"/>
  <c r="Y32" i="9"/>
  <c r="X32" i="9"/>
  <c r="AO32" i="9" s="1"/>
  <c r="AM31" i="9"/>
  <c r="BD31" i="9" s="1"/>
  <c r="AL31" i="9"/>
  <c r="BC31" i="9" s="1"/>
  <c r="AK31" i="9"/>
  <c r="BB31" i="9" s="1"/>
  <c r="AJ31" i="9"/>
  <c r="BA31" i="9" s="1"/>
  <c r="AI31" i="9"/>
  <c r="AZ31" i="9" s="1"/>
  <c r="AH31" i="9"/>
  <c r="AY31" i="9" s="1"/>
  <c r="AG31" i="9"/>
  <c r="AX31" i="9" s="1"/>
  <c r="AF31" i="9"/>
  <c r="AW31" i="9" s="1"/>
  <c r="AE31" i="9"/>
  <c r="AV31" i="9" s="1"/>
  <c r="AD31" i="9"/>
  <c r="AU31" i="9" s="1"/>
  <c r="AC31" i="9"/>
  <c r="AT31" i="9" s="1"/>
  <c r="AB31" i="9"/>
  <c r="AS31" i="9" s="1"/>
  <c r="AA31" i="9"/>
  <c r="AR31" i="9" s="1"/>
  <c r="Z31" i="9"/>
  <c r="AQ31" i="9" s="1"/>
  <c r="Y31" i="9"/>
  <c r="X31" i="9"/>
  <c r="AO31" i="9" s="1"/>
  <c r="BH31" i="9" s="1"/>
  <c r="D31" i="9"/>
  <c r="B31" i="9"/>
  <c r="B33" i="9" s="1"/>
  <c r="B34" i="9" s="1"/>
  <c r="B35" i="9" s="1"/>
  <c r="B36" i="9" s="1"/>
  <c r="B37" i="9" s="1"/>
  <c r="B39" i="9" s="1"/>
  <c r="B40" i="9" s="1"/>
  <c r="B41" i="9" s="1"/>
  <c r="AM30" i="9"/>
  <c r="BD30" i="9" s="1"/>
  <c r="AL30" i="9"/>
  <c r="BC30" i="9" s="1"/>
  <c r="AK30" i="9"/>
  <c r="BB30" i="9" s="1"/>
  <c r="AJ30" i="9"/>
  <c r="BA30" i="9" s="1"/>
  <c r="AI30" i="9"/>
  <c r="AZ30" i="9" s="1"/>
  <c r="AH30" i="9"/>
  <c r="AY30" i="9" s="1"/>
  <c r="AG30" i="9"/>
  <c r="AX30" i="9" s="1"/>
  <c r="AF30" i="9"/>
  <c r="AW30" i="9" s="1"/>
  <c r="AE30" i="9"/>
  <c r="AV30" i="9" s="1"/>
  <c r="AD30" i="9"/>
  <c r="AU30" i="9" s="1"/>
  <c r="AC30" i="9"/>
  <c r="AT30" i="9" s="1"/>
  <c r="AB30" i="9"/>
  <c r="AS30" i="9" s="1"/>
  <c r="AA30" i="9"/>
  <c r="AR30" i="9" s="1"/>
  <c r="Z30" i="9"/>
  <c r="AQ30" i="9" s="1"/>
  <c r="Y30" i="9"/>
  <c r="X30" i="9"/>
  <c r="AO30" i="9" s="1"/>
  <c r="BH30" i="9" s="1"/>
  <c r="D30" i="9"/>
  <c r="AM29" i="9"/>
  <c r="BD29" i="9" s="1"/>
  <c r="AL29" i="9"/>
  <c r="BC29" i="9" s="1"/>
  <c r="AK29" i="9"/>
  <c r="BB29" i="9" s="1"/>
  <c r="AJ29" i="9"/>
  <c r="BA29" i="9" s="1"/>
  <c r="AI29" i="9"/>
  <c r="AZ29" i="9" s="1"/>
  <c r="AH29" i="9"/>
  <c r="AY29" i="9" s="1"/>
  <c r="AG29" i="9"/>
  <c r="AX29" i="9" s="1"/>
  <c r="AF29" i="9"/>
  <c r="AW29" i="9" s="1"/>
  <c r="AE29" i="9"/>
  <c r="AV29" i="9" s="1"/>
  <c r="AD29" i="9"/>
  <c r="AU29" i="9" s="1"/>
  <c r="AC29" i="9"/>
  <c r="AT29" i="9" s="1"/>
  <c r="AB29" i="9"/>
  <c r="AS29" i="9" s="1"/>
  <c r="AA29" i="9"/>
  <c r="AR29" i="9" s="1"/>
  <c r="Z29" i="9"/>
  <c r="AQ29" i="9" s="1"/>
  <c r="Y29" i="9"/>
  <c r="X29" i="9"/>
  <c r="AO29" i="9" s="1"/>
  <c r="AM28" i="9"/>
  <c r="BD28" i="9" s="1"/>
  <c r="AL28" i="9"/>
  <c r="BC28" i="9" s="1"/>
  <c r="AK28" i="9"/>
  <c r="BB28" i="9" s="1"/>
  <c r="AJ28" i="9"/>
  <c r="BA28" i="9" s="1"/>
  <c r="AI28" i="9"/>
  <c r="AZ28" i="9" s="1"/>
  <c r="AH28" i="9"/>
  <c r="AY28" i="9" s="1"/>
  <c r="AG28" i="9"/>
  <c r="AX28" i="9" s="1"/>
  <c r="AF28" i="9"/>
  <c r="AW28" i="9" s="1"/>
  <c r="AE28" i="9"/>
  <c r="AV28" i="9" s="1"/>
  <c r="AD28" i="9"/>
  <c r="AU28" i="9" s="1"/>
  <c r="AC28" i="9"/>
  <c r="AT28" i="9" s="1"/>
  <c r="AB28" i="9"/>
  <c r="AS28" i="9" s="1"/>
  <c r="AA28" i="9"/>
  <c r="AR28" i="9" s="1"/>
  <c r="Z28" i="9"/>
  <c r="AQ28" i="9" s="1"/>
  <c r="Y28" i="9"/>
  <c r="X28" i="9"/>
  <c r="AO28" i="9" s="1"/>
  <c r="AM25" i="9"/>
  <c r="BD25" i="9" s="1"/>
  <c r="AL25" i="9"/>
  <c r="AK25" i="9"/>
  <c r="BB25" i="9" s="1"/>
  <c r="AJ25" i="9"/>
  <c r="BA25" i="9" s="1"/>
  <c r="AI25" i="9"/>
  <c r="AZ25" i="9" s="1"/>
  <c r="AH25" i="9"/>
  <c r="AY25" i="9" s="1"/>
  <c r="AG25" i="9"/>
  <c r="AX25" i="9" s="1"/>
  <c r="AF25" i="9"/>
  <c r="AE25" i="9"/>
  <c r="AD25" i="9"/>
  <c r="AC25" i="9"/>
  <c r="AT25" i="9" s="1"/>
  <c r="AB25" i="9"/>
  <c r="AA25" i="9"/>
  <c r="Z25" i="9"/>
  <c r="Y25" i="9"/>
  <c r="X25" i="9"/>
  <c r="AM24" i="9"/>
  <c r="BD24" i="9" s="1"/>
  <c r="AK24" i="9"/>
  <c r="BB24" i="9" s="1"/>
  <c r="AJ24" i="9"/>
  <c r="BA24" i="9" s="1"/>
  <c r="AI24" i="9"/>
  <c r="AZ24" i="9" s="1"/>
  <c r="AH24" i="9"/>
  <c r="AY24" i="9" s="1"/>
  <c r="AG24" i="9"/>
  <c r="AX24" i="9" s="1"/>
  <c r="AF24" i="9"/>
  <c r="AW24" i="9" s="1"/>
  <c r="AE24" i="9"/>
  <c r="AV24" i="9" s="1"/>
  <c r="AD24" i="9"/>
  <c r="AU24" i="9" s="1"/>
  <c r="AC24" i="9"/>
  <c r="AT24" i="9" s="1"/>
  <c r="AB24" i="9"/>
  <c r="AA24" i="9"/>
  <c r="Z24" i="9"/>
  <c r="Y24" i="9"/>
  <c r="AM23" i="9"/>
  <c r="BD23" i="9" s="1"/>
  <c r="AL23" i="9"/>
  <c r="BC23" i="9" s="1"/>
  <c r="AK23" i="9"/>
  <c r="BB23" i="9" s="1"/>
  <c r="AJ23" i="9"/>
  <c r="BA23" i="9" s="1"/>
  <c r="AI23" i="9"/>
  <c r="AZ23" i="9" s="1"/>
  <c r="AH23" i="9"/>
  <c r="AY23" i="9" s="1"/>
  <c r="AG23" i="9"/>
  <c r="AX23" i="9" s="1"/>
  <c r="AF23" i="9"/>
  <c r="AE23" i="9"/>
  <c r="AD23" i="9"/>
  <c r="AC23" i="9"/>
  <c r="AT23" i="9" s="1"/>
  <c r="AB23" i="9"/>
  <c r="AA23" i="9"/>
  <c r="Z23" i="9"/>
  <c r="Y23" i="9"/>
  <c r="X23" i="9"/>
  <c r="AM22" i="9"/>
  <c r="BD22" i="9" s="1"/>
  <c r="AL22" i="9"/>
  <c r="BC22" i="9" s="1"/>
  <c r="AK22" i="9"/>
  <c r="BB22" i="9" s="1"/>
  <c r="AJ22" i="9"/>
  <c r="BA22" i="9" s="1"/>
  <c r="AI22" i="9"/>
  <c r="AZ22" i="9" s="1"/>
  <c r="AH22" i="9"/>
  <c r="AY22" i="9" s="1"/>
  <c r="AG22" i="9"/>
  <c r="AX22" i="9" s="1"/>
  <c r="AF22" i="9"/>
  <c r="AW22" i="9" s="1"/>
  <c r="AE22" i="9"/>
  <c r="AV22" i="9" s="1"/>
  <c r="AD22" i="9"/>
  <c r="AU22" i="9" s="1"/>
  <c r="AC22" i="9"/>
  <c r="AT22" i="9" s="1"/>
  <c r="AB22" i="9"/>
  <c r="AA22" i="9"/>
  <c r="Z22" i="9"/>
  <c r="Y22" i="9"/>
  <c r="AM20" i="9"/>
  <c r="BD20" i="9" s="1"/>
  <c r="AL20" i="9"/>
  <c r="BC20" i="9" s="1"/>
  <c r="AK20" i="9"/>
  <c r="BB20" i="9" s="1"/>
  <c r="AJ20" i="9"/>
  <c r="BA20" i="9" s="1"/>
  <c r="AI20" i="9"/>
  <c r="AZ20" i="9" s="1"/>
  <c r="AH20" i="9"/>
  <c r="AY20" i="9" s="1"/>
  <c r="AG20" i="9"/>
  <c r="AX20" i="9" s="1"/>
  <c r="AF20" i="9"/>
  <c r="AW20" i="9" s="1"/>
  <c r="AE20" i="9"/>
  <c r="AV20" i="9" s="1"/>
  <c r="AD20" i="9"/>
  <c r="AU20" i="9" s="1"/>
  <c r="AC20" i="9"/>
  <c r="AT20" i="9" s="1"/>
  <c r="AB20" i="9"/>
  <c r="AS20" i="9" s="1"/>
  <c r="AA20" i="9"/>
  <c r="AR20" i="9" s="1"/>
  <c r="Z20" i="9"/>
  <c r="AQ20" i="9" s="1"/>
  <c r="Y20" i="9"/>
  <c r="X20" i="9"/>
  <c r="AO20" i="9" s="1"/>
  <c r="AM19" i="9"/>
  <c r="BD19" i="9" s="1"/>
  <c r="AL19" i="9"/>
  <c r="BC19" i="9" s="1"/>
  <c r="AK19" i="9"/>
  <c r="BB19" i="9" s="1"/>
  <c r="AJ19" i="9"/>
  <c r="BA19" i="9" s="1"/>
  <c r="AI19" i="9"/>
  <c r="AZ19" i="9" s="1"/>
  <c r="AH19" i="9"/>
  <c r="AY19" i="9" s="1"/>
  <c r="AG19" i="9"/>
  <c r="AX19" i="9" s="1"/>
  <c r="AF19" i="9"/>
  <c r="AW19" i="9" s="1"/>
  <c r="AE19" i="9"/>
  <c r="AV19" i="9" s="1"/>
  <c r="AD19" i="9"/>
  <c r="AU19" i="9" s="1"/>
  <c r="AC19" i="9"/>
  <c r="AB19" i="9"/>
  <c r="AS19" i="9" s="1"/>
  <c r="AA19" i="9"/>
  <c r="AR19" i="9" s="1"/>
  <c r="Z19" i="9"/>
  <c r="AQ19" i="9" s="1"/>
  <c r="Y19" i="9"/>
  <c r="X19" i="9"/>
  <c r="B23" i="9"/>
  <c r="B24" i="9" s="1"/>
  <c r="B25" i="9" s="1"/>
  <c r="B26" i="9" s="1"/>
  <c r="B27" i="9" s="1"/>
  <c r="AM18" i="9"/>
  <c r="BD18" i="9" s="1"/>
  <c r="AL18" i="9"/>
  <c r="BC18" i="9" s="1"/>
  <c r="AK18" i="9"/>
  <c r="BB18" i="9" s="1"/>
  <c r="AJ18" i="9"/>
  <c r="BA18" i="9" s="1"/>
  <c r="AI18" i="9"/>
  <c r="AZ18" i="9" s="1"/>
  <c r="AH18" i="9"/>
  <c r="AY18" i="9" s="1"/>
  <c r="AG18" i="9"/>
  <c r="AX18" i="9" s="1"/>
  <c r="AF18" i="9"/>
  <c r="AW18" i="9" s="1"/>
  <c r="AE18" i="9"/>
  <c r="AV18" i="9" s="1"/>
  <c r="AD18" i="9"/>
  <c r="AU18" i="9" s="1"/>
  <c r="AC18" i="9"/>
  <c r="AT18" i="9" s="1"/>
  <c r="AB18" i="9"/>
  <c r="AS18" i="9" s="1"/>
  <c r="AA18" i="9"/>
  <c r="AR18" i="9" s="1"/>
  <c r="Z18" i="9"/>
  <c r="AQ18" i="9" s="1"/>
  <c r="AM17" i="9"/>
  <c r="BD17" i="9" s="1"/>
  <c r="AL17" i="9"/>
  <c r="BC17" i="9" s="1"/>
  <c r="AK17" i="9"/>
  <c r="BB17" i="9" s="1"/>
  <c r="AJ17" i="9"/>
  <c r="BA17" i="9" s="1"/>
  <c r="AI17" i="9"/>
  <c r="AZ17" i="9" s="1"/>
  <c r="AH17" i="9"/>
  <c r="AY17" i="9" s="1"/>
  <c r="AG17" i="9"/>
  <c r="AX17" i="9" s="1"/>
  <c r="AF17" i="9"/>
  <c r="AW17" i="9" s="1"/>
  <c r="AE17" i="9"/>
  <c r="AV17" i="9" s="1"/>
  <c r="AD17" i="9"/>
  <c r="AU17" i="9" s="1"/>
  <c r="AC17" i="9"/>
  <c r="AT17" i="9" s="1"/>
  <c r="AB17" i="9"/>
  <c r="AS17" i="9" s="1"/>
  <c r="AA17" i="9"/>
  <c r="AR17" i="9" s="1"/>
  <c r="Z17" i="9"/>
  <c r="AQ17" i="9" s="1"/>
  <c r="Y17" i="9"/>
  <c r="X17" i="9"/>
  <c r="AO17" i="9" s="1"/>
  <c r="AM16" i="9"/>
  <c r="BD16" i="9" s="1"/>
  <c r="AL16" i="9"/>
  <c r="BC16" i="9" s="1"/>
  <c r="AK16" i="9"/>
  <c r="BB16" i="9" s="1"/>
  <c r="AJ16" i="9"/>
  <c r="BA16" i="9" s="1"/>
  <c r="AI16" i="9"/>
  <c r="AZ16" i="9" s="1"/>
  <c r="AH16" i="9"/>
  <c r="AY16" i="9" s="1"/>
  <c r="AG16" i="9"/>
  <c r="AX16" i="9" s="1"/>
  <c r="AF16" i="9"/>
  <c r="AW16" i="9" s="1"/>
  <c r="AE16" i="9"/>
  <c r="AV16" i="9" s="1"/>
  <c r="AD16" i="9"/>
  <c r="AU16" i="9" s="1"/>
  <c r="AC16" i="9"/>
  <c r="AB16" i="9"/>
  <c r="AS16" i="9" s="1"/>
  <c r="AA16" i="9"/>
  <c r="AR16" i="9" s="1"/>
  <c r="Z16" i="9"/>
  <c r="AQ16" i="9" s="1"/>
  <c r="Y16" i="9"/>
  <c r="AP16" i="9" s="1"/>
  <c r="X16" i="9"/>
  <c r="AO16" i="9" s="1"/>
  <c r="BA11" i="9"/>
  <c r="AM129" i="8"/>
  <c r="BD129" i="8" s="1"/>
  <c r="AL129" i="8"/>
  <c r="BC129" i="8" s="1"/>
  <c r="AK129" i="8"/>
  <c r="BB129" i="8" s="1"/>
  <c r="AJ129" i="8"/>
  <c r="BA129" i="8" s="1"/>
  <c r="AI129" i="8"/>
  <c r="AZ129" i="8" s="1"/>
  <c r="AH129" i="8"/>
  <c r="AY129" i="8" s="1"/>
  <c r="AG129" i="8"/>
  <c r="AX129" i="8" s="1"/>
  <c r="AF129" i="8"/>
  <c r="AW129" i="8" s="1"/>
  <c r="AE129" i="8"/>
  <c r="AV129" i="8" s="1"/>
  <c r="AD129" i="8"/>
  <c r="AU129" i="8" s="1"/>
  <c r="AC129" i="8"/>
  <c r="AT129" i="8" s="1"/>
  <c r="AB129" i="8"/>
  <c r="AS129" i="8" s="1"/>
  <c r="AA129" i="8"/>
  <c r="AR129" i="8" s="1"/>
  <c r="Z129" i="8"/>
  <c r="AQ129" i="8" s="1"/>
  <c r="Y129" i="8"/>
  <c r="X129" i="8"/>
  <c r="AO129" i="8" s="1"/>
  <c r="BH129" i="8" s="1"/>
  <c r="AM128" i="8"/>
  <c r="BD128" i="8" s="1"/>
  <c r="AL128" i="8"/>
  <c r="BC128" i="8" s="1"/>
  <c r="AK128" i="8"/>
  <c r="BB128" i="8" s="1"/>
  <c r="AJ128" i="8"/>
  <c r="BA128" i="8" s="1"/>
  <c r="AI128" i="8"/>
  <c r="AZ128" i="8" s="1"/>
  <c r="AH128" i="8"/>
  <c r="AY128" i="8" s="1"/>
  <c r="AG128" i="8"/>
  <c r="AX128" i="8" s="1"/>
  <c r="AF128" i="8"/>
  <c r="AW128" i="8" s="1"/>
  <c r="AE128" i="8"/>
  <c r="AV128" i="8" s="1"/>
  <c r="AD128" i="8"/>
  <c r="AU128" i="8" s="1"/>
  <c r="AC128" i="8"/>
  <c r="AT128" i="8" s="1"/>
  <c r="AB128" i="8"/>
  <c r="AS128" i="8" s="1"/>
  <c r="AA128" i="8"/>
  <c r="AR128" i="8" s="1"/>
  <c r="Z128" i="8"/>
  <c r="AQ128" i="8" s="1"/>
  <c r="Y128" i="8"/>
  <c r="X128" i="8"/>
  <c r="AO128" i="8" s="1"/>
  <c r="BH128" i="8" s="1"/>
  <c r="AM127" i="8"/>
  <c r="BD127" i="8" s="1"/>
  <c r="AL127" i="8"/>
  <c r="BC127" i="8" s="1"/>
  <c r="AK127" i="8"/>
  <c r="BB127" i="8" s="1"/>
  <c r="AJ127" i="8"/>
  <c r="BA127" i="8" s="1"/>
  <c r="AI127" i="8"/>
  <c r="AZ127" i="8" s="1"/>
  <c r="AH127" i="8"/>
  <c r="AY127" i="8" s="1"/>
  <c r="AG127" i="8"/>
  <c r="AX127" i="8" s="1"/>
  <c r="AF127" i="8"/>
  <c r="AW127" i="8" s="1"/>
  <c r="AE127" i="8"/>
  <c r="AV127" i="8" s="1"/>
  <c r="AD127" i="8"/>
  <c r="AU127" i="8" s="1"/>
  <c r="AC127" i="8"/>
  <c r="AT127" i="8" s="1"/>
  <c r="AB127" i="8"/>
  <c r="AS127" i="8" s="1"/>
  <c r="AA127" i="8"/>
  <c r="AR127" i="8" s="1"/>
  <c r="Z127" i="8"/>
  <c r="AQ127" i="8" s="1"/>
  <c r="Y127" i="8"/>
  <c r="X127" i="8"/>
  <c r="AO127" i="8" s="1"/>
  <c r="BH127" i="8" s="1"/>
  <c r="AM126" i="8"/>
  <c r="BD126" i="8" s="1"/>
  <c r="AL126" i="8"/>
  <c r="BC126" i="8" s="1"/>
  <c r="AK126" i="8"/>
  <c r="BB126" i="8" s="1"/>
  <c r="AJ126" i="8"/>
  <c r="BA126" i="8" s="1"/>
  <c r="AI126" i="8"/>
  <c r="AZ126" i="8" s="1"/>
  <c r="AH126" i="8"/>
  <c r="AY126" i="8" s="1"/>
  <c r="AG126" i="8"/>
  <c r="AX126" i="8" s="1"/>
  <c r="AF126" i="8"/>
  <c r="AW126" i="8" s="1"/>
  <c r="AE126" i="8"/>
  <c r="AV126" i="8" s="1"/>
  <c r="AD126" i="8"/>
  <c r="AU126" i="8" s="1"/>
  <c r="AC126" i="8"/>
  <c r="AT126" i="8" s="1"/>
  <c r="AB126" i="8"/>
  <c r="AS126" i="8" s="1"/>
  <c r="AA126" i="8"/>
  <c r="AR126" i="8" s="1"/>
  <c r="Z126" i="8"/>
  <c r="AQ126" i="8" s="1"/>
  <c r="Y126" i="8"/>
  <c r="X126" i="8"/>
  <c r="AO126" i="8" s="1"/>
  <c r="BH126" i="8" s="1"/>
  <c r="AM125" i="8"/>
  <c r="BD125" i="8" s="1"/>
  <c r="AL125" i="8"/>
  <c r="BC125" i="8" s="1"/>
  <c r="AK125" i="8"/>
  <c r="BB125" i="8" s="1"/>
  <c r="AJ125" i="8"/>
  <c r="BA125" i="8" s="1"/>
  <c r="AI125" i="8"/>
  <c r="AZ125" i="8" s="1"/>
  <c r="AH125" i="8"/>
  <c r="AY125" i="8" s="1"/>
  <c r="AG125" i="8"/>
  <c r="AX125" i="8" s="1"/>
  <c r="AF125" i="8"/>
  <c r="AW125" i="8" s="1"/>
  <c r="AE125" i="8"/>
  <c r="AV125" i="8" s="1"/>
  <c r="AD125" i="8"/>
  <c r="AU125" i="8" s="1"/>
  <c r="AC125" i="8"/>
  <c r="AT125" i="8" s="1"/>
  <c r="AB125" i="8"/>
  <c r="AS125" i="8" s="1"/>
  <c r="AA125" i="8"/>
  <c r="AR125" i="8" s="1"/>
  <c r="Z125" i="8"/>
  <c r="AQ125" i="8" s="1"/>
  <c r="Y125" i="8"/>
  <c r="X125" i="8"/>
  <c r="AO125" i="8" s="1"/>
  <c r="BH125" i="8" s="1"/>
  <c r="AM124" i="8"/>
  <c r="BD124" i="8" s="1"/>
  <c r="AL124" i="8"/>
  <c r="BC124" i="8" s="1"/>
  <c r="AK124" i="8"/>
  <c r="BB124" i="8" s="1"/>
  <c r="AJ124" i="8"/>
  <c r="BA124" i="8" s="1"/>
  <c r="AI124" i="8"/>
  <c r="AZ124" i="8" s="1"/>
  <c r="AH124" i="8"/>
  <c r="AY124" i="8" s="1"/>
  <c r="AG124" i="8"/>
  <c r="AX124" i="8" s="1"/>
  <c r="AF124" i="8"/>
  <c r="AW124" i="8" s="1"/>
  <c r="AE124" i="8"/>
  <c r="AV124" i="8" s="1"/>
  <c r="AD124" i="8"/>
  <c r="AU124" i="8" s="1"/>
  <c r="AC124" i="8"/>
  <c r="AT124" i="8" s="1"/>
  <c r="AB124" i="8"/>
  <c r="AS124" i="8" s="1"/>
  <c r="AA124" i="8"/>
  <c r="AR124" i="8" s="1"/>
  <c r="Z124" i="8"/>
  <c r="AQ124" i="8" s="1"/>
  <c r="Y124" i="8"/>
  <c r="X124" i="8"/>
  <c r="AO124" i="8" s="1"/>
  <c r="BH124" i="8" s="1"/>
  <c r="AM123" i="8"/>
  <c r="BD123" i="8" s="1"/>
  <c r="AL123" i="8"/>
  <c r="BC123" i="8" s="1"/>
  <c r="AK123" i="8"/>
  <c r="BB123" i="8" s="1"/>
  <c r="AJ123" i="8"/>
  <c r="BA123" i="8" s="1"/>
  <c r="AI123" i="8"/>
  <c r="AZ123" i="8" s="1"/>
  <c r="AH123" i="8"/>
  <c r="AY123" i="8" s="1"/>
  <c r="AG123" i="8"/>
  <c r="AX123" i="8" s="1"/>
  <c r="AF123" i="8"/>
  <c r="AW123" i="8" s="1"/>
  <c r="AE123" i="8"/>
  <c r="AV123" i="8" s="1"/>
  <c r="AD123" i="8"/>
  <c r="AU123" i="8" s="1"/>
  <c r="AC123" i="8"/>
  <c r="AT123" i="8" s="1"/>
  <c r="AB123" i="8"/>
  <c r="AS123" i="8" s="1"/>
  <c r="AA123" i="8"/>
  <c r="AR123" i="8" s="1"/>
  <c r="Z123" i="8"/>
  <c r="AQ123" i="8" s="1"/>
  <c r="Y123" i="8"/>
  <c r="X123" i="8"/>
  <c r="AO123" i="8" s="1"/>
  <c r="BH123" i="8" s="1"/>
  <c r="AM122" i="8"/>
  <c r="BD122" i="8" s="1"/>
  <c r="AL122" i="8"/>
  <c r="BC122" i="8" s="1"/>
  <c r="AK122" i="8"/>
  <c r="BB122" i="8" s="1"/>
  <c r="AJ122" i="8"/>
  <c r="BA122" i="8" s="1"/>
  <c r="AI122" i="8"/>
  <c r="AZ122" i="8" s="1"/>
  <c r="AH122" i="8"/>
  <c r="AY122" i="8" s="1"/>
  <c r="AG122" i="8"/>
  <c r="AX122" i="8" s="1"/>
  <c r="AF122" i="8"/>
  <c r="AW122" i="8" s="1"/>
  <c r="AE122" i="8"/>
  <c r="AV122" i="8" s="1"/>
  <c r="AD122" i="8"/>
  <c r="AU122" i="8" s="1"/>
  <c r="AC122" i="8"/>
  <c r="AT122" i="8" s="1"/>
  <c r="AB122" i="8"/>
  <c r="AS122" i="8" s="1"/>
  <c r="AA122" i="8"/>
  <c r="AR122" i="8" s="1"/>
  <c r="Z122" i="8"/>
  <c r="AQ122" i="8" s="1"/>
  <c r="Y122" i="8"/>
  <c r="X122" i="8"/>
  <c r="AO122" i="8" s="1"/>
  <c r="BH122" i="8" s="1"/>
  <c r="AM121" i="8"/>
  <c r="BD121" i="8" s="1"/>
  <c r="AL121" i="8"/>
  <c r="BC121" i="8" s="1"/>
  <c r="AK121" i="8"/>
  <c r="BB121" i="8" s="1"/>
  <c r="AJ121" i="8"/>
  <c r="BA121" i="8" s="1"/>
  <c r="AI121" i="8"/>
  <c r="AZ121" i="8" s="1"/>
  <c r="AH121" i="8"/>
  <c r="AY121" i="8" s="1"/>
  <c r="AG121" i="8"/>
  <c r="AX121" i="8" s="1"/>
  <c r="AF121" i="8"/>
  <c r="AW121" i="8" s="1"/>
  <c r="AE121" i="8"/>
  <c r="AV121" i="8" s="1"/>
  <c r="AD121" i="8"/>
  <c r="AU121" i="8" s="1"/>
  <c r="AC121" i="8"/>
  <c r="AT121" i="8" s="1"/>
  <c r="AB121" i="8"/>
  <c r="AS121" i="8" s="1"/>
  <c r="AA121" i="8"/>
  <c r="AR121" i="8" s="1"/>
  <c r="Z121" i="8"/>
  <c r="AQ121" i="8" s="1"/>
  <c r="Y121" i="8"/>
  <c r="X121" i="8"/>
  <c r="AO121" i="8" s="1"/>
  <c r="BH121" i="8" s="1"/>
  <c r="AM120" i="8"/>
  <c r="BD120" i="8" s="1"/>
  <c r="AL120" i="8"/>
  <c r="BC120" i="8" s="1"/>
  <c r="AK120" i="8"/>
  <c r="BB120" i="8" s="1"/>
  <c r="AJ120" i="8"/>
  <c r="BA120" i="8" s="1"/>
  <c r="AI120" i="8"/>
  <c r="AZ120" i="8" s="1"/>
  <c r="AH120" i="8"/>
  <c r="AY120" i="8" s="1"/>
  <c r="AG120" i="8"/>
  <c r="AX120" i="8" s="1"/>
  <c r="AF120" i="8"/>
  <c r="AW120" i="8" s="1"/>
  <c r="AE120" i="8"/>
  <c r="AV120" i="8" s="1"/>
  <c r="AD120" i="8"/>
  <c r="AU120" i="8" s="1"/>
  <c r="AC120" i="8"/>
  <c r="AT120" i="8" s="1"/>
  <c r="AB120" i="8"/>
  <c r="AS120" i="8" s="1"/>
  <c r="AA120" i="8"/>
  <c r="AR120" i="8" s="1"/>
  <c r="Z120" i="8"/>
  <c r="AQ120" i="8" s="1"/>
  <c r="Y120" i="8"/>
  <c r="X120" i="8"/>
  <c r="AO120" i="8" s="1"/>
  <c r="AM119" i="8"/>
  <c r="BD119" i="8" s="1"/>
  <c r="AL119" i="8"/>
  <c r="BC119" i="8" s="1"/>
  <c r="AK119" i="8"/>
  <c r="BB119" i="8" s="1"/>
  <c r="AJ119" i="8"/>
  <c r="BA119" i="8" s="1"/>
  <c r="AI119" i="8"/>
  <c r="AZ119" i="8" s="1"/>
  <c r="AH119" i="8"/>
  <c r="AY119" i="8" s="1"/>
  <c r="AG119" i="8"/>
  <c r="AX119" i="8" s="1"/>
  <c r="AF119" i="8"/>
  <c r="AW119" i="8" s="1"/>
  <c r="AE119" i="8"/>
  <c r="AV119" i="8" s="1"/>
  <c r="AD119" i="8"/>
  <c r="AU119" i="8" s="1"/>
  <c r="AC119" i="8"/>
  <c r="AT119" i="8" s="1"/>
  <c r="AB119" i="8"/>
  <c r="AS119" i="8" s="1"/>
  <c r="AA119" i="8"/>
  <c r="AR119" i="8" s="1"/>
  <c r="Z119" i="8"/>
  <c r="AQ119" i="8" s="1"/>
  <c r="Y119" i="8"/>
  <c r="X119" i="8"/>
  <c r="AO119" i="8" s="1"/>
  <c r="BH119" i="8" s="1"/>
  <c r="AM118" i="8"/>
  <c r="BD118" i="8" s="1"/>
  <c r="AL118" i="8"/>
  <c r="BC118" i="8" s="1"/>
  <c r="AK118" i="8"/>
  <c r="BB118" i="8" s="1"/>
  <c r="AJ118" i="8"/>
  <c r="BA118" i="8" s="1"/>
  <c r="AI118" i="8"/>
  <c r="AZ118" i="8" s="1"/>
  <c r="AH118" i="8"/>
  <c r="AY118" i="8" s="1"/>
  <c r="AG118" i="8"/>
  <c r="AX118" i="8" s="1"/>
  <c r="AF118" i="8"/>
  <c r="AW118" i="8" s="1"/>
  <c r="AE118" i="8"/>
  <c r="AV118" i="8" s="1"/>
  <c r="AD118" i="8"/>
  <c r="AU118" i="8" s="1"/>
  <c r="AC118" i="8"/>
  <c r="AT118" i="8" s="1"/>
  <c r="AB118" i="8"/>
  <c r="AS118" i="8" s="1"/>
  <c r="AA118" i="8"/>
  <c r="AR118" i="8" s="1"/>
  <c r="Z118" i="8"/>
  <c r="AQ118" i="8" s="1"/>
  <c r="Y118" i="8"/>
  <c r="X118" i="8"/>
  <c r="AO118" i="8" s="1"/>
  <c r="BH118" i="8" s="1"/>
  <c r="AM117" i="8"/>
  <c r="BD117" i="8" s="1"/>
  <c r="AL117" i="8"/>
  <c r="BC117" i="8" s="1"/>
  <c r="AK117" i="8"/>
  <c r="BB117" i="8" s="1"/>
  <c r="AJ117" i="8"/>
  <c r="BA117" i="8" s="1"/>
  <c r="AI117" i="8"/>
  <c r="AZ117" i="8" s="1"/>
  <c r="AH117" i="8"/>
  <c r="AY117" i="8" s="1"/>
  <c r="AG117" i="8"/>
  <c r="AX117" i="8" s="1"/>
  <c r="AF117" i="8"/>
  <c r="AW117" i="8" s="1"/>
  <c r="AE117" i="8"/>
  <c r="AV117" i="8" s="1"/>
  <c r="AD117" i="8"/>
  <c r="AU117" i="8" s="1"/>
  <c r="AC117" i="8"/>
  <c r="AT117" i="8" s="1"/>
  <c r="AB117" i="8"/>
  <c r="AS117" i="8" s="1"/>
  <c r="AA117" i="8"/>
  <c r="AR117" i="8" s="1"/>
  <c r="Z117" i="8"/>
  <c r="AQ117" i="8" s="1"/>
  <c r="Y117" i="8"/>
  <c r="X117" i="8"/>
  <c r="AO117" i="8" s="1"/>
  <c r="BH117" i="8" s="1"/>
  <c r="AM116" i="8"/>
  <c r="BD116" i="8" s="1"/>
  <c r="AL116" i="8"/>
  <c r="BC116" i="8" s="1"/>
  <c r="AK116" i="8"/>
  <c r="BB116" i="8" s="1"/>
  <c r="AJ116" i="8"/>
  <c r="BA116" i="8" s="1"/>
  <c r="AI116" i="8"/>
  <c r="AZ116" i="8" s="1"/>
  <c r="AH116" i="8"/>
  <c r="AY116" i="8" s="1"/>
  <c r="AG116" i="8"/>
  <c r="AX116" i="8" s="1"/>
  <c r="AF116" i="8"/>
  <c r="AW116" i="8" s="1"/>
  <c r="AE116" i="8"/>
  <c r="AV116" i="8" s="1"/>
  <c r="AD116" i="8"/>
  <c r="AU116" i="8" s="1"/>
  <c r="AC116" i="8"/>
  <c r="AT116" i="8" s="1"/>
  <c r="AB116" i="8"/>
  <c r="AS116" i="8" s="1"/>
  <c r="AA116" i="8"/>
  <c r="AR116" i="8" s="1"/>
  <c r="Z116" i="8"/>
  <c r="AQ116" i="8" s="1"/>
  <c r="Y116" i="8"/>
  <c r="X116" i="8"/>
  <c r="AO116" i="8" s="1"/>
  <c r="BH116" i="8" s="1"/>
  <c r="AM115" i="8"/>
  <c r="BD115" i="8" s="1"/>
  <c r="AL115" i="8"/>
  <c r="BC115" i="8" s="1"/>
  <c r="AK115" i="8"/>
  <c r="BB115" i="8" s="1"/>
  <c r="AJ115" i="8"/>
  <c r="BA115" i="8" s="1"/>
  <c r="AI115" i="8"/>
  <c r="AZ115" i="8" s="1"/>
  <c r="AH115" i="8"/>
  <c r="AY115" i="8" s="1"/>
  <c r="AG115" i="8"/>
  <c r="AX115" i="8" s="1"/>
  <c r="AF115" i="8"/>
  <c r="AW115" i="8" s="1"/>
  <c r="AE115" i="8"/>
  <c r="AV115" i="8" s="1"/>
  <c r="AD115" i="8"/>
  <c r="AU115" i="8" s="1"/>
  <c r="AC115" i="8"/>
  <c r="AT115" i="8" s="1"/>
  <c r="AB115" i="8"/>
  <c r="AS115" i="8" s="1"/>
  <c r="AA115" i="8"/>
  <c r="AR115" i="8" s="1"/>
  <c r="Z115" i="8"/>
  <c r="AQ115" i="8" s="1"/>
  <c r="Y115" i="8"/>
  <c r="X115" i="8"/>
  <c r="AO115" i="8" s="1"/>
  <c r="AM106" i="8"/>
  <c r="BD106" i="8" s="1"/>
  <c r="AL106" i="8"/>
  <c r="BC106" i="8" s="1"/>
  <c r="AK106" i="8"/>
  <c r="BB106" i="8" s="1"/>
  <c r="AJ106" i="8"/>
  <c r="BA106" i="8" s="1"/>
  <c r="AI106" i="8"/>
  <c r="AZ106" i="8" s="1"/>
  <c r="AH106" i="8"/>
  <c r="AY106" i="8" s="1"/>
  <c r="AG106" i="8"/>
  <c r="AX106" i="8" s="1"/>
  <c r="AF106" i="8"/>
  <c r="AW106" i="8" s="1"/>
  <c r="AE106" i="8"/>
  <c r="AV106" i="8" s="1"/>
  <c r="AD106" i="8"/>
  <c r="AU106" i="8" s="1"/>
  <c r="AC106" i="8"/>
  <c r="AT106" i="8" s="1"/>
  <c r="AB106" i="8"/>
  <c r="AS106" i="8" s="1"/>
  <c r="AA106" i="8"/>
  <c r="AR106" i="8" s="1"/>
  <c r="Z106" i="8"/>
  <c r="AQ106" i="8" s="1"/>
  <c r="Y106" i="8"/>
  <c r="X106" i="8"/>
  <c r="AO106" i="8" s="1"/>
  <c r="BH106" i="8" s="1"/>
  <c r="AM105" i="8"/>
  <c r="BD105" i="8" s="1"/>
  <c r="AL105" i="8"/>
  <c r="BC105" i="8" s="1"/>
  <c r="AK105" i="8"/>
  <c r="BB105" i="8" s="1"/>
  <c r="AJ105" i="8"/>
  <c r="BA105" i="8" s="1"/>
  <c r="AI105" i="8"/>
  <c r="AZ105" i="8" s="1"/>
  <c r="AH105" i="8"/>
  <c r="AY105" i="8" s="1"/>
  <c r="AG105" i="8"/>
  <c r="AX105" i="8" s="1"/>
  <c r="AF105" i="8"/>
  <c r="AW105" i="8" s="1"/>
  <c r="AE105" i="8"/>
  <c r="AV105" i="8" s="1"/>
  <c r="AD105" i="8"/>
  <c r="AU105" i="8" s="1"/>
  <c r="AC105" i="8"/>
  <c r="AT105" i="8" s="1"/>
  <c r="AB105" i="8"/>
  <c r="AS105" i="8" s="1"/>
  <c r="AA105" i="8"/>
  <c r="AR105" i="8" s="1"/>
  <c r="Z105" i="8"/>
  <c r="AQ105" i="8" s="1"/>
  <c r="Y105" i="8"/>
  <c r="X105" i="8"/>
  <c r="AO105" i="8" s="1"/>
  <c r="AM104" i="8"/>
  <c r="BD104" i="8" s="1"/>
  <c r="AL104" i="8"/>
  <c r="BC104" i="8" s="1"/>
  <c r="AK104" i="8"/>
  <c r="BB104" i="8" s="1"/>
  <c r="AJ104" i="8"/>
  <c r="BA104" i="8" s="1"/>
  <c r="AI104" i="8"/>
  <c r="AZ104" i="8" s="1"/>
  <c r="AH104" i="8"/>
  <c r="AY104" i="8" s="1"/>
  <c r="AG104" i="8"/>
  <c r="AX104" i="8" s="1"/>
  <c r="AF104" i="8"/>
  <c r="AW104" i="8" s="1"/>
  <c r="AE104" i="8"/>
  <c r="AV104" i="8" s="1"/>
  <c r="AD104" i="8"/>
  <c r="AU104" i="8" s="1"/>
  <c r="AC104" i="8"/>
  <c r="AT104" i="8" s="1"/>
  <c r="AB104" i="8"/>
  <c r="AS104" i="8" s="1"/>
  <c r="AA104" i="8"/>
  <c r="AR104" i="8" s="1"/>
  <c r="Z104" i="8"/>
  <c r="AQ104" i="8" s="1"/>
  <c r="Y104" i="8"/>
  <c r="X104" i="8"/>
  <c r="AO104" i="8" s="1"/>
  <c r="AM99" i="8"/>
  <c r="BD99" i="8" s="1"/>
  <c r="AL99" i="8"/>
  <c r="BC99" i="8" s="1"/>
  <c r="AK99" i="8"/>
  <c r="BB99" i="8" s="1"/>
  <c r="AJ99" i="8"/>
  <c r="BA99" i="8" s="1"/>
  <c r="AI99" i="8"/>
  <c r="AZ99" i="8" s="1"/>
  <c r="AH99" i="8"/>
  <c r="AY99" i="8" s="1"/>
  <c r="AG99" i="8"/>
  <c r="AX99" i="8" s="1"/>
  <c r="AF99" i="8"/>
  <c r="AW99" i="8" s="1"/>
  <c r="AE99" i="8"/>
  <c r="AV99" i="8" s="1"/>
  <c r="AD99" i="8"/>
  <c r="AU99" i="8" s="1"/>
  <c r="AC99" i="8"/>
  <c r="AT99" i="8" s="1"/>
  <c r="AB99" i="8"/>
  <c r="AS99" i="8" s="1"/>
  <c r="AA99" i="8"/>
  <c r="AR99" i="8" s="1"/>
  <c r="Z99" i="8"/>
  <c r="AQ99" i="8" s="1"/>
  <c r="Y99" i="8"/>
  <c r="X99" i="8"/>
  <c r="AO99" i="8" s="1"/>
  <c r="BH99" i="8" s="1"/>
  <c r="AM98" i="8"/>
  <c r="BD98" i="8" s="1"/>
  <c r="AL98" i="8"/>
  <c r="BC98" i="8" s="1"/>
  <c r="AK98" i="8"/>
  <c r="BB98" i="8" s="1"/>
  <c r="AJ98" i="8"/>
  <c r="BA98" i="8" s="1"/>
  <c r="AI98" i="8"/>
  <c r="AZ98" i="8" s="1"/>
  <c r="AH98" i="8"/>
  <c r="AY98" i="8" s="1"/>
  <c r="AG98" i="8"/>
  <c r="AX98" i="8" s="1"/>
  <c r="AF98" i="8"/>
  <c r="AW98" i="8" s="1"/>
  <c r="AE98" i="8"/>
  <c r="AV98" i="8" s="1"/>
  <c r="AD98" i="8"/>
  <c r="AU98" i="8" s="1"/>
  <c r="AC98" i="8"/>
  <c r="AT98" i="8" s="1"/>
  <c r="AB98" i="8"/>
  <c r="AS98" i="8" s="1"/>
  <c r="AA98" i="8"/>
  <c r="AR98" i="8" s="1"/>
  <c r="Z98" i="8"/>
  <c r="AQ98" i="8" s="1"/>
  <c r="Y98" i="8"/>
  <c r="X98" i="8"/>
  <c r="AO98" i="8" s="1"/>
  <c r="BH98" i="8" s="1"/>
  <c r="AM103" i="8"/>
  <c r="BD103" i="8" s="1"/>
  <c r="AL103" i="8"/>
  <c r="BC103" i="8" s="1"/>
  <c r="AK103" i="8"/>
  <c r="BB103" i="8" s="1"/>
  <c r="AJ103" i="8"/>
  <c r="BA103" i="8" s="1"/>
  <c r="AI103" i="8"/>
  <c r="AZ103" i="8" s="1"/>
  <c r="AH103" i="8"/>
  <c r="AY103" i="8" s="1"/>
  <c r="AG103" i="8"/>
  <c r="AX103" i="8" s="1"/>
  <c r="AF103" i="8"/>
  <c r="AW103" i="8" s="1"/>
  <c r="AE103" i="8"/>
  <c r="AV103" i="8" s="1"/>
  <c r="AD103" i="8"/>
  <c r="AU103" i="8" s="1"/>
  <c r="AC103" i="8"/>
  <c r="AT103" i="8" s="1"/>
  <c r="AB103" i="8"/>
  <c r="AS103" i="8" s="1"/>
  <c r="AA103" i="8"/>
  <c r="AR103" i="8" s="1"/>
  <c r="Z103" i="8"/>
  <c r="AQ103" i="8" s="1"/>
  <c r="Y103" i="8"/>
  <c r="X103" i="8"/>
  <c r="AO103" i="8" s="1"/>
  <c r="BH103" i="8" s="1"/>
  <c r="AM102" i="8"/>
  <c r="BD102" i="8" s="1"/>
  <c r="AL102" i="8"/>
  <c r="BC102" i="8" s="1"/>
  <c r="AK102" i="8"/>
  <c r="BB102" i="8" s="1"/>
  <c r="AJ102" i="8"/>
  <c r="BA102" i="8" s="1"/>
  <c r="AI102" i="8"/>
  <c r="AZ102" i="8" s="1"/>
  <c r="AH102" i="8"/>
  <c r="AY102" i="8" s="1"/>
  <c r="AG102" i="8"/>
  <c r="AX102" i="8" s="1"/>
  <c r="AF102" i="8"/>
  <c r="AW102" i="8" s="1"/>
  <c r="AE102" i="8"/>
  <c r="AV102" i="8" s="1"/>
  <c r="AD102" i="8"/>
  <c r="AU102" i="8" s="1"/>
  <c r="AC102" i="8"/>
  <c r="AT102" i="8" s="1"/>
  <c r="AB102" i="8"/>
  <c r="AS102" i="8" s="1"/>
  <c r="AA102" i="8"/>
  <c r="AR102" i="8" s="1"/>
  <c r="Z102" i="8"/>
  <c r="AQ102" i="8" s="1"/>
  <c r="Y102" i="8"/>
  <c r="X102" i="8"/>
  <c r="AO102" i="8" s="1"/>
  <c r="BH102" i="8" s="1"/>
  <c r="AM100" i="8"/>
  <c r="BD100" i="8" s="1"/>
  <c r="AL100" i="8"/>
  <c r="BC100" i="8" s="1"/>
  <c r="AK100" i="8"/>
  <c r="BB100" i="8" s="1"/>
  <c r="AJ100" i="8"/>
  <c r="BA100" i="8" s="1"/>
  <c r="AI100" i="8"/>
  <c r="AZ100" i="8" s="1"/>
  <c r="AH100" i="8"/>
  <c r="AY100" i="8" s="1"/>
  <c r="AG100" i="8"/>
  <c r="AX100" i="8" s="1"/>
  <c r="AF100" i="8"/>
  <c r="AW100" i="8" s="1"/>
  <c r="AE100" i="8"/>
  <c r="AV100" i="8" s="1"/>
  <c r="AD100" i="8"/>
  <c r="AU100" i="8" s="1"/>
  <c r="AC100" i="8"/>
  <c r="AT100" i="8" s="1"/>
  <c r="AB100" i="8"/>
  <c r="AS100" i="8" s="1"/>
  <c r="AA100" i="8"/>
  <c r="AR100" i="8" s="1"/>
  <c r="Z100" i="8"/>
  <c r="AQ100" i="8" s="1"/>
  <c r="Y100" i="8"/>
  <c r="X100" i="8"/>
  <c r="AO100" i="8" s="1"/>
  <c r="BH100" i="8" s="1"/>
  <c r="AM97" i="8"/>
  <c r="BD97" i="8" s="1"/>
  <c r="AL97" i="8"/>
  <c r="BC97" i="8" s="1"/>
  <c r="AK97" i="8"/>
  <c r="BB97" i="8" s="1"/>
  <c r="AJ97" i="8"/>
  <c r="BA97" i="8" s="1"/>
  <c r="AI97" i="8"/>
  <c r="AZ97" i="8" s="1"/>
  <c r="AH97" i="8"/>
  <c r="AY97" i="8" s="1"/>
  <c r="AG97" i="8"/>
  <c r="AX97" i="8" s="1"/>
  <c r="AF97" i="8"/>
  <c r="AW97" i="8" s="1"/>
  <c r="AE97" i="8"/>
  <c r="AV97" i="8" s="1"/>
  <c r="AD97" i="8"/>
  <c r="AU97" i="8" s="1"/>
  <c r="AC97" i="8"/>
  <c r="AT97" i="8" s="1"/>
  <c r="AB97" i="8"/>
  <c r="AS97" i="8" s="1"/>
  <c r="AA97" i="8"/>
  <c r="AR97" i="8" s="1"/>
  <c r="Z97" i="8"/>
  <c r="AQ97" i="8" s="1"/>
  <c r="Y97" i="8"/>
  <c r="X97" i="8"/>
  <c r="AO97" i="8" s="1"/>
  <c r="AM96" i="8"/>
  <c r="BD96" i="8" s="1"/>
  <c r="AL96" i="8"/>
  <c r="BC96" i="8" s="1"/>
  <c r="AK96" i="8"/>
  <c r="BB96" i="8" s="1"/>
  <c r="AJ96" i="8"/>
  <c r="BA96" i="8" s="1"/>
  <c r="AI96" i="8"/>
  <c r="AZ96" i="8" s="1"/>
  <c r="AH96" i="8"/>
  <c r="AY96" i="8" s="1"/>
  <c r="AG96" i="8"/>
  <c r="AX96" i="8" s="1"/>
  <c r="AF96" i="8"/>
  <c r="AW96" i="8" s="1"/>
  <c r="AE96" i="8"/>
  <c r="AV96" i="8" s="1"/>
  <c r="AD96" i="8"/>
  <c r="AU96" i="8" s="1"/>
  <c r="AC96" i="8"/>
  <c r="AT96" i="8" s="1"/>
  <c r="AB96" i="8"/>
  <c r="AS96" i="8" s="1"/>
  <c r="AA96" i="8"/>
  <c r="AR96" i="8" s="1"/>
  <c r="Z96" i="8"/>
  <c r="AQ96" i="8" s="1"/>
  <c r="Y96" i="8"/>
  <c r="X96" i="8"/>
  <c r="AO96" i="8" s="1"/>
  <c r="BH96" i="8" s="1"/>
  <c r="AM95" i="8"/>
  <c r="BD95" i="8" s="1"/>
  <c r="AL95" i="8"/>
  <c r="BC95" i="8" s="1"/>
  <c r="AK95" i="8"/>
  <c r="BB95" i="8" s="1"/>
  <c r="AJ95" i="8"/>
  <c r="BA95" i="8" s="1"/>
  <c r="AI95" i="8"/>
  <c r="AZ95" i="8" s="1"/>
  <c r="AH95" i="8"/>
  <c r="AY95" i="8" s="1"/>
  <c r="AG95" i="8"/>
  <c r="AX95" i="8" s="1"/>
  <c r="AF95" i="8"/>
  <c r="AW95" i="8" s="1"/>
  <c r="AE95" i="8"/>
  <c r="AV95" i="8" s="1"/>
  <c r="AD95" i="8"/>
  <c r="AU95" i="8" s="1"/>
  <c r="AC95" i="8"/>
  <c r="AT95" i="8" s="1"/>
  <c r="AB95" i="8"/>
  <c r="AS95" i="8" s="1"/>
  <c r="AA95" i="8"/>
  <c r="AR95" i="8" s="1"/>
  <c r="Z95" i="8"/>
  <c r="AQ95" i="8" s="1"/>
  <c r="Y95" i="8"/>
  <c r="X95" i="8"/>
  <c r="AO95" i="8" s="1"/>
  <c r="AM94" i="8"/>
  <c r="BD94" i="8" s="1"/>
  <c r="AL94" i="8"/>
  <c r="BC94" i="8" s="1"/>
  <c r="AK94" i="8"/>
  <c r="BB94" i="8" s="1"/>
  <c r="AJ94" i="8"/>
  <c r="BA94" i="8" s="1"/>
  <c r="AI94" i="8"/>
  <c r="AZ94" i="8" s="1"/>
  <c r="AH94" i="8"/>
  <c r="AY94" i="8" s="1"/>
  <c r="AG94" i="8"/>
  <c r="AX94" i="8" s="1"/>
  <c r="AF94" i="8"/>
  <c r="AW94" i="8" s="1"/>
  <c r="AE94" i="8"/>
  <c r="AV94" i="8" s="1"/>
  <c r="AD94" i="8"/>
  <c r="AU94" i="8" s="1"/>
  <c r="AC94" i="8"/>
  <c r="AT94" i="8" s="1"/>
  <c r="AB94" i="8"/>
  <c r="AS94" i="8" s="1"/>
  <c r="AA94" i="8"/>
  <c r="AR94" i="8" s="1"/>
  <c r="Z94" i="8"/>
  <c r="AQ94" i="8" s="1"/>
  <c r="Y94" i="8"/>
  <c r="X94" i="8"/>
  <c r="AO94" i="8" s="1"/>
  <c r="AM93" i="8"/>
  <c r="BD93" i="8" s="1"/>
  <c r="AL93" i="8"/>
  <c r="BC93" i="8" s="1"/>
  <c r="AK93" i="8"/>
  <c r="BB93" i="8" s="1"/>
  <c r="AJ93" i="8"/>
  <c r="BA93" i="8" s="1"/>
  <c r="AI93" i="8"/>
  <c r="AZ93" i="8" s="1"/>
  <c r="AH93" i="8"/>
  <c r="AY93" i="8" s="1"/>
  <c r="AG93" i="8"/>
  <c r="AX93" i="8" s="1"/>
  <c r="AF93" i="8"/>
  <c r="AW93" i="8" s="1"/>
  <c r="AE93" i="8"/>
  <c r="AV93" i="8" s="1"/>
  <c r="AD93" i="8"/>
  <c r="AU93" i="8" s="1"/>
  <c r="AC93" i="8"/>
  <c r="AT93" i="8" s="1"/>
  <c r="AB93" i="8"/>
  <c r="AS93" i="8" s="1"/>
  <c r="AA93" i="8"/>
  <c r="AR93" i="8" s="1"/>
  <c r="Z93" i="8"/>
  <c r="AQ93" i="8" s="1"/>
  <c r="Y93" i="8"/>
  <c r="X93" i="8"/>
  <c r="AO93" i="8" s="1"/>
  <c r="BH93" i="8" s="1"/>
  <c r="AM92" i="8"/>
  <c r="BD92" i="8" s="1"/>
  <c r="AL92" i="8"/>
  <c r="BC92" i="8" s="1"/>
  <c r="AK92" i="8"/>
  <c r="BB92" i="8" s="1"/>
  <c r="AJ92" i="8"/>
  <c r="BA92" i="8" s="1"/>
  <c r="AI92" i="8"/>
  <c r="AZ92" i="8" s="1"/>
  <c r="AH92" i="8"/>
  <c r="AY92" i="8" s="1"/>
  <c r="AG92" i="8"/>
  <c r="AX92" i="8" s="1"/>
  <c r="AF92" i="8"/>
  <c r="AW92" i="8" s="1"/>
  <c r="AE92" i="8"/>
  <c r="AV92" i="8" s="1"/>
  <c r="AD92" i="8"/>
  <c r="AU92" i="8" s="1"/>
  <c r="AC92" i="8"/>
  <c r="AT92" i="8" s="1"/>
  <c r="AB92" i="8"/>
  <c r="AS92" i="8" s="1"/>
  <c r="AA92" i="8"/>
  <c r="AR92" i="8" s="1"/>
  <c r="Z92" i="8"/>
  <c r="AQ92" i="8" s="1"/>
  <c r="Y92" i="8"/>
  <c r="X92" i="8"/>
  <c r="AO92" i="8" s="1"/>
  <c r="BH92" i="8" s="1"/>
  <c r="AM91" i="8"/>
  <c r="BD91" i="8" s="1"/>
  <c r="AL91" i="8"/>
  <c r="BC91" i="8" s="1"/>
  <c r="AK91" i="8"/>
  <c r="BB91" i="8" s="1"/>
  <c r="AJ91" i="8"/>
  <c r="BA91" i="8" s="1"/>
  <c r="AI91" i="8"/>
  <c r="AZ91" i="8" s="1"/>
  <c r="AH91" i="8"/>
  <c r="AY91" i="8" s="1"/>
  <c r="AG91" i="8"/>
  <c r="AX91" i="8" s="1"/>
  <c r="AF91" i="8"/>
  <c r="AW91" i="8" s="1"/>
  <c r="AE91" i="8"/>
  <c r="AV91" i="8" s="1"/>
  <c r="AD91" i="8"/>
  <c r="AU91" i="8" s="1"/>
  <c r="AC91" i="8"/>
  <c r="AT91" i="8" s="1"/>
  <c r="AB91" i="8"/>
  <c r="AS91" i="8" s="1"/>
  <c r="AA91" i="8"/>
  <c r="AR91" i="8" s="1"/>
  <c r="Z91" i="8"/>
  <c r="AQ91" i="8" s="1"/>
  <c r="Y91" i="8"/>
  <c r="X91" i="8"/>
  <c r="AO91" i="8" s="1"/>
  <c r="BH91" i="8" s="1"/>
  <c r="AM90" i="8"/>
  <c r="BD90" i="8" s="1"/>
  <c r="AL90" i="8"/>
  <c r="BC90" i="8" s="1"/>
  <c r="AK90" i="8"/>
  <c r="BB90" i="8" s="1"/>
  <c r="AJ90" i="8"/>
  <c r="BA90" i="8" s="1"/>
  <c r="AI90" i="8"/>
  <c r="AZ90" i="8" s="1"/>
  <c r="AH90" i="8"/>
  <c r="AY90" i="8" s="1"/>
  <c r="AG90" i="8"/>
  <c r="AX90" i="8" s="1"/>
  <c r="AF90" i="8"/>
  <c r="AW90" i="8" s="1"/>
  <c r="AE90" i="8"/>
  <c r="AV90" i="8" s="1"/>
  <c r="AD90" i="8"/>
  <c r="AU90" i="8" s="1"/>
  <c r="AC90" i="8"/>
  <c r="AT90" i="8" s="1"/>
  <c r="AB90" i="8"/>
  <c r="AS90" i="8" s="1"/>
  <c r="AA90" i="8"/>
  <c r="AR90" i="8" s="1"/>
  <c r="Z90" i="8"/>
  <c r="AQ90" i="8" s="1"/>
  <c r="Y90" i="8"/>
  <c r="X90" i="8"/>
  <c r="AO90" i="8" s="1"/>
  <c r="BH90" i="8" s="1"/>
  <c r="AM89" i="8"/>
  <c r="BD89" i="8" s="1"/>
  <c r="AL89" i="8"/>
  <c r="BC89" i="8" s="1"/>
  <c r="AK89" i="8"/>
  <c r="BB89" i="8" s="1"/>
  <c r="AJ89" i="8"/>
  <c r="BA89" i="8" s="1"/>
  <c r="AI89" i="8"/>
  <c r="AZ89" i="8" s="1"/>
  <c r="AH89" i="8"/>
  <c r="AY89" i="8" s="1"/>
  <c r="AG89" i="8"/>
  <c r="AX89" i="8" s="1"/>
  <c r="AF89" i="8"/>
  <c r="AW89" i="8" s="1"/>
  <c r="AE89" i="8"/>
  <c r="AV89" i="8" s="1"/>
  <c r="AD89" i="8"/>
  <c r="AU89" i="8" s="1"/>
  <c r="AC89" i="8"/>
  <c r="AT89" i="8" s="1"/>
  <c r="AB89" i="8"/>
  <c r="AS89" i="8" s="1"/>
  <c r="AA89" i="8"/>
  <c r="AR89" i="8" s="1"/>
  <c r="Z89" i="8"/>
  <c r="AQ89" i="8" s="1"/>
  <c r="Y89" i="8"/>
  <c r="X89" i="8"/>
  <c r="AO89" i="8" s="1"/>
  <c r="BH89" i="8" s="1"/>
  <c r="AM88" i="8"/>
  <c r="BD88" i="8" s="1"/>
  <c r="AL88" i="8"/>
  <c r="BC88" i="8" s="1"/>
  <c r="AK88" i="8"/>
  <c r="BB88" i="8" s="1"/>
  <c r="AJ88" i="8"/>
  <c r="BA88" i="8" s="1"/>
  <c r="AI88" i="8"/>
  <c r="AZ88" i="8" s="1"/>
  <c r="AH88" i="8"/>
  <c r="AY88" i="8" s="1"/>
  <c r="AG88" i="8"/>
  <c r="AX88" i="8" s="1"/>
  <c r="AF88" i="8"/>
  <c r="AW88" i="8" s="1"/>
  <c r="AE88" i="8"/>
  <c r="AV88" i="8" s="1"/>
  <c r="AD88" i="8"/>
  <c r="AU88" i="8" s="1"/>
  <c r="AC88" i="8"/>
  <c r="AT88" i="8" s="1"/>
  <c r="AB88" i="8"/>
  <c r="AS88" i="8" s="1"/>
  <c r="AA88" i="8"/>
  <c r="AR88" i="8" s="1"/>
  <c r="Z88" i="8"/>
  <c r="AQ88" i="8" s="1"/>
  <c r="Y88" i="8"/>
  <c r="X88" i="8"/>
  <c r="AO88" i="8" s="1"/>
  <c r="BH88" i="8" s="1"/>
  <c r="AM87" i="8"/>
  <c r="BD87" i="8" s="1"/>
  <c r="AL87" i="8"/>
  <c r="BC87" i="8" s="1"/>
  <c r="AK87" i="8"/>
  <c r="BB87" i="8" s="1"/>
  <c r="AJ87" i="8"/>
  <c r="BA87" i="8" s="1"/>
  <c r="AI87" i="8"/>
  <c r="AZ87" i="8" s="1"/>
  <c r="AH87" i="8"/>
  <c r="AY87" i="8" s="1"/>
  <c r="AG87" i="8"/>
  <c r="AX87" i="8" s="1"/>
  <c r="AF87" i="8"/>
  <c r="AW87" i="8" s="1"/>
  <c r="AE87" i="8"/>
  <c r="AV87" i="8" s="1"/>
  <c r="AD87" i="8"/>
  <c r="AU87" i="8" s="1"/>
  <c r="AC87" i="8"/>
  <c r="AT87" i="8" s="1"/>
  <c r="AB87" i="8"/>
  <c r="AA87" i="8"/>
  <c r="AR87" i="8" s="1"/>
  <c r="Z87" i="8"/>
  <c r="Y87" i="8"/>
  <c r="X87" i="8"/>
  <c r="AO87" i="8" s="1"/>
  <c r="BH87" i="8" s="1"/>
  <c r="AM85" i="8"/>
  <c r="BD85" i="8" s="1"/>
  <c r="AL85" i="8"/>
  <c r="BC85" i="8" s="1"/>
  <c r="AK85" i="8"/>
  <c r="BB85" i="8" s="1"/>
  <c r="AJ85" i="8"/>
  <c r="BA85" i="8" s="1"/>
  <c r="AI85" i="8"/>
  <c r="AZ85" i="8" s="1"/>
  <c r="AH85" i="8"/>
  <c r="AY85" i="8" s="1"/>
  <c r="AG85" i="8"/>
  <c r="AX85" i="8" s="1"/>
  <c r="AF85" i="8"/>
  <c r="AW85" i="8" s="1"/>
  <c r="AE85" i="8"/>
  <c r="AV85" i="8" s="1"/>
  <c r="AD85" i="8"/>
  <c r="AU85" i="8" s="1"/>
  <c r="AC85" i="8"/>
  <c r="AT85" i="8" s="1"/>
  <c r="AB85" i="8"/>
  <c r="AA85" i="8"/>
  <c r="AR85" i="8" s="1"/>
  <c r="Z85" i="8"/>
  <c r="Y85" i="8"/>
  <c r="X85" i="8"/>
  <c r="AO85" i="8" s="1"/>
  <c r="AM80" i="8"/>
  <c r="BD80" i="8" s="1"/>
  <c r="AL80" i="8"/>
  <c r="BC80" i="8" s="1"/>
  <c r="AK80" i="8"/>
  <c r="BB80" i="8" s="1"/>
  <c r="AJ80" i="8"/>
  <c r="BA80" i="8" s="1"/>
  <c r="AI80" i="8"/>
  <c r="AZ80" i="8" s="1"/>
  <c r="AH80" i="8"/>
  <c r="AY80" i="8" s="1"/>
  <c r="AG80" i="8"/>
  <c r="AX80" i="8" s="1"/>
  <c r="AF80" i="8"/>
  <c r="AW80" i="8" s="1"/>
  <c r="AE80" i="8"/>
  <c r="AV80" i="8" s="1"/>
  <c r="AD80" i="8"/>
  <c r="AU80" i="8" s="1"/>
  <c r="AC80" i="8"/>
  <c r="AT80" i="8" s="1"/>
  <c r="AB80" i="8"/>
  <c r="AA80" i="8"/>
  <c r="AR80" i="8" s="1"/>
  <c r="Z80" i="8"/>
  <c r="Y80" i="8"/>
  <c r="X80" i="8"/>
  <c r="AO80" i="8" s="1"/>
  <c r="BH80" i="8" s="1"/>
  <c r="AM79" i="8"/>
  <c r="BD79" i="8" s="1"/>
  <c r="AL79" i="8"/>
  <c r="BC79" i="8" s="1"/>
  <c r="AK79" i="8"/>
  <c r="BB79" i="8" s="1"/>
  <c r="AJ79" i="8"/>
  <c r="BA79" i="8" s="1"/>
  <c r="AI79" i="8"/>
  <c r="AZ79" i="8" s="1"/>
  <c r="AH79" i="8"/>
  <c r="AY79" i="8" s="1"/>
  <c r="AG79" i="8"/>
  <c r="AX79" i="8" s="1"/>
  <c r="AF79" i="8"/>
  <c r="AW79" i="8" s="1"/>
  <c r="AE79" i="8"/>
  <c r="AV79" i="8" s="1"/>
  <c r="AD79" i="8"/>
  <c r="AU79" i="8" s="1"/>
  <c r="AC79" i="8"/>
  <c r="AT79" i="8" s="1"/>
  <c r="AB79" i="8"/>
  <c r="AA79" i="8"/>
  <c r="AR79" i="8" s="1"/>
  <c r="Z79" i="8"/>
  <c r="Y79" i="8"/>
  <c r="X79" i="8"/>
  <c r="AO79" i="8" s="1"/>
  <c r="BH79" i="8" s="1"/>
  <c r="AM78" i="8"/>
  <c r="BD78" i="8" s="1"/>
  <c r="AL78" i="8"/>
  <c r="BC78" i="8" s="1"/>
  <c r="AK78" i="8"/>
  <c r="BB78" i="8" s="1"/>
  <c r="AJ78" i="8"/>
  <c r="BA78" i="8" s="1"/>
  <c r="AI78" i="8"/>
  <c r="AZ78" i="8" s="1"/>
  <c r="AH78" i="8"/>
  <c r="AY78" i="8" s="1"/>
  <c r="AG78" i="8"/>
  <c r="AX78" i="8" s="1"/>
  <c r="AF78" i="8"/>
  <c r="AW78" i="8" s="1"/>
  <c r="AE78" i="8"/>
  <c r="AV78" i="8" s="1"/>
  <c r="AD78" i="8"/>
  <c r="AU78" i="8" s="1"/>
  <c r="AC78" i="8"/>
  <c r="AT78" i="8" s="1"/>
  <c r="AB78" i="8"/>
  <c r="AS78" i="8" s="1"/>
  <c r="AA78" i="8"/>
  <c r="AR78" i="8" s="1"/>
  <c r="Z78" i="8"/>
  <c r="AQ78" i="8" s="1"/>
  <c r="Y78" i="8"/>
  <c r="X78" i="8"/>
  <c r="AO78" i="8" s="1"/>
  <c r="BH78" i="8" s="1"/>
  <c r="AM77" i="8"/>
  <c r="BD77" i="8" s="1"/>
  <c r="AL77" i="8"/>
  <c r="BC77" i="8" s="1"/>
  <c r="AK77" i="8"/>
  <c r="BB77" i="8" s="1"/>
  <c r="AJ77" i="8"/>
  <c r="BA77" i="8" s="1"/>
  <c r="AI77" i="8"/>
  <c r="AZ77" i="8" s="1"/>
  <c r="AH77" i="8"/>
  <c r="AY77" i="8" s="1"/>
  <c r="AG77" i="8"/>
  <c r="AX77" i="8" s="1"/>
  <c r="AF77" i="8"/>
  <c r="AW77" i="8" s="1"/>
  <c r="AE77" i="8"/>
  <c r="AV77" i="8" s="1"/>
  <c r="AD77" i="8"/>
  <c r="AU77" i="8" s="1"/>
  <c r="AC77" i="8"/>
  <c r="AT77" i="8" s="1"/>
  <c r="AB77" i="8"/>
  <c r="AS77" i="8" s="1"/>
  <c r="AA77" i="8"/>
  <c r="AR77" i="8" s="1"/>
  <c r="Z77" i="8"/>
  <c r="AQ77" i="8" s="1"/>
  <c r="Y77" i="8"/>
  <c r="X77" i="8"/>
  <c r="AO77" i="8" s="1"/>
  <c r="BH77" i="8" s="1"/>
  <c r="AM76" i="8"/>
  <c r="BD76" i="8" s="1"/>
  <c r="AL76" i="8"/>
  <c r="BC76" i="8" s="1"/>
  <c r="AJ76" i="8"/>
  <c r="BA76" i="8" s="1"/>
  <c r="AI76" i="8"/>
  <c r="AZ76" i="8" s="1"/>
  <c r="AH76" i="8"/>
  <c r="AY76" i="8" s="1"/>
  <c r="AF76" i="8"/>
  <c r="AW76" i="8" s="1"/>
  <c r="AE76" i="8"/>
  <c r="AV76" i="8" s="1"/>
  <c r="AD76" i="8"/>
  <c r="AU76" i="8" s="1"/>
  <c r="AC76" i="8"/>
  <c r="AT76" i="8" s="1"/>
  <c r="AA76" i="8"/>
  <c r="AR76" i="8" s="1"/>
  <c r="Y76" i="8"/>
  <c r="AM75" i="8"/>
  <c r="BD75" i="8" s="1"/>
  <c r="AL75" i="8"/>
  <c r="BC75" i="8" s="1"/>
  <c r="AK75" i="8"/>
  <c r="BB75" i="8" s="1"/>
  <c r="AJ75" i="8"/>
  <c r="BA75" i="8" s="1"/>
  <c r="AG75" i="8"/>
  <c r="AX75" i="8" s="1"/>
  <c r="AF75" i="8"/>
  <c r="AW75" i="8" s="1"/>
  <c r="AE75" i="8"/>
  <c r="AV75" i="8" s="1"/>
  <c r="AD75" i="8"/>
  <c r="AU75" i="8" s="1"/>
  <c r="AC75" i="8"/>
  <c r="AT75" i="8" s="1"/>
  <c r="AB75" i="8"/>
  <c r="AS75" i="8" s="1"/>
  <c r="AA75" i="8"/>
  <c r="AR75" i="8" s="1"/>
  <c r="Z75" i="8"/>
  <c r="AQ75" i="8" s="1"/>
  <c r="Y75" i="8"/>
  <c r="AM74" i="8"/>
  <c r="BD74" i="8" s="1"/>
  <c r="AL74" i="8"/>
  <c r="BC74" i="8" s="1"/>
  <c r="AK74" i="8"/>
  <c r="BB74" i="8" s="1"/>
  <c r="AJ74" i="8"/>
  <c r="BA74" i="8" s="1"/>
  <c r="AI74" i="8"/>
  <c r="AZ74" i="8" s="1"/>
  <c r="AH74" i="8"/>
  <c r="AY74" i="8" s="1"/>
  <c r="AG74" i="8"/>
  <c r="AX74" i="8" s="1"/>
  <c r="AF74" i="8"/>
  <c r="AW74" i="8" s="1"/>
  <c r="AE74" i="8"/>
  <c r="AV74" i="8" s="1"/>
  <c r="AD74" i="8"/>
  <c r="AU74" i="8" s="1"/>
  <c r="AC74" i="8"/>
  <c r="AT74" i="8" s="1"/>
  <c r="AB74" i="8"/>
  <c r="AS74" i="8" s="1"/>
  <c r="AA74" i="8"/>
  <c r="AR74" i="8" s="1"/>
  <c r="Z74" i="8"/>
  <c r="AQ74" i="8" s="1"/>
  <c r="Y74" i="8"/>
  <c r="X74" i="8"/>
  <c r="AO74" i="8" s="1"/>
  <c r="BH74" i="8" s="1"/>
  <c r="AM73" i="8"/>
  <c r="BD73" i="8" s="1"/>
  <c r="AL73" i="8"/>
  <c r="BC73" i="8" s="1"/>
  <c r="AJ73" i="8"/>
  <c r="BA73" i="8" s="1"/>
  <c r="AI73" i="8"/>
  <c r="AZ73" i="8" s="1"/>
  <c r="AH73" i="8"/>
  <c r="AY73" i="8" s="1"/>
  <c r="AF73" i="8"/>
  <c r="AW73" i="8" s="1"/>
  <c r="AE73" i="8"/>
  <c r="AV73" i="8" s="1"/>
  <c r="AD73" i="8"/>
  <c r="AU73" i="8" s="1"/>
  <c r="AC73" i="8"/>
  <c r="AT73" i="8" s="1"/>
  <c r="AA73" i="8"/>
  <c r="AR73" i="8" s="1"/>
  <c r="Y73" i="8"/>
  <c r="AM72" i="8"/>
  <c r="BD72" i="8" s="1"/>
  <c r="AL72" i="8"/>
  <c r="BC72" i="8" s="1"/>
  <c r="AI72" i="8"/>
  <c r="AZ72" i="8" s="1"/>
  <c r="AH72" i="8"/>
  <c r="AY72" i="8" s="1"/>
  <c r="AG72" i="8"/>
  <c r="AX72" i="8" s="1"/>
  <c r="AF72" i="8"/>
  <c r="AW72" i="8" s="1"/>
  <c r="AE72" i="8"/>
  <c r="AV72" i="8" s="1"/>
  <c r="AD72" i="8"/>
  <c r="AU72" i="8" s="1"/>
  <c r="AC72" i="8"/>
  <c r="AT72" i="8" s="1"/>
  <c r="AA72" i="8"/>
  <c r="AR72" i="8" s="1"/>
  <c r="Y72" i="8"/>
  <c r="AM71" i="8"/>
  <c r="BD71" i="8" s="1"/>
  <c r="AL71" i="8"/>
  <c r="BC71" i="8" s="1"/>
  <c r="AK71" i="8"/>
  <c r="BB71" i="8" s="1"/>
  <c r="AJ71" i="8"/>
  <c r="BA71" i="8" s="1"/>
  <c r="AI71" i="8"/>
  <c r="AZ71" i="8" s="1"/>
  <c r="AH71" i="8"/>
  <c r="AY71" i="8" s="1"/>
  <c r="AG71" i="8"/>
  <c r="AX71" i="8" s="1"/>
  <c r="AF71" i="8"/>
  <c r="AW71" i="8" s="1"/>
  <c r="AE71" i="8"/>
  <c r="AV71" i="8" s="1"/>
  <c r="AD71" i="8"/>
  <c r="AU71" i="8" s="1"/>
  <c r="AC71" i="8"/>
  <c r="AT71" i="8" s="1"/>
  <c r="AB71" i="8"/>
  <c r="AS71" i="8" s="1"/>
  <c r="AA71" i="8"/>
  <c r="AR71" i="8" s="1"/>
  <c r="Z71" i="8"/>
  <c r="AQ71" i="8" s="1"/>
  <c r="Y71" i="8"/>
  <c r="X71" i="8"/>
  <c r="AO71" i="8" s="1"/>
  <c r="AM70" i="8"/>
  <c r="BD70" i="8" s="1"/>
  <c r="AL70" i="8"/>
  <c r="BC70" i="8" s="1"/>
  <c r="AK70" i="8"/>
  <c r="BB70" i="8" s="1"/>
  <c r="AJ70" i="8"/>
  <c r="BA70" i="8" s="1"/>
  <c r="AI70" i="8"/>
  <c r="AZ70" i="8" s="1"/>
  <c r="AH70" i="8"/>
  <c r="AY70" i="8" s="1"/>
  <c r="AG70" i="8"/>
  <c r="AX70" i="8" s="1"/>
  <c r="AF70" i="8"/>
  <c r="AW70" i="8" s="1"/>
  <c r="AE70" i="8"/>
  <c r="AV70" i="8" s="1"/>
  <c r="AD70" i="8"/>
  <c r="AU70" i="8" s="1"/>
  <c r="AC70" i="8"/>
  <c r="AT70" i="8" s="1"/>
  <c r="AB70" i="8"/>
  <c r="AS70" i="8" s="1"/>
  <c r="AA70" i="8"/>
  <c r="AR70" i="8" s="1"/>
  <c r="Z70" i="8"/>
  <c r="AQ70" i="8" s="1"/>
  <c r="Y70" i="8"/>
  <c r="X70" i="8"/>
  <c r="AO70" i="8" s="1"/>
  <c r="AM69" i="8"/>
  <c r="BD69" i="8" s="1"/>
  <c r="AL69" i="8"/>
  <c r="BC69" i="8" s="1"/>
  <c r="AK69" i="8"/>
  <c r="BB69" i="8" s="1"/>
  <c r="AJ69" i="8"/>
  <c r="BA69" i="8" s="1"/>
  <c r="AI69" i="8"/>
  <c r="AZ69" i="8" s="1"/>
  <c r="AH69" i="8"/>
  <c r="AY69" i="8" s="1"/>
  <c r="AG69" i="8"/>
  <c r="AX69" i="8" s="1"/>
  <c r="AF69" i="8"/>
  <c r="AW69" i="8" s="1"/>
  <c r="AE69" i="8"/>
  <c r="AV69" i="8" s="1"/>
  <c r="AD69" i="8"/>
  <c r="AU69" i="8" s="1"/>
  <c r="AC69" i="8"/>
  <c r="AT69" i="8" s="1"/>
  <c r="AB69" i="8"/>
  <c r="AA69" i="8"/>
  <c r="AR69" i="8" s="1"/>
  <c r="Z69" i="8"/>
  <c r="Y69" i="8"/>
  <c r="X69" i="8"/>
  <c r="AO69" i="8" s="1"/>
  <c r="AM53" i="8"/>
  <c r="BD53" i="8" s="1"/>
  <c r="AL53" i="8"/>
  <c r="BC53" i="8" s="1"/>
  <c r="AK53" i="8"/>
  <c r="BB53" i="8" s="1"/>
  <c r="AJ53" i="8"/>
  <c r="BA53" i="8" s="1"/>
  <c r="AI53" i="8"/>
  <c r="AZ53" i="8" s="1"/>
  <c r="AH53" i="8"/>
  <c r="AY53" i="8" s="1"/>
  <c r="AG53" i="8"/>
  <c r="AX53" i="8" s="1"/>
  <c r="AF53" i="8"/>
  <c r="AW53" i="8" s="1"/>
  <c r="AE53" i="8"/>
  <c r="AV53" i="8" s="1"/>
  <c r="AD53" i="8"/>
  <c r="AU53" i="8" s="1"/>
  <c r="AC53" i="8"/>
  <c r="AT53" i="8" s="1"/>
  <c r="AB53" i="8"/>
  <c r="AA53" i="8"/>
  <c r="AR53" i="8" s="1"/>
  <c r="Z53" i="8"/>
  <c r="Y53" i="8"/>
  <c r="AM52" i="8"/>
  <c r="BD52" i="8" s="1"/>
  <c r="AL52" i="8"/>
  <c r="BC52" i="8" s="1"/>
  <c r="AK52" i="8"/>
  <c r="BB52" i="8" s="1"/>
  <c r="AJ52" i="8"/>
  <c r="BA52" i="8" s="1"/>
  <c r="AG52" i="8"/>
  <c r="AX52" i="8" s="1"/>
  <c r="AF52" i="8"/>
  <c r="AW52" i="8" s="1"/>
  <c r="AE52" i="8"/>
  <c r="AV52" i="8" s="1"/>
  <c r="AD52" i="8"/>
  <c r="AU52" i="8" s="1"/>
  <c r="AC52" i="8"/>
  <c r="AT52" i="8" s="1"/>
  <c r="AB52" i="8"/>
  <c r="AS52" i="8" s="1"/>
  <c r="AA52" i="8"/>
  <c r="AR52" i="8" s="1"/>
  <c r="Z52" i="8"/>
  <c r="AQ52" i="8" s="1"/>
  <c r="Y52" i="8"/>
  <c r="AM51" i="8"/>
  <c r="BD51" i="8" s="1"/>
  <c r="AL51" i="8"/>
  <c r="BC51" i="8" s="1"/>
  <c r="AK51" i="8"/>
  <c r="BB51" i="8" s="1"/>
  <c r="AJ51" i="8"/>
  <c r="BA51" i="8" s="1"/>
  <c r="AI51" i="8"/>
  <c r="AZ51" i="8" s="1"/>
  <c r="AH51" i="8"/>
  <c r="AY51" i="8" s="1"/>
  <c r="AG51" i="8"/>
  <c r="AX51" i="8" s="1"/>
  <c r="AF51" i="8"/>
  <c r="AW51" i="8" s="1"/>
  <c r="AE51" i="8"/>
  <c r="AV51" i="8" s="1"/>
  <c r="AD51" i="8"/>
  <c r="AU51" i="8" s="1"/>
  <c r="AC51" i="8"/>
  <c r="AT51" i="8" s="1"/>
  <c r="AB51" i="8"/>
  <c r="AS51" i="8" s="1"/>
  <c r="AA51" i="8"/>
  <c r="AR51" i="8" s="1"/>
  <c r="Z51" i="8"/>
  <c r="AQ51" i="8" s="1"/>
  <c r="Y51" i="8"/>
  <c r="X51" i="8"/>
  <c r="AO51" i="8" s="1"/>
  <c r="BH51" i="8" s="1"/>
  <c r="AM50" i="8"/>
  <c r="BD50" i="8" s="1"/>
  <c r="AL50" i="8"/>
  <c r="BC50" i="8" s="1"/>
  <c r="AJ50" i="8"/>
  <c r="BA50" i="8" s="1"/>
  <c r="AI50" i="8"/>
  <c r="AZ50" i="8" s="1"/>
  <c r="AH50" i="8"/>
  <c r="AY50" i="8" s="1"/>
  <c r="AF50" i="8"/>
  <c r="AW50" i="8" s="1"/>
  <c r="AE50" i="8"/>
  <c r="AV50" i="8" s="1"/>
  <c r="AD50" i="8"/>
  <c r="AU50" i="8" s="1"/>
  <c r="AC50" i="8"/>
  <c r="AT50" i="8" s="1"/>
  <c r="AA50" i="8"/>
  <c r="AR50" i="8" s="1"/>
  <c r="Y50" i="8"/>
  <c r="AM49" i="8"/>
  <c r="BD49" i="8" s="1"/>
  <c r="AL49" i="8"/>
  <c r="BC49" i="8" s="1"/>
  <c r="AI49" i="8"/>
  <c r="AZ49" i="8" s="1"/>
  <c r="AH49" i="8"/>
  <c r="AY49" i="8" s="1"/>
  <c r="AG49" i="8"/>
  <c r="AX49" i="8" s="1"/>
  <c r="AF49" i="8"/>
  <c r="AW49" i="8" s="1"/>
  <c r="AE49" i="8"/>
  <c r="AV49" i="8" s="1"/>
  <c r="AD49" i="8"/>
  <c r="AU49" i="8" s="1"/>
  <c r="AC49" i="8"/>
  <c r="AT49" i="8" s="1"/>
  <c r="AB49" i="8"/>
  <c r="AA49" i="8"/>
  <c r="AR49" i="8" s="1"/>
  <c r="Z49" i="8"/>
  <c r="Y49" i="8"/>
  <c r="AM48" i="8"/>
  <c r="BD48" i="8" s="1"/>
  <c r="AL48" i="8"/>
  <c r="BC48" i="8" s="1"/>
  <c r="AK48" i="8"/>
  <c r="BB48" i="8" s="1"/>
  <c r="AJ48" i="8"/>
  <c r="BA48" i="8" s="1"/>
  <c r="AI48" i="8"/>
  <c r="AZ48" i="8" s="1"/>
  <c r="AH48" i="8"/>
  <c r="AY48" i="8" s="1"/>
  <c r="AG48" i="8"/>
  <c r="AX48" i="8" s="1"/>
  <c r="AF48" i="8"/>
  <c r="AW48" i="8" s="1"/>
  <c r="AE48" i="8"/>
  <c r="AV48" i="8" s="1"/>
  <c r="AD48" i="8"/>
  <c r="AU48" i="8" s="1"/>
  <c r="AC48" i="8"/>
  <c r="AT48" i="8" s="1"/>
  <c r="AB48" i="8"/>
  <c r="AS48" i="8" s="1"/>
  <c r="AA48" i="8"/>
  <c r="AR48" i="8" s="1"/>
  <c r="Z48" i="8"/>
  <c r="AQ48" i="8" s="1"/>
  <c r="Y48" i="8"/>
  <c r="X48" i="8"/>
  <c r="AO48" i="8" s="1"/>
  <c r="AM47" i="8"/>
  <c r="BD47" i="8" s="1"/>
  <c r="AL47" i="8"/>
  <c r="BC47" i="8" s="1"/>
  <c r="AK47" i="8"/>
  <c r="BB47" i="8" s="1"/>
  <c r="AJ47" i="8"/>
  <c r="BA47" i="8" s="1"/>
  <c r="AI47" i="8"/>
  <c r="AZ47" i="8" s="1"/>
  <c r="AH47" i="8"/>
  <c r="AY47" i="8" s="1"/>
  <c r="AG47" i="8"/>
  <c r="AX47" i="8" s="1"/>
  <c r="AF47" i="8"/>
  <c r="AW47" i="8" s="1"/>
  <c r="AE47" i="8"/>
  <c r="AV47" i="8" s="1"/>
  <c r="AD47" i="8"/>
  <c r="AU47" i="8" s="1"/>
  <c r="AC47" i="8"/>
  <c r="AB47" i="8"/>
  <c r="AA47" i="8"/>
  <c r="AR47" i="8" s="1"/>
  <c r="Z47" i="8"/>
  <c r="Y47" i="8"/>
  <c r="X47" i="8"/>
  <c r="AM46" i="8"/>
  <c r="BD46" i="8" s="1"/>
  <c r="AL46" i="8"/>
  <c r="BC46" i="8" s="1"/>
  <c r="AK46" i="8"/>
  <c r="BB46" i="8" s="1"/>
  <c r="AJ46" i="8"/>
  <c r="BA46" i="8" s="1"/>
  <c r="AI46" i="8"/>
  <c r="AZ46" i="8" s="1"/>
  <c r="AH46" i="8"/>
  <c r="AY46" i="8" s="1"/>
  <c r="AG46" i="8"/>
  <c r="AX46" i="8" s="1"/>
  <c r="AF46" i="8"/>
  <c r="AW46" i="8" s="1"/>
  <c r="AE46" i="8"/>
  <c r="AV46" i="8" s="1"/>
  <c r="AD46" i="8"/>
  <c r="AU46" i="8" s="1"/>
  <c r="AC46" i="8"/>
  <c r="AT46" i="8" s="1"/>
  <c r="AB46" i="8"/>
  <c r="AA46" i="8"/>
  <c r="AR46" i="8" s="1"/>
  <c r="Z46" i="8"/>
  <c r="Y46" i="8"/>
  <c r="X46" i="8"/>
  <c r="AM45" i="8"/>
  <c r="BD45" i="8" s="1"/>
  <c r="AL45" i="8"/>
  <c r="BC45" i="8" s="1"/>
  <c r="AK45" i="8"/>
  <c r="BB45" i="8" s="1"/>
  <c r="AJ45" i="8"/>
  <c r="BA45" i="8" s="1"/>
  <c r="AI45" i="8"/>
  <c r="AZ45" i="8" s="1"/>
  <c r="AH45" i="8"/>
  <c r="AY45" i="8" s="1"/>
  <c r="AG45" i="8"/>
  <c r="AX45" i="8" s="1"/>
  <c r="AF45" i="8"/>
  <c r="AW45" i="8" s="1"/>
  <c r="AE45" i="8"/>
  <c r="AV45" i="8" s="1"/>
  <c r="AD45" i="8"/>
  <c r="AU45" i="8" s="1"/>
  <c r="AC45" i="8"/>
  <c r="AB45" i="8"/>
  <c r="AS45" i="8" s="1"/>
  <c r="AA45" i="8"/>
  <c r="AR45" i="8" s="1"/>
  <c r="Z45" i="8"/>
  <c r="AQ45" i="8" s="1"/>
  <c r="Y45" i="8"/>
  <c r="X45" i="8"/>
  <c r="AM44" i="8"/>
  <c r="BD44" i="8" s="1"/>
  <c r="AL44" i="8"/>
  <c r="BC44" i="8" s="1"/>
  <c r="AK44" i="8"/>
  <c r="BB44" i="8" s="1"/>
  <c r="AJ44" i="8"/>
  <c r="BA44" i="8" s="1"/>
  <c r="AI44" i="8"/>
  <c r="AZ44" i="8" s="1"/>
  <c r="AH44" i="8"/>
  <c r="AY44" i="8" s="1"/>
  <c r="AG44" i="8"/>
  <c r="AX44" i="8" s="1"/>
  <c r="AF44" i="8"/>
  <c r="AW44" i="8" s="1"/>
  <c r="AE44" i="8"/>
  <c r="AV44" i="8" s="1"/>
  <c r="AD44" i="8"/>
  <c r="AU44" i="8" s="1"/>
  <c r="AC44" i="8"/>
  <c r="AT44" i="8" s="1"/>
  <c r="AB44" i="8"/>
  <c r="AS44" i="8" s="1"/>
  <c r="AA44" i="8"/>
  <c r="AR44" i="8" s="1"/>
  <c r="Z44" i="8"/>
  <c r="AQ44" i="8" s="1"/>
  <c r="Y44" i="8"/>
  <c r="X44" i="8"/>
  <c r="AM43" i="8"/>
  <c r="BD43" i="8" s="1"/>
  <c r="AL43" i="8"/>
  <c r="BC43" i="8" s="1"/>
  <c r="AK43" i="8"/>
  <c r="BB43" i="8" s="1"/>
  <c r="AJ43" i="8"/>
  <c r="BA43" i="8" s="1"/>
  <c r="AI43" i="8"/>
  <c r="AZ43" i="8" s="1"/>
  <c r="AH43" i="8"/>
  <c r="AY43" i="8" s="1"/>
  <c r="AG43" i="8"/>
  <c r="AX43" i="8" s="1"/>
  <c r="AF43" i="8"/>
  <c r="AW43" i="8" s="1"/>
  <c r="AE43" i="8"/>
  <c r="AV43" i="8" s="1"/>
  <c r="AD43" i="8"/>
  <c r="AU43" i="8" s="1"/>
  <c r="AC43" i="8"/>
  <c r="AT43" i="8" s="1"/>
  <c r="AB43" i="8"/>
  <c r="AS43" i="8" s="1"/>
  <c r="AA43" i="8"/>
  <c r="AR43" i="8" s="1"/>
  <c r="Z43" i="8"/>
  <c r="AQ43" i="8" s="1"/>
  <c r="Y43" i="8"/>
  <c r="X43" i="8"/>
  <c r="AO43" i="8" s="1"/>
  <c r="AM42" i="8"/>
  <c r="BD42" i="8" s="1"/>
  <c r="AL42" i="8"/>
  <c r="BC42" i="8" s="1"/>
  <c r="AK42" i="8"/>
  <c r="BB42" i="8" s="1"/>
  <c r="AJ42" i="8"/>
  <c r="BA42" i="8" s="1"/>
  <c r="AI42" i="8"/>
  <c r="AZ42" i="8" s="1"/>
  <c r="AH42" i="8"/>
  <c r="AY42" i="8" s="1"/>
  <c r="AG42" i="8"/>
  <c r="AX42" i="8" s="1"/>
  <c r="AF42" i="8"/>
  <c r="AW42" i="8" s="1"/>
  <c r="AE42" i="8"/>
  <c r="AV42" i="8" s="1"/>
  <c r="AD42" i="8"/>
  <c r="AU42" i="8" s="1"/>
  <c r="AC42" i="8"/>
  <c r="AT42" i="8" s="1"/>
  <c r="AB42" i="8"/>
  <c r="AS42" i="8" s="1"/>
  <c r="AA42" i="8"/>
  <c r="AR42" i="8" s="1"/>
  <c r="Z42" i="8"/>
  <c r="AQ42" i="8" s="1"/>
  <c r="Y42" i="8"/>
  <c r="X42" i="8"/>
  <c r="AO42" i="8" s="1"/>
  <c r="AM41" i="8"/>
  <c r="BD41" i="8" s="1"/>
  <c r="AL41" i="8"/>
  <c r="BC41" i="8" s="1"/>
  <c r="AK41" i="8"/>
  <c r="BB41" i="8" s="1"/>
  <c r="AJ41" i="8"/>
  <c r="BA41" i="8" s="1"/>
  <c r="AG41" i="8"/>
  <c r="AX41" i="8" s="1"/>
  <c r="AF41" i="8"/>
  <c r="AW41" i="8" s="1"/>
  <c r="AE41" i="8"/>
  <c r="AV41" i="8" s="1"/>
  <c r="AD41" i="8"/>
  <c r="AU41" i="8" s="1"/>
  <c r="AC41" i="8"/>
  <c r="AT41" i="8" s="1"/>
  <c r="AB41" i="8"/>
  <c r="AS41" i="8" s="1"/>
  <c r="AA41" i="8"/>
  <c r="AR41" i="8" s="1"/>
  <c r="Z41" i="8"/>
  <c r="AQ41" i="8" s="1"/>
  <c r="Y41" i="8"/>
  <c r="D41" i="8"/>
  <c r="AM40" i="8"/>
  <c r="BD40" i="8" s="1"/>
  <c r="AL40" i="8"/>
  <c r="BC40" i="8" s="1"/>
  <c r="AJ40" i="8"/>
  <c r="BA40" i="8" s="1"/>
  <c r="AI40" i="8"/>
  <c r="AZ40" i="8" s="1"/>
  <c r="AH40" i="8"/>
  <c r="AY40" i="8" s="1"/>
  <c r="AG40" i="8"/>
  <c r="AX40" i="8" s="1"/>
  <c r="AF40" i="8"/>
  <c r="AW40" i="8" s="1"/>
  <c r="AE40" i="8"/>
  <c r="AV40" i="8" s="1"/>
  <c r="AD40" i="8"/>
  <c r="AU40" i="8" s="1"/>
  <c r="AC40" i="8"/>
  <c r="AT40" i="8" s="1"/>
  <c r="AB40" i="8"/>
  <c r="AA40" i="8"/>
  <c r="Z40" i="8"/>
  <c r="Y40" i="8"/>
  <c r="D40" i="8"/>
  <c r="AM39" i="8"/>
  <c r="BD39" i="8" s="1"/>
  <c r="AL39" i="8"/>
  <c r="BC39" i="8" s="1"/>
  <c r="AK39" i="8"/>
  <c r="BB39" i="8" s="1"/>
  <c r="AJ39" i="8"/>
  <c r="BA39" i="8" s="1"/>
  <c r="AI39" i="8"/>
  <c r="AZ39" i="8" s="1"/>
  <c r="AH39" i="8"/>
  <c r="AY39" i="8" s="1"/>
  <c r="AG39" i="8"/>
  <c r="AX39" i="8" s="1"/>
  <c r="AF39" i="8"/>
  <c r="AW39" i="8" s="1"/>
  <c r="AE39" i="8"/>
  <c r="AV39" i="8" s="1"/>
  <c r="AD39" i="8"/>
  <c r="AU39" i="8" s="1"/>
  <c r="AC39" i="8"/>
  <c r="AT39" i="8" s="1"/>
  <c r="AB39" i="8"/>
  <c r="AA39" i="8"/>
  <c r="Z39" i="8"/>
  <c r="Y39" i="8"/>
  <c r="D39" i="8"/>
  <c r="AM38" i="8"/>
  <c r="BD38" i="8" s="1"/>
  <c r="AL38" i="8"/>
  <c r="BC38" i="8" s="1"/>
  <c r="AK38" i="8"/>
  <c r="BB38" i="8" s="1"/>
  <c r="AJ38" i="8"/>
  <c r="BA38" i="8" s="1"/>
  <c r="AI38" i="8"/>
  <c r="AZ38" i="8" s="1"/>
  <c r="AH38" i="8"/>
  <c r="AY38" i="8" s="1"/>
  <c r="AG38" i="8"/>
  <c r="AX38" i="8" s="1"/>
  <c r="AF38" i="8"/>
  <c r="AW38" i="8" s="1"/>
  <c r="AE38" i="8"/>
  <c r="AV38" i="8" s="1"/>
  <c r="AD38" i="8"/>
  <c r="AU38" i="8" s="1"/>
  <c r="AC38" i="8"/>
  <c r="AT38" i="8" s="1"/>
  <c r="AB38" i="8"/>
  <c r="AS38" i="8" s="1"/>
  <c r="AA38" i="8"/>
  <c r="AR38" i="8" s="1"/>
  <c r="Z38" i="8"/>
  <c r="AQ38" i="8" s="1"/>
  <c r="Y38" i="8"/>
  <c r="X38" i="8"/>
  <c r="AO38" i="8" s="1"/>
  <c r="AM37" i="8"/>
  <c r="BD37" i="8" s="1"/>
  <c r="AL37" i="8"/>
  <c r="BC37" i="8" s="1"/>
  <c r="AK37" i="8"/>
  <c r="BB37" i="8" s="1"/>
  <c r="AJ37" i="8"/>
  <c r="BA37" i="8" s="1"/>
  <c r="AI37" i="8"/>
  <c r="AZ37" i="8" s="1"/>
  <c r="AH37" i="8"/>
  <c r="AY37" i="8" s="1"/>
  <c r="AG37" i="8"/>
  <c r="AX37" i="8" s="1"/>
  <c r="AF37" i="8"/>
  <c r="AW37" i="8" s="1"/>
  <c r="AE37" i="8"/>
  <c r="AV37" i="8" s="1"/>
  <c r="AD37" i="8"/>
  <c r="AU37" i="8" s="1"/>
  <c r="AC37" i="8"/>
  <c r="AB37" i="8"/>
  <c r="AS37" i="8" s="1"/>
  <c r="AA37" i="8"/>
  <c r="AR37" i="8" s="1"/>
  <c r="Z37" i="8"/>
  <c r="AQ37" i="8" s="1"/>
  <c r="Y37" i="8"/>
  <c r="X37" i="8"/>
  <c r="AO37" i="8" s="1"/>
  <c r="BH37" i="8" s="1"/>
  <c r="D37" i="8"/>
  <c r="AM36" i="8"/>
  <c r="BD36" i="8" s="1"/>
  <c r="AL36" i="8"/>
  <c r="BC36" i="8" s="1"/>
  <c r="AK36" i="8"/>
  <c r="BB36" i="8" s="1"/>
  <c r="AJ36" i="8"/>
  <c r="BA36" i="8" s="1"/>
  <c r="AI36" i="8"/>
  <c r="AZ36" i="8" s="1"/>
  <c r="AH36" i="8"/>
  <c r="AY36" i="8" s="1"/>
  <c r="AG36" i="8"/>
  <c r="AX36" i="8" s="1"/>
  <c r="AF36" i="8"/>
  <c r="AW36" i="8" s="1"/>
  <c r="AE36" i="8"/>
  <c r="AV36" i="8" s="1"/>
  <c r="AD36" i="8"/>
  <c r="AU36" i="8" s="1"/>
  <c r="AC36" i="8"/>
  <c r="AB36" i="8"/>
  <c r="AA36" i="8"/>
  <c r="AR36" i="8" s="1"/>
  <c r="Z36" i="8"/>
  <c r="Y36" i="8"/>
  <c r="X36" i="8"/>
  <c r="D36" i="8"/>
  <c r="AM35" i="8"/>
  <c r="BD35" i="8" s="1"/>
  <c r="AL35" i="8"/>
  <c r="BC35" i="8" s="1"/>
  <c r="AK35" i="8"/>
  <c r="BB35" i="8" s="1"/>
  <c r="AJ35" i="8"/>
  <c r="BA35" i="8" s="1"/>
  <c r="AI35" i="8"/>
  <c r="AZ35" i="8" s="1"/>
  <c r="AH35" i="8"/>
  <c r="AY35" i="8" s="1"/>
  <c r="AG35" i="8"/>
  <c r="AX35" i="8" s="1"/>
  <c r="AF35" i="8"/>
  <c r="AW35" i="8" s="1"/>
  <c r="AE35" i="8"/>
  <c r="AV35" i="8" s="1"/>
  <c r="AD35" i="8"/>
  <c r="AU35" i="8" s="1"/>
  <c r="AC35" i="8"/>
  <c r="AT35" i="8" s="1"/>
  <c r="AB35" i="8"/>
  <c r="AA35" i="8"/>
  <c r="AR35" i="8" s="1"/>
  <c r="Z35" i="8"/>
  <c r="Y35" i="8"/>
  <c r="D35" i="8"/>
  <c r="AM34" i="8"/>
  <c r="BD34" i="8" s="1"/>
  <c r="AL34" i="8"/>
  <c r="BC34" i="8" s="1"/>
  <c r="AK34" i="8"/>
  <c r="BB34" i="8" s="1"/>
  <c r="AJ34" i="8"/>
  <c r="BA34" i="8" s="1"/>
  <c r="AI34" i="8"/>
  <c r="AZ34" i="8" s="1"/>
  <c r="AH34" i="8"/>
  <c r="AY34" i="8" s="1"/>
  <c r="AG34" i="8"/>
  <c r="AX34" i="8" s="1"/>
  <c r="AF34" i="8"/>
  <c r="AW34" i="8" s="1"/>
  <c r="AE34" i="8"/>
  <c r="AV34" i="8" s="1"/>
  <c r="AD34" i="8"/>
  <c r="AU34" i="8" s="1"/>
  <c r="AC34" i="8"/>
  <c r="AB34" i="8"/>
  <c r="AS34" i="8" s="1"/>
  <c r="AA34" i="8"/>
  <c r="AR34" i="8" s="1"/>
  <c r="Z34" i="8"/>
  <c r="AQ34" i="8" s="1"/>
  <c r="Y34" i="8"/>
  <c r="X34" i="8"/>
  <c r="D34" i="8"/>
  <c r="AM33" i="8"/>
  <c r="BD33" i="8" s="1"/>
  <c r="AL33" i="8"/>
  <c r="BC33" i="8" s="1"/>
  <c r="AK33" i="8"/>
  <c r="BB33" i="8" s="1"/>
  <c r="AJ33" i="8"/>
  <c r="BA33" i="8" s="1"/>
  <c r="AI33" i="8"/>
  <c r="AZ33" i="8" s="1"/>
  <c r="AH33" i="8"/>
  <c r="AY33" i="8" s="1"/>
  <c r="AG33" i="8"/>
  <c r="AX33" i="8" s="1"/>
  <c r="AF33" i="8"/>
  <c r="AW33" i="8" s="1"/>
  <c r="AE33" i="8"/>
  <c r="AV33" i="8" s="1"/>
  <c r="AD33" i="8"/>
  <c r="AU33" i="8" s="1"/>
  <c r="AC33" i="8"/>
  <c r="AT33" i="8" s="1"/>
  <c r="AB33" i="8"/>
  <c r="AS33" i="8" s="1"/>
  <c r="AA33" i="8"/>
  <c r="AR33" i="8" s="1"/>
  <c r="Z33" i="8"/>
  <c r="AQ33" i="8" s="1"/>
  <c r="Y33" i="8"/>
  <c r="D33" i="8"/>
  <c r="AM32" i="8"/>
  <c r="BD32" i="8" s="1"/>
  <c r="AL32" i="8"/>
  <c r="BC32" i="8" s="1"/>
  <c r="AK32" i="8"/>
  <c r="BB32" i="8" s="1"/>
  <c r="AJ32" i="8"/>
  <c r="BA32" i="8" s="1"/>
  <c r="AI32" i="8"/>
  <c r="AZ32" i="8" s="1"/>
  <c r="AH32" i="8"/>
  <c r="AY32" i="8" s="1"/>
  <c r="AG32" i="8"/>
  <c r="AX32" i="8" s="1"/>
  <c r="AF32" i="8"/>
  <c r="AW32" i="8" s="1"/>
  <c r="AE32" i="8"/>
  <c r="AV32" i="8" s="1"/>
  <c r="AD32" i="8"/>
  <c r="AU32" i="8" s="1"/>
  <c r="AC32" i="8"/>
  <c r="AT32" i="8" s="1"/>
  <c r="AB32" i="8"/>
  <c r="AS32" i="8" s="1"/>
  <c r="AA32" i="8"/>
  <c r="AR32" i="8" s="1"/>
  <c r="Z32" i="8"/>
  <c r="AQ32" i="8" s="1"/>
  <c r="Y32" i="8"/>
  <c r="X32" i="8"/>
  <c r="AO32" i="8" s="1"/>
  <c r="AM31" i="8"/>
  <c r="BD31" i="8" s="1"/>
  <c r="AL31" i="8"/>
  <c r="BC31" i="8" s="1"/>
  <c r="AK31" i="8"/>
  <c r="BB31" i="8" s="1"/>
  <c r="AJ31" i="8"/>
  <c r="BA31" i="8" s="1"/>
  <c r="AI31" i="8"/>
  <c r="AZ31" i="8" s="1"/>
  <c r="AH31" i="8"/>
  <c r="AY31" i="8" s="1"/>
  <c r="AG31" i="8"/>
  <c r="AX31" i="8" s="1"/>
  <c r="AF31" i="8"/>
  <c r="AW31" i="8" s="1"/>
  <c r="AE31" i="8"/>
  <c r="AV31" i="8" s="1"/>
  <c r="AD31" i="8"/>
  <c r="AU31" i="8" s="1"/>
  <c r="AC31" i="8"/>
  <c r="AT31" i="8" s="1"/>
  <c r="AB31" i="8"/>
  <c r="AS31" i="8" s="1"/>
  <c r="AA31" i="8"/>
  <c r="AR31" i="8" s="1"/>
  <c r="Z31" i="8"/>
  <c r="AQ31" i="8" s="1"/>
  <c r="Y31" i="8"/>
  <c r="X31" i="8"/>
  <c r="AO31" i="8" s="1"/>
  <c r="BH31" i="8" s="1"/>
  <c r="D31" i="8"/>
  <c r="B31" i="8"/>
  <c r="B33" i="8" s="1"/>
  <c r="B34" i="8" s="1"/>
  <c r="B35" i="8" s="1"/>
  <c r="B36" i="8" s="1"/>
  <c r="B37" i="8" s="1"/>
  <c r="B39" i="8" s="1"/>
  <c r="B40" i="8" s="1"/>
  <c r="B41" i="8" s="1"/>
  <c r="AM30" i="8"/>
  <c r="BD30" i="8" s="1"/>
  <c r="AL30" i="8"/>
  <c r="BC30" i="8" s="1"/>
  <c r="AK30" i="8"/>
  <c r="BB30" i="8" s="1"/>
  <c r="AJ30" i="8"/>
  <c r="BA30" i="8" s="1"/>
  <c r="AI30" i="8"/>
  <c r="AZ30" i="8" s="1"/>
  <c r="AH30" i="8"/>
  <c r="AY30" i="8" s="1"/>
  <c r="AG30" i="8"/>
  <c r="AX30" i="8" s="1"/>
  <c r="AF30" i="8"/>
  <c r="AW30" i="8" s="1"/>
  <c r="AE30" i="8"/>
  <c r="AV30" i="8" s="1"/>
  <c r="AD30" i="8"/>
  <c r="AU30" i="8" s="1"/>
  <c r="AC30" i="8"/>
  <c r="AT30" i="8" s="1"/>
  <c r="AB30" i="8"/>
  <c r="AS30" i="8" s="1"/>
  <c r="AA30" i="8"/>
  <c r="AR30" i="8" s="1"/>
  <c r="Z30" i="8"/>
  <c r="AQ30" i="8" s="1"/>
  <c r="Y30" i="8"/>
  <c r="X30" i="8"/>
  <c r="AO30" i="8" s="1"/>
  <c r="BH30" i="8" s="1"/>
  <c r="D30" i="8"/>
  <c r="AM29" i="8"/>
  <c r="BD29" i="8" s="1"/>
  <c r="AL29" i="8"/>
  <c r="BC29" i="8" s="1"/>
  <c r="AK29" i="8"/>
  <c r="BB29" i="8" s="1"/>
  <c r="AJ29" i="8"/>
  <c r="BA29" i="8" s="1"/>
  <c r="AI29" i="8"/>
  <c r="AZ29" i="8" s="1"/>
  <c r="AH29" i="8"/>
  <c r="AY29" i="8" s="1"/>
  <c r="AG29" i="8"/>
  <c r="AX29" i="8" s="1"/>
  <c r="AF29" i="8"/>
  <c r="AW29" i="8" s="1"/>
  <c r="AE29" i="8"/>
  <c r="AV29" i="8" s="1"/>
  <c r="AD29" i="8"/>
  <c r="AU29" i="8" s="1"/>
  <c r="AC29" i="8"/>
  <c r="AT29" i="8" s="1"/>
  <c r="AB29" i="8"/>
  <c r="AS29" i="8" s="1"/>
  <c r="AA29" i="8"/>
  <c r="AR29" i="8" s="1"/>
  <c r="Z29" i="8"/>
  <c r="AQ29" i="8" s="1"/>
  <c r="Y29" i="8"/>
  <c r="X29" i="8"/>
  <c r="AO29" i="8" s="1"/>
  <c r="AM28" i="8"/>
  <c r="BD28" i="8" s="1"/>
  <c r="AL28" i="8"/>
  <c r="BC28" i="8" s="1"/>
  <c r="AK28" i="8"/>
  <c r="BB28" i="8" s="1"/>
  <c r="AJ28" i="8"/>
  <c r="BA28" i="8" s="1"/>
  <c r="AI28" i="8"/>
  <c r="AZ28" i="8" s="1"/>
  <c r="AH28" i="8"/>
  <c r="AY28" i="8" s="1"/>
  <c r="AG28" i="8"/>
  <c r="AX28" i="8" s="1"/>
  <c r="AF28" i="8"/>
  <c r="AW28" i="8" s="1"/>
  <c r="AE28" i="8"/>
  <c r="AV28" i="8" s="1"/>
  <c r="AD28" i="8"/>
  <c r="AU28" i="8" s="1"/>
  <c r="AC28" i="8"/>
  <c r="AT28" i="8" s="1"/>
  <c r="AB28" i="8"/>
  <c r="AS28" i="8" s="1"/>
  <c r="AA28" i="8"/>
  <c r="AR28" i="8" s="1"/>
  <c r="Z28" i="8"/>
  <c r="AQ28" i="8" s="1"/>
  <c r="Y28" i="8"/>
  <c r="X28" i="8"/>
  <c r="AO28" i="8" s="1"/>
  <c r="AM25" i="8"/>
  <c r="BD25" i="8" s="1"/>
  <c r="AL25" i="8"/>
  <c r="AK25" i="8"/>
  <c r="BB25" i="8" s="1"/>
  <c r="AJ25" i="8"/>
  <c r="BA25" i="8" s="1"/>
  <c r="AI25" i="8"/>
  <c r="AZ25" i="8" s="1"/>
  <c r="AH25" i="8"/>
  <c r="AY25" i="8" s="1"/>
  <c r="AG25" i="8"/>
  <c r="AX25" i="8" s="1"/>
  <c r="AF25" i="8"/>
  <c r="AE25" i="8"/>
  <c r="AD25" i="8"/>
  <c r="AC25" i="8"/>
  <c r="AT25" i="8" s="1"/>
  <c r="AB25" i="8"/>
  <c r="AA25" i="8"/>
  <c r="Z25" i="8"/>
  <c r="Y25" i="8"/>
  <c r="X25" i="8"/>
  <c r="AM24" i="8"/>
  <c r="BD24" i="8" s="1"/>
  <c r="AK24" i="8"/>
  <c r="BB24" i="8" s="1"/>
  <c r="AJ24" i="8"/>
  <c r="BA24" i="8" s="1"/>
  <c r="AI24" i="8"/>
  <c r="AZ24" i="8" s="1"/>
  <c r="AH24" i="8"/>
  <c r="AY24" i="8" s="1"/>
  <c r="AG24" i="8"/>
  <c r="AX24" i="8" s="1"/>
  <c r="AF24" i="8"/>
  <c r="AW24" i="8" s="1"/>
  <c r="AE24" i="8"/>
  <c r="AV24" i="8" s="1"/>
  <c r="AD24" i="8"/>
  <c r="AU24" i="8" s="1"/>
  <c r="AC24" i="8"/>
  <c r="AT24" i="8" s="1"/>
  <c r="AB24" i="8"/>
  <c r="AA24" i="8"/>
  <c r="Z24" i="8"/>
  <c r="Y24" i="8"/>
  <c r="AM23" i="8"/>
  <c r="BD23" i="8" s="1"/>
  <c r="AL23" i="8"/>
  <c r="BC23" i="8" s="1"/>
  <c r="AK23" i="8"/>
  <c r="BB23" i="8" s="1"/>
  <c r="AJ23" i="8"/>
  <c r="BA23" i="8" s="1"/>
  <c r="AI23" i="8"/>
  <c r="AZ23" i="8" s="1"/>
  <c r="AH23" i="8"/>
  <c r="AY23" i="8" s="1"/>
  <c r="AG23" i="8"/>
  <c r="AX23" i="8" s="1"/>
  <c r="AF23" i="8"/>
  <c r="AE23" i="8"/>
  <c r="AD23" i="8"/>
  <c r="AC23" i="8"/>
  <c r="AT23" i="8" s="1"/>
  <c r="AB23" i="8"/>
  <c r="AA23" i="8"/>
  <c r="Z23" i="8"/>
  <c r="Y23" i="8"/>
  <c r="X23" i="8"/>
  <c r="AM22" i="8"/>
  <c r="BD22" i="8" s="1"/>
  <c r="AL22" i="8"/>
  <c r="BC22" i="8" s="1"/>
  <c r="AK22" i="8"/>
  <c r="BB22" i="8" s="1"/>
  <c r="AJ22" i="8"/>
  <c r="BA22" i="8" s="1"/>
  <c r="AI22" i="8"/>
  <c r="AZ22" i="8" s="1"/>
  <c r="AH22" i="8"/>
  <c r="AY22" i="8" s="1"/>
  <c r="AG22" i="8"/>
  <c r="AX22" i="8" s="1"/>
  <c r="AF22" i="8"/>
  <c r="AW22" i="8" s="1"/>
  <c r="AE22" i="8"/>
  <c r="AV22" i="8" s="1"/>
  <c r="AD22" i="8"/>
  <c r="AU22" i="8" s="1"/>
  <c r="AC22" i="8"/>
  <c r="AT22" i="8" s="1"/>
  <c r="AB22" i="8"/>
  <c r="AA22" i="8"/>
  <c r="Z22" i="8"/>
  <c r="Y22" i="8"/>
  <c r="AM20" i="8"/>
  <c r="BD20" i="8" s="1"/>
  <c r="AL20" i="8"/>
  <c r="BC20" i="8" s="1"/>
  <c r="AK20" i="8"/>
  <c r="BB20" i="8" s="1"/>
  <c r="AJ20" i="8"/>
  <c r="BA20" i="8" s="1"/>
  <c r="AI20" i="8"/>
  <c r="AZ20" i="8" s="1"/>
  <c r="AH20" i="8"/>
  <c r="AY20" i="8" s="1"/>
  <c r="AG20" i="8"/>
  <c r="AX20" i="8" s="1"/>
  <c r="AF20" i="8"/>
  <c r="AW20" i="8" s="1"/>
  <c r="AE20" i="8"/>
  <c r="AV20" i="8" s="1"/>
  <c r="AD20" i="8"/>
  <c r="AU20" i="8" s="1"/>
  <c r="AC20" i="8"/>
  <c r="AT20" i="8" s="1"/>
  <c r="AB20" i="8"/>
  <c r="AS20" i="8" s="1"/>
  <c r="AA20" i="8"/>
  <c r="AR20" i="8" s="1"/>
  <c r="Z20" i="8"/>
  <c r="AQ20" i="8" s="1"/>
  <c r="Y20" i="8"/>
  <c r="X20" i="8"/>
  <c r="AO20" i="8" s="1"/>
  <c r="AM19" i="8"/>
  <c r="BD19" i="8" s="1"/>
  <c r="AL19" i="8"/>
  <c r="BC19" i="8" s="1"/>
  <c r="AK19" i="8"/>
  <c r="BB19" i="8" s="1"/>
  <c r="AJ19" i="8"/>
  <c r="BA19" i="8" s="1"/>
  <c r="AI19" i="8"/>
  <c r="AZ19" i="8" s="1"/>
  <c r="AH19" i="8"/>
  <c r="AY19" i="8" s="1"/>
  <c r="AG19" i="8"/>
  <c r="AX19" i="8" s="1"/>
  <c r="AF19" i="8"/>
  <c r="AW19" i="8" s="1"/>
  <c r="AE19" i="8"/>
  <c r="AV19" i="8" s="1"/>
  <c r="AD19" i="8"/>
  <c r="AU19" i="8" s="1"/>
  <c r="AC19" i="8"/>
  <c r="AB19" i="8"/>
  <c r="AS19" i="8" s="1"/>
  <c r="AA19" i="8"/>
  <c r="AR19" i="8" s="1"/>
  <c r="Z19" i="8"/>
  <c r="AQ19" i="8" s="1"/>
  <c r="Y19" i="8"/>
  <c r="X19" i="8"/>
  <c r="B23" i="8"/>
  <c r="B24" i="8" s="1"/>
  <c r="B25" i="8" s="1"/>
  <c r="B26" i="8" s="1"/>
  <c r="B27" i="8" s="1"/>
  <c r="AM18" i="8"/>
  <c r="BD18" i="8" s="1"/>
  <c r="AL18" i="8"/>
  <c r="BC18" i="8" s="1"/>
  <c r="AK18" i="8"/>
  <c r="BB18" i="8" s="1"/>
  <c r="AJ18" i="8"/>
  <c r="BA18" i="8" s="1"/>
  <c r="AI18" i="8"/>
  <c r="AZ18" i="8" s="1"/>
  <c r="AH18" i="8"/>
  <c r="AY18" i="8" s="1"/>
  <c r="AG18" i="8"/>
  <c r="AX18" i="8" s="1"/>
  <c r="AF18" i="8"/>
  <c r="AW18" i="8" s="1"/>
  <c r="AE18" i="8"/>
  <c r="AV18" i="8" s="1"/>
  <c r="AD18" i="8"/>
  <c r="AU18" i="8" s="1"/>
  <c r="AC18" i="8"/>
  <c r="AT18" i="8" s="1"/>
  <c r="AB18" i="8"/>
  <c r="AS18" i="8" s="1"/>
  <c r="AA18" i="8"/>
  <c r="AR18" i="8" s="1"/>
  <c r="Z18" i="8"/>
  <c r="AQ18" i="8" s="1"/>
  <c r="AM17" i="8"/>
  <c r="BD17" i="8" s="1"/>
  <c r="AL17" i="8"/>
  <c r="BC17" i="8" s="1"/>
  <c r="AK17" i="8"/>
  <c r="BB17" i="8" s="1"/>
  <c r="AJ17" i="8"/>
  <c r="BA17" i="8" s="1"/>
  <c r="AI17" i="8"/>
  <c r="AZ17" i="8" s="1"/>
  <c r="AH17" i="8"/>
  <c r="AY17" i="8" s="1"/>
  <c r="AG17" i="8"/>
  <c r="AX17" i="8" s="1"/>
  <c r="AF17" i="8"/>
  <c r="AW17" i="8" s="1"/>
  <c r="AE17" i="8"/>
  <c r="AV17" i="8" s="1"/>
  <c r="AD17" i="8"/>
  <c r="AU17" i="8" s="1"/>
  <c r="AC17" i="8"/>
  <c r="AT17" i="8" s="1"/>
  <c r="AB17" i="8"/>
  <c r="AS17" i="8" s="1"/>
  <c r="AA17" i="8"/>
  <c r="AR17" i="8" s="1"/>
  <c r="Z17" i="8"/>
  <c r="AQ17" i="8" s="1"/>
  <c r="Y17" i="8"/>
  <c r="X17" i="8"/>
  <c r="AO17" i="8" s="1"/>
  <c r="AM16" i="8"/>
  <c r="BD16" i="8" s="1"/>
  <c r="AL16" i="8"/>
  <c r="BC16" i="8" s="1"/>
  <c r="AK16" i="8"/>
  <c r="BB16" i="8" s="1"/>
  <c r="AJ16" i="8"/>
  <c r="BA16" i="8" s="1"/>
  <c r="AI16" i="8"/>
  <c r="AZ16" i="8" s="1"/>
  <c r="AH16" i="8"/>
  <c r="AY16" i="8" s="1"/>
  <c r="AG16" i="8"/>
  <c r="AX16" i="8" s="1"/>
  <c r="AF16" i="8"/>
  <c r="AW16" i="8" s="1"/>
  <c r="AE16" i="8"/>
  <c r="AV16" i="8" s="1"/>
  <c r="AD16" i="8"/>
  <c r="AU16" i="8" s="1"/>
  <c r="AC16" i="8"/>
  <c r="AB16" i="8"/>
  <c r="AS16" i="8" s="1"/>
  <c r="AA16" i="8"/>
  <c r="AR16" i="8" s="1"/>
  <c r="Z16" i="8"/>
  <c r="AQ16" i="8" s="1"/>
  <c r="Y16" i="8"/>
  <c r="AP16" i="8" s="1"/>
  <c r="X16" i="8"/>
  <c r="AO16" i="8" s="1"/>
  <c r="BA11" i="8"/>
  <c r="BH105" i="9" l="1"/>
  <c r="BH104" i="9" s="1"/>
  <c r="G162" i="9"/>
  <c r="BH96" i="9"/>
  <c r="G161" i="9"/>
  <c r="BH69" i="8"/>
  <c r="BH85" i="8"/>
  <c r="BH97" i="8"/>
  <c r="BH95" i="8" s="1"/>
  <c r="G161" i="8"/>
  <c r="BH105" i="8"/>
  <c r="BH104" i="8" s="1"/>
  <c r="G162" i="8"/>
  <c r="BL129" i="9"/>
  <c r="BH115" i="9"/>
  <c r="BL47" i="9"/>
  <c r="BL49" i="9"/>
  <c r="BL73" i="8"/>
  <c r="BL75" i="8"/>
  <c r="BL76" i="8"/>
  <c r="BL78" i="8"/>
  <c r="BL79" i="8"/>
  <c r="BL80" i="8"/>
  <c r="BL85" i="8"/>
  <c r="BL87" i="8"/>
  <c r="BL88" i="8"/>
  <c r="BL89" i="8"/>
  <c r="BL90" i="8"/>
  <c r="BL91" i="8"/>
  <c r="BL92" i="8"/>
  <c r="BL93" i="8"/>
  <c r="BL96" i="8"/>
  <c r="BL97" i="8"/>
  <c r="BL100" i="8"/>
  <c r="BL102" i="8"/>
  <c r="BL103" i="8"/>
  <c r="BL98" i="8"/>
  <c r="BL99" i="8"/>
  <c r="BL105" i="8"/>
  <c r="BL106" i="8"/>
  <c r="BL116" i="8"/>
  <c r="BL117" i="8"/>
  <c r="BL118" i="8"/>
  <c r="BL119" i="8"/>
  <c r="BL121" i="8"/>
  <c r="BL122" i="8"/>
  <c r="BL123" i="8"/>
  <c r="BL124" i="8"/>
  <c r="BL125" i="8"/>
  <c r="BL126" i="8"/>
  <c r="BL127" i="8"/>
  <c r="BL128" i="8"/>
  <c r="BL129" i="8"/>
  <c r="BL19" i="9"/>
  <c r="BL33" i="9"/>
  <c r="BL37" i="9"/>
  <c r="BL50" i="9"/>
  <c r="BL52" i="9"/>
  <c r="BL69" i="9"/>
  <c r="BL72" i="9"/>
  <c r="BL22" i="9"/>
  <c r="BL34" i="9"/>
  <c r="BL73" i="9"/>
  <c r="BL75" i="9"/>
  <c r="BL76" i="9"/>
  <c r="BL78" i="9"/>
  <c r="BL79" i="9"/>
  <c r="BL84" i="9"/>
  <c r="BL85" i="9"/>
  <c r="BL87" i="9"/>
  <c r="BL88" i="9"/>
  <c r="BL91" i="9"/>
  <c r="BL92" i="9"/>
  <c r="BL93" i="9"/>
  <c r="BL96" i="9"/>
  <c r="BL97" i="9"/>
  <c r="BL100" i="9"/>
  <c r="BL102" i="9"/>
  <c r="BL103" i="9"/>
  <c r="BL98" i="9"/>
  <c r="BL99" i="9"/>
  <c r="BL105" i="9"/>
  <c r="BL106" i="9"/>
  <c r="BL116" i="9"/>
  <c r="BL89" i="9"/>
  <c r="BL90" i="9"/>
  <c r="BL107" i="9"/>
  <c r="BL74" i="8"/>
  <c r="BL77" i="8"/>
  <c r="BL51" i="9"/>
  <c r="BL53" i="9"/>
  <c r="BL74" i="9"/>
  <c r="BL77" i="9"/>
  <c r="BF139" i="8"/>
  <c r="BJ18" i="8"/>
  <c r="BL19" i="8"/>
  <c r="BL33" i="8"/>
  <c r="BL37" i="8"/>
  <c r="BK45" i="8"/>
  <c r="BL47" i="8"/>
  <c r="BL49" i="8"/>
  <c r="BL50" i="8"/>
  <c r="BL51" i="8"/>
  <c r="BL52" i="8"/>
  <c r="BL53" i="8"/>
  <c r="BL69" i="8"/>
  <c r="BL72" i="8"/>
  <c r="BF75" i="8"/>
  <c r="BJ77" i="8"/>
  <c r="BK88" i="8"/>
  <c r="BJ89" i="8"/>
  <c r="BK92" i="8"/>
  <c r="BJ93" i="8"/>
  <c r="BK93" i="8"/>
  <c r="BF96" i="8"/>
  <c r="BO96" i="8" s="1"/>
  <c r="BK96" i="8"/>
  <c r="BF97" i="8"/>
  <c r="BJ97" i="8"/>
  <c r="BF100" i="8"/>
  <c r="BJ100" i="8"/>
  <c r="BF102" i="8"/>
  <c r="BJ102" i="8"/>
  <c r="BF103" i="8"/>
  <c r="BJ103" i="8"/>
  <c r="BF98" i="8"/>
  <c r="BF118" i="8"/>
  <c r="BF119" i="8"/>
  <c r="BF121" i="8"/>
  <c r="BF122" i="8"/>
  <c r="BF123" i="8"/>
  <c r="BF124" i="8"/>
  <c r="BF125" i="8"/>
  <c r="BF126" i="8"/>
  <c r="BF127" i="8"/>
  <c r="BF128" i="8"/>
  <c r="BF129" i="8"/>
  <c r="BK129" i="8"/>
  <c r="BF19" i="9"/>
  <c r="BK19" i="9"/>
  <c r="BJ22" i="9"/>
  <c r="BK30" i="9"/>
  <c r="BL31" i="9"/>
  <c r="BF33" i="9"/>
  <c r="BK34" i="9"/>
  <c r="BL36" i="9"/>
  <c r="BJ39" i="9"/>
  <c r="BK39" i="9"/>
  <c r="BL41" i="9"/>
  <c r="BJ44" i="9"/>
  <c r="BK44" i="9"/>
  <c r="BL46" i="9"/>
  <c r="BF52" i="9"/>
  <c r="BK69" i="9"/>
  <c r="BJ73" i="9"/>
  <c r="BJ74" i="9"/>
  <c r="BK74" i="9"/>
  <c r="BJ75" i="9"/>
  <c r="BJ76" i="9"/>
  <c r="BJ78" i="9"/>
  <c r="BK78" i="9"/>
  <c r="BJ79" i="9"/>
  <c r="BJ84" i="9"/>
  <c r="BJ85" i="9"/>
  <c r="BK85" i="9"/>
  <c r="BJ87" i="9"/>
  <c r="BJ88" i="9"/>
  <c r="BK89" i="9"/>
  <c r="BJ90" i="9"/>
  <c r="BK90" i="9"/>
  <c r="BJ91" i="9"/>
  <c r="BK91" i="9"/>
  <c r="BJ92" i="9"/>
  <c r="BK92" i="9"/>
  <c r="BJ96" i="9"/>
  <c r="BK97" i="9"/>
  <c r="BJ100" i="9"/>
  <c r="BK100" i="9"/>
  <c r="BK102" i="9"/>
  <c r="BJ103" i="9"/>
  <c r="BK103" i="9"/>
  <c r="BJ98" i="9"/>
  <c r="BK99" i="9"/>
  <c r="BK105" i="9"/>
  <c r="BK106" i="9"/>
  <c r="BK107" i="9"/>
  <c r="BK116" i="9"/>
  <c r="BJ117" i="9"/>
  <c r="BK117" i="9"/>
  <c r="BJ118" i="9"/>
  <c r="BJ119" i="9"/>
  <c r="BK119" i="9"/>
  <c r="BJ121" i="9"/>
  <c r="BJ122" i="9"/>
  <c r="BK122" i="9"/>
  <c r="BJ123" i="9"/>
  <c r="BJ124" i="9"/>
  <c r="BK124" i="9"/>
  <c r="BJ125" i="9"/>
  <c r="BJ126" i="9"/>
  <c r="BL30" i="9"/>
  <c r="BL39" i="9"/>
  <c r="BL44" i="9"/>
  <c r="BF139" i="9"/>
  <c r="BK77" i="9"/>
  <c r="BF127" i="9"/>
  <c r="BF128" i="9"/>
  <c r="BF129" i="9"/>
  <c r="BL120" i="9"/>
  <c r="BK22" i="8"/>
  <c r="BK23" i="8"/>
  <c r="BF34" i="8"/>
  <c r="BJ35" i="8"/>
  <c r="BK35" i="8"/>
  <c r="BJ40" i="8"/>
  <c r="BJ98" i="8"/>
  <c r="BF99" i="8"/>
  <c r="BJ99" i="8"/>
  <c r="BF105" i="8"/>
  <c r="BJ105" i="8"/>
  <c r="BF106" i="8"/>
  <c r="BJ106" i="8"/>
  <c r="BF116" i="8"/>
  <c r="BO116" i="8" s="1"/>
  <c r="BJ116" i="8"/>
  <c r="BK18" i="8"/>
  <c r="BK79" i="8"/>
  <c r="BK80" i="8"/>
  <c r="BK98" i="8"/>
  <c r="BK99" i="8"/>
  <c r="BK118" i="8"/>
  <c r="BK121" i="8"/>
  <c r="BK123" i="8"/>
  <c r="BK125" i="8"/>
  <c r="AP20" i="9"/>
  <c r="BF20" i="9"/>
  <c r="BO20" i="9" s="1"/>
  <c r="AP25" i="9"/>
  <c r="BF25" i="9"/>
  <c r="AP28" i="9"/>
  <c r="BF28" i="9"/>
  <c r="AP29" i="9"/>
  <c r="BF29" i="9"/>
  <c r="BO29" i="9" s="1"/>
  <c r="BH29" i="9"/>
  <c r="AP37" i="9"/>
  <c r="BI37" i="9" s="1"/>
  <c r="BF37" i="9"/>
  <c r="AP38" i="9"/>
  <c r="BF38" i="9"/>
  <c r="BO38" i="9" s="1"/>
  <c r="AP47" i="9"/>
  <c r="BF47" i="9"/>
  <c r="BO47" i="9" s="1"/>
  <c r="AP48" i="9"/>
  <c r="BF48" i="9"/>
  <c r="BO48" i="9" s="1"/>
  <c r="AP49" i="9"/>
  <c r="BF49" i="9"/>
  <c r="AP50" i="9"/>
  <c r="AP51" i="9"/>
  <c r="BI51" i="9" s="1"/>
  <c r="BF51" i="9"/>
  <c r="BO51" i="9" s="1"/>
  <c r="AP53" i="9"/>
  <c r="BF53" i="9"/>
  <c r="AP69" i="9"/>
  <c r="BF69" i="9"/>
  <c r="AP70" i="9"/>
  <c r="BF70" i="9"/>
  <c r="AP71" i="9"/>
  <c r="BF71" i="9"/>
  <c r="BO71" i="9" s="1"/>
  <c r="AP72" i="9"/>
  <c r="BH95" i="9"/>
  <c r="BH120" i="9"/>
  <c r="BJ127" i="9"/>
  <c r="BK127" i="9"/>
  <c r="BJ128" i="9"/>
  <c r="BK128" i="9"/>
  <c r="BJ129" i="9"/>
  <c r="BK129" i="9"/>
  <c r="AT16" i="9"/>
  <c r="BF16" i="9" s="1"/>
  <c r="BO16" i="9" s="1"/>
  <c r="AP17" i="9"/>
  <c r="BF17" i="9"/>
  <c r="BK18" i="9"/>
  <c r="AP22" i="9"/>
  <c r="BF22" i="9"/>
  <c r="BK22" i="9"/>
  <c r="BK23" i="9"/>
  <c r="BC25" i="9"/>
  <c r="BL25" i="9" s="1"/>
  <c r="BF30" i="9"/>
  <c r="BJ30" i="9"/>
  <c r="BF34" i="9"/>
  <c r="BJ35" i="9"/>
  <c r="BK35" i="9"/>
  <c r="AP39" i="9"/>
  <c r="BF39" i="9"/>
  <c r="BJ40" i="9"/>
  <c r="BF44" i="9"/>
  <c r="BK45" i="9"/>
  <c r="AP73" i="9"/>
  <c r="AP74" i="9"/>
  <c r="BI74" i="9" s="1"/>
  <c r="BF74" i="9"/>
  <c r="BO74" i="9" s="1"/>
  <c r="BF75" i="9"/>
  <c r="AP76" i="9"/>
  <c r="AP77" i="9"/>
  <c r="BI77" i="9" s="1"/>
  <c r="BF77" i="9"/>
  <c r="BJ77" i="9"/>
  <c r="AP78" i="9"/>
  <c r="BI78" i="9" s="1"/>
  <c r="BF78" i="9"/>
  <c r="BO78" i="9" s="1"/>
  <c r="AP79" i="9"/>
  <c r="BF79" i="9"/>
  <c r="BK79" i="9"/>
  <c r="AP84" i="9"/>
  <c r="BF84" i="9"/>
  <c r="BK84" i="9"/>
  <c r="AP85" i="9"/>
  <c r="BF85" i="9"/>
  <c r="AP87" i="9"/>
  <c r="BF87" i="9"/>
  <c r="BK87" i="9"/>
  <c r="AP88" i="9"/>
  <c r="BI88" i="9" s="1"/>
  <c r="BF88" i="9"/>
  <c r="BO88" i="9" s="1"/>
  <c r="BK88" i="9"/>
  <c r="AP89" i="9"/>
  <c r="BI89" i="9" s="1"/>
  <c r="BF89" i="9"/>
  <c r="BO89" i="9" s="1"/>
  <c r="BJ89" i="9"/>
  <c r="AP90" i="9"/>
  <c r="BI90" i="9" s="1"/>
  <c r="BF90" i="9"/>
  <c r="BO90" i="9" s="1"/>
  <c r="AP91" i="9"/>
  <c r="BI91" i="9" s="1"/>
  <c r="BF91" i="9"/>
  <c r="BO91" i="9" s="1"/>
  <c r="AP92" i="9"/>
  <c r="BI92" i="9" s="1"/>
  <c r="BF92" i="9"/>
  <c r="BO92" i="9" s="1"/>
  <c r="AP93" i="9"/>
  <c r="BI93" i="9" s="1"/>
  <c r="BF93" i="9"/>
  <c r="BO93" i="9" s="1"/>
  <c r="BJ93" i="9"/>
  <c r="BK93" i="9"/>
  <c r="AP94" i="9"/>
  <c r="BF94" i="9"/>
  <c r="AP95" i="9"/>
  <c r="BF95" i="9"/>
  <c r="BO95" i="9" s="1"/>
  <c r="BF96" i="9"/>
  <c r="BO96" i="9" s="1"/>
  <c r="BK96" i="9"/>
  <c r="BF97" i="9"/>
  <c r="BJ97" i="9"/>
  <c r="BF100" i="9"/>
  <c r="BF102" i="9"/>
  <c r="BJ102" i="9"/>
  <c r="BF103" i="9"/>
  <c r="BF98" i="9"/>
  <c r="BK98" i="9"/>
  <c r="BF99" i="9"/>
  <c r="BJ99" i="9"/>
  <c r="AP104" i="9"/>
  <c r="BF104" i="9"/>
  <c r="BO104" i="9" s="1"/>
  <c r="BF105" i="9"/>
  <c r="BJ105" i="9"/>
  <c r="BF106" i="9"/>
  <c r="BJ106" i="9"/>
  <c r="BF107" i="9"/>
  <c r="BJ107" i="9"/>
  <c r="AP115" i="9"/>
  <c r="BF115" i="9"/>
  <c r="BO115" i="9" s="1"/>
  <c r="BF116" i="9"/>
  <c r="BO116" i="9" s="1"/>
  <c r="BJ116" i="9"/>
  <c r="BF117" i="9"/>
  <c r="BF118" i="9"/>
  <c r="BK118" i="9"/>
  <c r="BF119" i="9"/>
  <c r="AP120" i="9"/>
  <c r="BF120" i="9"/>
  <c r="BO120" i="9" s="1"/>
  <c r="BF121" i="9"/>
  <c r="BK121" i="9"/>
  <c r="BF122" i="9"/>
  <c r="BF123" i="9"/>
  <c r="BK123" i="9"/>
  <c r="BF124" i="9"/>
  <c r="BF125" i="9"/>
  <c r="BK125" i="9"/>
  <c r="BF126" i="9"/>
  <c r="BK126" i="9"/>
  <c r="BJ18" i="9"/>
  <c r="AP23" i="9"/>
  <c r="BF23" i="9"/>
  <c r="BJ24" i="9"/>
  <c r="BK24" i="9"/>
  <c r="BJ31" i="9"/>
  <c r="BK31" i="9"/>
  <c r="AP35" i="9"/>
  <c r="BF35" i="9"/>
  <c r="BK36" i="9"/>
  <c r="AP40" i="9"/>
  <c r="BF40" i="9"/>
  <c r="BJ41" i="9"/>
  <c r="BF45" i="9"/>
  <c r="BO45" i="9" s="1"/>
  <c r="BJ46" i="9"/>
  <c r="BK46" i="9"/>
  <c r="BL18" i="9"/>
  <c r="BL17" i="9" s="1"/>
  <c r="BL23" i="9"/>
  <c r="AP24" i="9"/>
  <c r="BF24" i="9"/>
  <c r="BK25" i="9"/>
  <c r="BF31" i="9"/>
  <c r="AP32" i="9"/>
  <c r="BF32" i="9"/>
  <c r="BO32" i="9" s="1"/>
  <c r="BJ33" i="9"/>
  <c r="BK33" i="9"/>
  <c r="BL35" i="9"/>
  <c r="AP36" i="9"/>
  <c r="BF36" i="9"/>
  <c r="BK37" i="9"/>
  <c r="BL40" i="9"/>
  <c r="BF41" i="9"/>
  <c r="AP42" i="9"/>
  <c r="BF42" i="9"/>
  <c r="AP43" i="9"/>
  <c r="BF43" i="9"/>
  <c r="BO43" i="9" s="1"/>
  <c r="BL45" i="9"/>
  <c r="AP46" i="9"/>
  <c r="BF46" i="9"/>
  <c r="BK47" i="9"/>
  <c r="BJ49" i="9"/>
  <c r="BJ50" i="9"/>
  <c r="BJ51" i="9"/>
  <c r="BK51" i="9"/>
  <c r="BJ52" i="9"/>
  <c r="BJ53" i="9"/>
  <c r="BK53" i="9"/>
  <c r="BJ69" i="9"/>
  <c r="BJ72" i="9"/>
  <c r="AP17" i="8"/>
  <c r="BF17" i="8"/>
  <c r="AP39" i="8"/>
  <c r="BF39" i="8"/>
  <c r="BF44" i="8"/>
  <c r="AP77" i="8"/>
  <c r="BI77" i="8" s="1"/>
  <c r="BF77" i="8"/>
  <c r="AP80" i="8"/>
  <c r="BF80" i="8"/>
  <c r="AP89" i="8"/>
  <c r="BI89" i="8" s="1"/>
  <c r="BF89" i="8"/>
  <c r="BO89" i="8" s="1"/>
  <c r="AP91" i="8"/>
  <c r="BI91" i="8" s="1"/>
  <c r="BF91" i="8"/>
  <c r="BO91" i="8" s="1"/>
  <c r="AP92" i="8"/>
  <c r="BI92" i="8" s="1"/>
  <c r="BF92" i="8"/>
  <c r="BO92" i="8" s="1"/>
  <c r="AP93" i="8"/>
  <c r="BI93" i="8" s="1"/>
  <c r="BF93" i="8"/>
  <c r="BO93" i="8" s="1"/>
  <c r="AP115" i="8"/>
  <c r="BF115" i="8"/>
  <c r="BO115" i="8" s="1"/>
  <c r="BF117" i="8"/>
  <c r="BK117" i="8"/>
  <c r="BK119" i="8"/>
  <c r="AP120" i="8"/>
  <c r="BF120" i="8"/>
  <c r="BO120" i="8" s="1"/>
  <c r="BK122" i="8"/>
  <c r="BK126" i="8"/>
  <c r="BK128" i="8"/>
  <c r="BC25" i="8"/>
  <c r="BL25" i="8" s="1"/>
  <c r="AP30" i="8"/>
  <c r="BI30" i="8" s="1"/>
  <c r="BF30" i="8"/>
  <c r="AP79" i="8"/>
  <c r="BF79" i="8"/>
  <c r="AP85" i="8"/>
  <c r="BF85" i="8"/>
  <c r="AP87" i="8"/>
  <c r="BF87" i="8"/>
  <c r="AP88" i="8"/>
  <c r="BI88" i="8" s="1"/>
  <c r="BF88" i="8"/>
  <c r="BO88" i="8" s="1"/>
  <c r="AP90" i="8"/>
  <c r="BI90" i="8" s="1"/>
  <c r="BF90" i="8"/>
  <c r="BO90" i="8" s="1"/>
  <c r="BL22" i="8"/>
  <c r="AP23" i="8"/>
  <c r="BF23" i="8"/>
  <c r="BJ24" i="8"/>
  <c r="BL30" i="8"/>
  <c r="BJ31" i="8"/>
  <c r="BK31" i="8"/>
  <c r="BL34" i="8"/>
  <c r="AP35" i="8"/>
  <c r="BF35" i="8"/>
  <c r="BK36" i="8"/>
  <c r="BL39" i="8"/>
  <c r="AP40" i="8"/>
  <c r="BF40" i="8"/>
  <c r="BJ41" i="8"/>
  <c r="BL44" i="8"/>
  <c r="BF45" i="8"/>
  <c r="BO45" i="8" s="1"/>
  <c r="BJ46" i="8"/>
  <c r="BK46" i="8"/>
  <c r="AT16" i="8"/>
  <c r="BF16" i="8" s="1"/>
  <c r="BO16" i="8" s="1"/>
  <c r="AP22" i="8"/>
  <c r="BF22" i="8"/>
  <c r="AP73" i="8"/>
  <c r="AP74" i="8"/>
  <c r="BI74" i="8" s="1"/>
  <c r="BF74" i="8"/>
  <c r="BO74" i="8" s="1"/>
  <c r="AP94" i="8"/>
  <c r="BF94" i="8"/>
  <c r="AP95" i="8"/>
  <c r="BF95" i="8"/>
  <c r="BO95" i="8" s="1"/>
  <c r="BK103" i="8"/>
  <c r="BK105" i="8"/>
  <c r="BL18" i="8"/>
  <c r="BK19" i="8"/>
  <c r="BL23" i="8"/>
  <c r="AP24" i="8"/>
  <c r="BF24" i="8"/>
  <c r="BK24" i="8"/>
  <c r="BK25" i="8"/>
  <c r="AP31" i="8"/>
  <c r="BI31" i="8" s="1"/>
  <c r="BF31" i="8"/>
  <c r="AP32" i="8"/>
  <c r="BF32" i="8"/>
  <c r="BO32" i="8" s="1"/>
  <c r="BJ33" i="8"/>
  <c r="BK33" i="8"/>
  <c r="BL35" i="8"/>
  <c r="AP36" i="8"/>
  <c r="BF36" i="8"/>
  <c r="BK37" i="8"/>
  <c r="BL40" i="8"/>
  <c r="BF41" i="8"/>
  <c r="AP42" i="8"/>
  <c r="BF42" i="8"/>
  <c r="AP43" i="8"/>
  <c r="BF43" i="8"/>
  <c r="BO43" i="8" s="1"/>
  <c r="BL45" i="8"/>
  <c r="AP46" i="8"/>
  <c r="BF46" i="8"/>
  <c r="BK47" i="8"/>
  <c r="BJ49" i="8"/>
  <c r="BJ50" i="8"/>
  <c r="BJ51" i="8"/>
  <c r="BK51" i="8"/>
  <c r="BJ52" i="8"/>
  <c r="BJ53" i="8"/>
  <c r="BK53" i="8"/>
  <c r="BJ69" i="8"/>
  <c r="BK69" i="8"/>
  <c r="BJ72" i="8"/>
  <c r="AP76" i="8"/>
  <c r="AP78" i="8"/>
  <c r="BI78" i="8" s="1"/>
  <c r="BF78" i="8"/>
  <c r="BO78" i="8" s="1"/>
  <c r="AP104" i="8"/>
  <c r="BF104" i="8"/>
  <c r="BO104" i="8" s="1"/>
  <c r="BF19" i="8"/>
  <c r="AP20" i="8"/>
  <c r="BF20" i="8"/>
  <c r="BO20" i="8" s="1"/>
  <c r="BJ22" i="8"/>
  <c r="AP25" i="8"/>
  <c r="BF25" i="8"/>
  <c r="AP28" i="8"/>
  <c r="BF28" i="8"/>
  <c r="AP29" i="8"/>
  <c r="BF29" i="8"/>
  <c r="BO29" i="8" s="1"/>
  <c r="BH29" i="8"/>
  <c r="BJ30" i="8"/>
  <c r="BK30" i="8"/>
  <c r="BL31" i="8"/>
  <c r="BF33" i="8"/>
  <c r="BK34" i="8"/>
  <c r="BL36" i="8"/>
  <c r="AP37" i="8"/>
  <c r="BI37" i="8" s="1"/>
  <c r="BF37" i="8"/>
  <c r="AP38" i="8"/>
  <c r="BF38" i="8"/>
  <c r="BO38" i="8" s="1"/>
  <c r="BJ39" i="8"/>
  <c r="BK39" i="8"/>
  <c r="BL41" i="8"/>
  <c r="BJ44" i="8"/>
  <c r="BK44" i="8"/>
  <c r="BL46" i="8"/>
  <c r="AP47" i="8"/>
  <c r="BF47" i="8"/>
  <c r="BO47" i="8" s="1"/>
  <c r="AP48" i="8"/>
  <c r="BF48" i="8"/>
  <c r="BO48" i="8" s="1"/>
  <c r="AP49" i="8"/>
  <c r="BF49" i="8"/>
  <c r="AP50" i="8"/>
  <c r="AP51" i="8"/>
  <c r="BI51" i="8" s="1"/>
  <c r="BF51" i="8"/>
  <c r="BO51" i="8" s="1"/>
  <c r="BF52" i="8"/>
  <c r="AP53" i="8"/>
  <c r="BF53" i="8"/>
  <c r="AP69" i="8"/>
  <c r="BF69" i="8"/>
  <c r="AP70" i="8"/>
  <c r="BF70" i="8"/>
  <c r="AP71" i="8"/>
  <c r="BF71" i="8"/>
  <c r="BO71" i="8" s="1"/>
  <c r="AP72" i="8"/>
  <c r="BJ73" i="8"/>
  <c r="BJ74" i="8"/>
  <c r="BK74" i="8"/>
  <c r="BJ75" i="8"/>
  <c r="BJ76" i="8"/>
  <c r="BK77" i="8"/>
  <c r="BJ78" i="8"/>
  <c r="BK78" i="8"/>
  <c r="BJ79" i="8"/>
  <c r="BJ80" i="8"/>
  <c r="BJ85" i="8"/>
  <c r="BK85" i="8"/>
  <c r="BJ87" i="8"/>
  <c r="BK87" i="8"/>
  <c r="BJ88" i="8"/>
  <c r="BK89" i="8"/>
  <c r="BJ90" i="8"/>
  <c r="BK90" i="8"/>
  <c r="BJ91" i="8"/>
  <c r="BK91" i="8"/>
  <c r="BJ92" i="8"/>
  <c r="BJ96" i="8"/>
  <c r="BK97" i="8"/>
  <c r="BK100" i="8"/>
  <c r="BK102" i="8"/>
  <c r="BK106" i="8"/>
  <c r="BK116" i="8"/>
  <c r="BH115" i="8"/>
  <c r="BJ117" i="8"/>
  <c r="BJ118" i="8"/>
  <c r="BJ119" i="8"/>
  <c r="BJ121" i="8"/>
  <c r="BJ122" i="8"/>
  <c r="BJ123" i="8"/>
  <c r="BH120" i="8"/>
  <c r="BJ124" i="8"/>
  <c r="BK124" i="8"/>
  <c r="BJ125" i="8"/>
  <c r="BJ126" i="8"/>
  <c r="BJ127" i="8"/>
  <c r="BK127" i="8"/>
  <c r="BJ128" i="8"/>
  <c r="BJ129" i="8"/>
  <c r="Y132" i="8"/>
  <c r="Z132" i="8"/>
  <c r="AD132" i="8"/>
  <c r="AL132" i="8"/>
  <c r="AA133" i="8"/>
  <c r="AE133" i="8"/>
  <c r="AM133" i="8"/>
  <c r="AB131" i="8"/>
  <c r="AF131" i="8"/>
  <c r="AJ131" i="8"/>
  <c r="AA132" i="8"/>
  <c r="AE132" i="8"/>
  <c r="AM132" i="8"/>
  <c r="Z131" i="9"/>
  <c r="AD131" i="9"/>
  <c r="AH131" i="9"/>
  <c r="AC131" i="8"/>
  <c r="AG131" i="8"/>
  <c r="AK131" i="8"/>
  <c r="AL134" i="8"/>
  <c r="AB131" i="9"/>
  <c r="AF131" i="9"/>
  <c r="AJ131" i="9"/>
  <c r="AJ132" i="9"/>
  <c r="AA133" i="9"/>
  <c r="AE133" i="9"/>
  <c r="AM133" i="9"/>
  <c r="AA134" i="9"/>
  <c r="AE134" i="9"/>
  <c r="AM134" i="9"/>
  <c r="AF133" i="9"/>
  <c r="AK135" i="9"/>
  <c r="AA132" i="9"/>
  <c r="AE132" i="9"/>
  <c r="AM132" i="9"/>
  <c r="AD134" i="9"/>
  <c r="AL134" i="9"/>
  <c r="AC132" i="8"/>
  <c r="AG132" i="8"/>
  <c r="AD133" i="8"/>
  <c r="AL133" i="8"/>
  <c r="AV135" i="8"/>
  <c r="AT135" i="8"/>
  <c r="BE17" i="8"/>
  <c r="L11" i="8"/>
  <c r="Y11" i="8"/>
  <c r="AP11" i="8"/>
  <c r="BE23" i="9"/>
  <c r="BE32" i="9"/>
  <c r="P11" i="8"/>
  <c r="AG11" i="8"/>
  <c r="AT11" i="8"/>
  <c r="BE19" i="9"/>
  <c r="BE20" i="9"/>
  <c r="BE36" i="9"/>
  <c r="U11" i="8"/>
  <c r="AJ11" i="8"/>
  <c r="AX11" i="8"/>
  <c r="BE17" i="9"/>
  <c r="BE25" i="9"/>
  <c r="BE31" i="9"/>
  <c r="BE34" i="9"/>
  <c r="H11" i="8"/>
  <c r="X11" i="8"/>
  <c r="AL11" i="8"/>
  <c r="BC11" i="8"/>
  <c r="BE30" i="9"/>
  <c r="H11" i="9"/>
  <c r="U11" i="9"/>
  <c r="AG11" i="9"/>
  <c r="AP11" i="9"/>
  <c r="BC11" i="9"/>
  <c r="AA131" i="9"/>
  <c r="AE131" i="9"/>
  <c r="AI131" i="9"/>
  <c r="AM131" i="9"/>
  <c r="AZ131" i="9"/>
  <c r="BD131" i="9"/>
  <c r="BE28" i="9"/>
  <c r="AB132" i="9"/>
  <c r="AF132" i="9"/>
  <c r="AW132" i="9"/>
  <c r="AU132" i="9"/>
  <c r="BE37" i="9"/>
  <c r="BE38" i="9"/>
  <c r="BE44" i="9"/>
  <c r="L11" i="9"/>
  <c r="X11" i="9"/>
  <c r="AJ11" i="9"/>
  <c r="AT11" i="9"/>
  <c r="BA131" i="9"/>
  <c r="BE16" i="9"/>
  <c r="Y132" i="9"/>
  <c r="AC132" i="9"/>
  <c r="AG132" i="9"/>
  <c r="AV132" i="9"/>
  <c r="BE45" i="9"/>
  <c r="BE128" i="9"/>
  <c r="BE107" i="9"/>
  <c r="P11" i="9"/>
  <c r="Y11" i="9"/>
  <c r="AL11" i="9"/>
  <c r="AX11" i="9"/>
  <c r="AC131" i="9"/>
  <c r="AG131" i="9"/>
  <c r="AK131" i="9"/>
  <c r="AX131" i="9"/>
  <c r="BB131" i="9"/>
  <c r="Z132" i="9"/>
  <c r="AD132" i="9"/>
  <c r="AL132" i="9"/>
  <c r="AX132" i="9"/>
  <c r="BC132" i="9"/>
  <c r="BE29" i="9"/>
  <c r="BE43" i="9"/>
  <c r="BE46" i="9"/>
  <c r="S11" i="9"/>
  <c r="AC11" i="9"/>
  <c r="AO11" i="9"/>
  <c r="AY131" i="9"/>
  <c r="BD132" i="9"/>
  <c r="BE47" i="9"/>
  <c r="BE48" i="9"/>
  <c r="BE51" i="9"/>
  <c r="BA132" i="9"/>
  <c r="Y133" i="9"/>
  <c r="AC133" i="9"/>
  <c r="BE74" i="9"/>
  <c r="AD133" i="9"/>
  <c r="AL133" i="9"/>
  <c r="AU133" i="9"/>
  <c r="BC133" i="9"/>
  <c r="BE90" i="9"/>
  <c r="AR133" i="9"/>
  <c r="AV133" i="9"/>
  <c r="BD133" i="9"/>
  <c r="BE71" i="9"/>
  <c r="AW133" i="9"/>
  <c r="BE42" i="9"/>
  <c r="BE69" i="9"/>
  <c r="AR134" i="9"/>
  <c r="AV134" i="9"/>
  <c r="BD134" i="9"/>
  <c r="BE85" i="9"/>
  <c r="BE91" i="9"/>
  <c r="BE93" i="9"/>
  <c r="AF134" i="9"/>
  <c r="AW134" i="9"/>
  <c r="BE70" i="9"/>
  <c r="BE77" i="9"/>
  <c r="BE79" i="9"/>
  <c r="BE88" i="9"/>
  <c r="BE100" i="9"/>
  <c r="BE105" i="9"/>
  <c r="Y134" i="9"/>
  <c r="AC134" i="9"/>
  <c r="AT134" i="9"/>
  <c r="BE78" i="9"/>
  <c r="BE84" i="9"/>
  <c r="BE87" i="9"/>
  <c r="BE92" i="9"/>
  <c r="BE95" i="9"/>
  <c r="BE96" i="9"/>
  <c r="BE97" i="9"/>
  <c r="AU134" i="9"/>
  <c r="BC134" i="9"/>
  <c r="BE89" i="9"/>
  <c r="Y135" i="9"/>
  <c r="AC135" i="9"/>
  <c r="AT135" i="9"/>
  <c r="AG135" i="9"/>
  <c r="AX135" i="9"/>
  <c r="X135" i="9"/>
  <c r="AB135" i="9"/>
  <c r="AF135" i="9"/>
  <c r="AJ135" i="9"/>
  <c r="AS135" i="9"/>
  <c r="AW135" i="9"/>
  <c r="BA135" i="9"/>
  <c r="BE94" i="9"/>
  <c r="BE102" i="9"/>
  <c r="BB135" i="9"/>
  <c r="BE98" i="9"/>
  <c r="BE104" i="9"/>
  <c r="BE126" i="9"/>
  <c r="Z135" i="9"/>
  <c r="AD135" i="9"/>
  <c r="AH135" i="9"/>
  <c r="AL135" i="9"/>
  <c r="AQ135" i="9"/>
  <c r="AU135" i="9"/>
  <c r="AY135" i="9"/>
  <c r="BC135" i="9"/>
  <c r="BE106" i="9"/>
  <c r="AA135" i="9"/>
  <c r="AE135" i="9"/>
  <c r="AI135" i="9"/>
  <c r="AM135" i="9"/>
  <c r="AR135" i="9"/>
  <c r="AV135" i="9"/>
  <c r="AZ135" i="9"/>
  <c r="BD135" i="9"/>
  <c r="BE103" i="9"/>
  <c r="BE99" i="9"/>
  <c r="BE115" i="9"/>
  <c r="BE116" i="9"/>
  <c r="BE122" i="9"/>
  <c r="BE123" i="9"/>
  <c r="BE125" i="9"/>
  <c r="BE117" i="9"/>
  <c r="BE119" i="9"/>
  <c r="BE118" i="9"/>
  <c r="BE121" i="9"/>
  <c r="BE120" i="9"/>
  <c r="BE127" i="9"/>
  <c r="BE124" i="9"/>
  <c r="BE129" i="9"/>
  <c r="BE90" i="8"/>
  <c r="BE74" i="8"/>
  <c r="AX131" i="8"/>
  <c r="BB131" i="8"/>
  <c r="S11" i="8"/>
  <c r="AC11" i="8"/>
  <c r="AO11" i="8"/>
  <c r="Z131" i="8"/>
  <c r="AD131" i="8"/>
  <c r="AH131" i="8"/>
  <c r="AY131" i="8"/>
  <c r="AA131" i="8"/>
  <c r="AE131" i="8"/>
  <c r="AI131" i="8"/>
  <c r="AM131" i="8"/>
  <c r="BD131" i="8"/>
  <c r="AZ131" i="8"/>
  <c r="BE16" i="8"/>
  <c r="BE23" i="8"/>
  <c r="BE31" i="8"/>
  <c r="BE32" i="8"/>
  <c r="BE36" i="8"/>
  <c r="BA131" i="8"/>
  <c r="BE19" i="8"/>
  <c r="BE20" i="8"/>
  <c r="BE25" i="8"/>
  <c r="BE29" i="8"/>
  <c r="BE37" i="8"/>
  <c r="BE38" i="8"/>
  <c r="BE30" i="8"/>
  <c r="BE34" i="8"/>
  <c r="AX132" i="8"/>
  <c r="G150" i="8"/>
  <c r="AR133" i="8"/>
  <c r="BC133" i="8"/>
  <c r="BE43" i="8"/>
  <c r="BE44" i="8"/>
  <c r="BE45" i="8"/>
  <c r="BE47" i="8"/>
  <c r="BE48" i="8"/>
  <c r="BE51" i="8"/>
  <c r="AU132" i="8"/>
  <c r="BC132" i="8"/>
  <c r="BD133" i="8"/>
  <c r="BE46" i="8"/>
  <c r="AV132" i="8"/>
  <c r="BD132" i="8"/>
  <c r="BE42" i="8"/>
  <c r="AU133" i="8"/>
  <c r="BE87" i="8"/>
  <c r="AB132" i="8"/>
  <c r="AF132" i="8"/>
  <c r="AJ132" i="8"/>
  <c r="AW132" i="8"/>
  <c r="BA132" i="8"/>
  <c r="BE28" i="8"/>
  <c r="Y133" i="8"/>
  <c r="AC133" i="8"/>
  <c r="AV133" i="8"/>
  <c r="AF133" i="8"/>
  <c r="AW133" i="8"/>
  <c r="AT134" i="8"/>
  <c r="BE79" i="8"/>
  <c r="BE92" i="8"/>
  <c r="BE100" i="8"/>
  <c r="AD134" i="8"/>
  <c r="AU134" i="8"/>
  <c r="BE71" i="8"/>
  <c r="BE89" i="8"/>
  <c r="BE122" i="8"/>
  <c r="BE69" i="8"/>
  <c r="AR134" i="8"/>
  <c r="BC134" i="8"/>
  <c r="BE77" i="8"/>
  <c r="BE80" i="8"/>
  <c r="BE85" i="8"/>
  <c r="BE103" i="8"/>
  <c r="BE104" i="8"/>
  <c r="BE115" i="8"/>
  <c r="AA134" i="8"/>
  <c r="AE134" i="8"/>
  <c r="AM134" i="8"/>
  <c r="BD134" i="8"/>
  <c r="BE78" i="8"/>
  <c r="AX135" i="8"/>
  <c r="BE102" i="8"/>
  <c r="BE88" i="8"/>
  <c r="BB135" i="8"/>
  <c r="BE97" i="8"/>
  <c r="BE99" i="8"/>
  <c r="BE116" i="8"/>
  <c r="Y134" i="8"/>
  <c r="AC134" i="8"/>
  <c r="AV134" i="8"/>
  <c r="BE91" i="8"/>
  <c r="AA135" i="8"/>
  <c r="AR135" i="8"/>
  <c r="AE135" i="8"/>
  <c r="AI135" i="8"/>
  <c r="AZ135" i="8"/>
  <c r="AM135" i="8"/>
  <c r="BD135" i="8"/>
  <c r="AF134" i="8"/>
  <c r="AW134" i="8"/>
  <c r="BE70" i="8"/>
  <c r="BE93" i="8"/>
  <c r="BE95" i="8"/>
  <c r="BE96" i="8"/>
  <c r="BE98" i="8"/>
  <c r="Y135" i="8"/>
  <c r="AC135" i="8"/>
  <c r="AG135" i="8"/>
  <c r="AK135" i="8"/>
  <c r="BE105" i="8"/>
  <c r="BE106" i="8"/>
  <c r="BE119" i="8"/>
  <c r="X135" i="8"/>
  <c r="AB135" i="8"/>
  <c r="AF135" i="8"/>
  <c r="AJ135" i="8"/>
  <c r="AS135" i="8"/>
  <c r="AW135" i="8"/>
  <c r="BA135" i="8"/>
  <c r="BE94" i="8"/>
  <c r="BE120" i="8"/>
  <c r="BE121" i="8"/>
  <c r="BE124" i="8"/>
  <c r="Z135" i="8"/>
  <c r="AD135" i="8"/>
  <c r="AH135" i="8"/>
  <c r="AL135" i="8"/>
  <c r="AQ135" i="8"/>
  <c r="AU135" i="8"/>
  <c r="AY135" i="8"/>
  <c r="BC135" i="8"/>
  <c r="BE117" i="8"/>
  <c r="BE118" i="8"/>
  <c r="BE123" i="8"/>
  <c r="BE126" i="8"/>
  <c r="BE128" i="8"/>
  <c r="BE125" i="8"/>
  <c r="BE127" i="8"/>
  <c r="BE129" i="8"/>
  <c r="BK20" i="9" l="1"/>
  <c r="BK20" i="8"/>
  <c r="BL104" i="9"/>
  <c r="BL17" i="8"/>
  <c r="BK17" i="8"/>
  <c r="BK17" i="9"/>
  <c r="BK16" i="9" s="1"/>
  <c r="BM78" i="9"/>
  <c r="BM93" i="8"/>
  <c r="BL29" i="9"/>
  <c r="BL115" i="9"/>
  <c r="BL32" i="8"/>
  <c r="BJ115" i="9"/>
  <c r="BJ38" i="8"/>
  <c r="BM74" i="9"/>
  <c r="BL120" i="8"/>
  <c r="BL115" i="8"/>
  <c r="BM91" i="9"/>
  <c r="BL104" i="8"/>
  <c r="BL95" i="8"/>
  <c r="BM77" i="8"/>
  <c r="BO77" i="8" s="1"/>
  <c r="BM88" i="8"/>
  <c r="BJ104" i="8"/>
  <c r="BL95" i="9"/>
  <c r="BL32" i="9"/>
  <c r="BM92" i="9"/>
  <c r="BM90" i="9"/>
  <c r="BJ29" i="8"/>
  <c r="BJ71" i="9"/>
  <c r="BJ70" i="9" s="1"/>
  <c r="BJ134" i="9" s="1"/>
  <c r="BK29" i="9"/>
  <c r="BM78" i="8"/>
  <c r="BL38" i="9"/>
  <c r="BL48" i="9"/>
  <c r="BL71" i="8"/>
  <c r="BL70" i="8" s="1"/>
  <c r="BL134" i="8" s="1"/>
  <c r="BL71" i="9"/>
  <c r="BL70" i="9" s="1"/>
  <c r="BL134" i="9" s="1"/>
  <c r="BK115" i="9"/>
  <c r="H150" i="8"/>
  <c r="I150" i="8" s="1"/>
  <c r="BL43" i="9"/>
  <c r="BK43" i="8"/>
  <c r="BM51" i="8"/>
  <c r="BJ120" i="9"/>
  <c r="BM51" i="9"/>
  <c r="BM93" i="9"/>
  <c r="BM88" i="9"/>
  <c r="BM89" i="9"/>
  <c r="BK104" i="9"/>
  <c r="BL48" i="8"/>
  <c r="BK32" i="9"/>
  <c r="BJ95" i="9"/>
  <c r="BJ38" i="9"/>
  <c r="BM77" i="9"/>
  <c r="BO77" i="9" s="1"/>
  <c r="BK43" i="9"/>
  <c r="BJ95" i="8"/>
  <c r="BM90" i="8"/>
  <c r="BJ115" i="8"/>
  <c r="BM91" i="8"/>
  <c r="BK29" i="8"/>
  <c r="BM31" i="8"/>
  <c r="BO31" i="8" s="1"/>
  <c r="BM92" i="8"/>
  <c r="BM89" i="8"/>
  <c r="BM74" i="8"/>
  <c r="BK95" i="9"/>
  <c r="BK120" i="8"/>
  <c r="BO42" i="9"/>
  <c r="BJ29" i="9"/>
  <c r="BO70" i="9"/>
  <c r="BK120" i="9"/>
  <c r="BJ48" i="9"/>
  <c r="BH94" i="9"/>
  <c r="BH135" i="9" s="1"/>
  <c r="BJ104" i="9"/>
  <c r="BF135" i="9"/>
  <c r="BO94" i="9"/>
  <c r="BO17" i="9"/>
  <c r="BF132" i="9"/>
  <c r="BO28" i="9"/>
  <c r="BJ120" i="8"/>
  <c r="BK32" i="8"/>
  <c r="BJ48" i="8"/>
  <c r="BL43" i="8"/>
  <c r="BL38" i="8"/>
  <c r="BO17" i="8"/>
  <c r="BK95" i="8"/>
  <c r="BO70" i="8"/>
  <c r="BI29" i="8"/>
  <c r="BJ71" i="8"/>
  <c r="BJ70" i="8" s="1"/>
  <c r="BJ134" i="8" s="1"/>
  <c r="BL29" i="8"/>
  <c r="BK115" i="8"/>
  <c r="BH94" i="8"/>
  <c r="BH135" i="8" s="1"/>
  <c r="BM30" i="8"/>
  <c r="BO30" i="8" s="1"/>
  <c r="BF132" i="8"/>
  <c r="BO28" i="8"/>
  <c r="BO42" i="8"/>
  <c r="BK104" i="8"/>
  <c r="BF135" i="8"/>
  <c r="BO94" i="8"/>
  <c r="G150" i="9"/>
  <c r="G164" i="8"/>
  <c r="G163" i="8"/>
  <c r="G164" i="9"/>
  <c r="G163" i="9"/>
  <c r="AF136" i="9"/>
  <c r="AD136" i="9"/>
  <c r="AC136" i="8"/>
  <c r="AF136" i="8"/>
  <c r="AC136" i="9"/>
  <c r="BD136" i="9"/>
  <c r="AM136" i="9"/>
  <c r="BE135" i="9"/>
  <c r="AO135" i="9"/>
  <c r="AE136" i="9"/>
  <c r="AA136" i="9"/>
  <c r="BE135" i="8"/>
  <c r="AO135" i="8"/>
  <c r="AM136" i="8"/>
  <c r="AD136" i="8"/>
  <c r="AE136" i="8"/>
  <c r="BD136" i="8"/>
  <c r="AA136" i="8"/>
  <c r="BK16" i="8" l="1"/>
  <c r="BK131" i="8" s="1"/>
  <c r="BK138" i="8" s="1"/>
  <c r="BK131" i="9"/>
  <c r="BK138" i="9" s="1"/>
  <c r="BL42" i="9"/>
  <c r="BL133" i="9" s="1"/>
  <c r="BL94" i="9"/>
  <c r="BL135" i="9" s="1"/>
  <c r="BL28" i="9"/>
  <c r="BL132" i="9" s="1"/>
  <c r="BL94" i="8"/>
  <c r="BL135" i="8" s="1"/>
  <c r="BL28" i="8"/>
  <c r="BL132" i="8" s="1"/>
  <c r="BJ94" i="9"/>
  <c r="BJ135" i="9" s="1"/>
  <c r="BJ94" i="8"/>
  <c r="BJ135" i="8" s="1"/>
  <c r="BL42" i="8"/>
  <c r="BL133" i="8" s="1"/>
  <c r="BM29" i="8"/>
  <c r="BK94" i="9"/>
  <c r="BK135" i="9" s="1"/>
  <c r="BK94" i="8"/>
  <c r="BK135" i="8" s="1"/>
  <c r="P11" i="3" l="1"/>
  <c r="AX11" i="2"/>
  <c r="V135" i="3"/>
  <c r="U135" i="3"/>
  <c r="T135" i="3"/>
  <c r="S135" i="3"/>
  <c r="R135" i="3"/>
  <c r="Q135" i="3"/>
  <c r="P135" i="3"/>
  <c r="O135" i="3"/>
  <c r="N135" i="3"/>
  <c r="M135" i="3"/>
  <c r="L135" i="3"/>
  <c r="K135" i="3"/>
  <c r="J135" i="3"/>
  <c r="I135" i="3"/>
  <c r="H135" i="3"/>
  <c r="G135" i="3"/>
  <c r="V134" i="3"/>
  <c r="U134" i="3"/>
  <c r="O134" i="3"/>
  <c r="N134" i="3"/>
  <c r="M134" i="3"/>
  <c r="L134" i="3"/>
  <c r="J134" i="3"/>
  <c r="H134" i="3"/>
  <c r="V133" i="3"/>
  <c r="U133" i="3"/>
  <c r="O133" i="3"/>
  <c r="N133" i="3"/>
  <c r="M133" i="3"/>
  <c r="L133" i="3"/>
  <c r="J133" i="3"/>
  <c r="H133" i="3"/>
  <c r="V132" i="3"/>
  <c r="U132" i="3"/>
  <c r="S132" i="3"/>
  <c r="P132" i="3"/>
  <c r="O132" i="3"/>
  <c r="N132" i="3"/>
  <c r="M132" i="3"/>
  <c r="L132" i="3"/>
  <c r="K132" i="3"/>
  <c r="J132" i="3"/>
  <c r="I132" i="3"/>
  <c r="H132" i="3"/>
  <c r="X129" i="3"/>
  <c r="W129" i="3"/>
  <c r="X128" i="3"/>
  <c r="W128" i="3"/>
  <c r="X127" i="3"/>
  <c r="W127" i="3"/>
  <c r="X126" i="3"/>
  <c r="W126" i="3"/>
  <c r="X125" i="3"/>
  <c r="W125" i="3"/>
  <c r="X124" i="3"/>
  <c r="W124" i="3"/>
  <c r="X123" i="3"/>
  <c r="W123" i="3"/>
  <c r="X122" i="3"/>
  <c r="W122" i="3"/>
  <c r="X121" i="3"/>
  <c r="W121" i="3"/>
  <c r="X120" i="3"/>
  <c r="W120" i="3"/>
  <c r="X119" i="3"/>
  <c r="W119" i="3"/>
  <c r="X118" i="3"/>
  <c r="W118" i="3"/>
  <c r="X117" i="3"/>
  <c r="W117" i="3"/>
  <c r="X116" i="3"/>
  <c r="W116" i="3"/>
  <c r="X115" i="3"/>
  <c r="W115" i="3"/>
  <c r="X106" i="3"/>
  <c r="W106" i="3"/>
  <c r="X105" i="3"/>
  <c r="W105" i="3"/>
  <c r="X104" i="3"/>
  <c r="W104" i="3"/>
  <c r="X99" i="3"/>
  <c r="W99" i="3"/>
  <c r="X98" i="3"/>
  <c r="W98" i="3"/>
  <c r="X103" i="3"/>
  <c r="W103" i="3"/>
  <c r="X102" i="3"/>
  <c r="W102" i="3"/>
  <c r="X100" i="3"/>
  <c r="W100" i="3"/>
  <c r="X97" i="3"/>
  <c r="W97" i="3"/>
  <c r="X96" i="3"/>
  <c r="W96" i="3"/>
  <c r="X95" i="3"/>
  <c r="W95" i="3"/>
  <c r="X94" i="3"/>
  <c r="AC135" i="3" s="1"/>
  <c r="W94" i="3"/>
  <c r="X93" i="3"/>
  <c r="W93" i="3"/>
  <c r="X92" i="3"/>
  <c r="W92" i="3"/>
  <c r="X91" i="3"/>
  <c r="W91" i="3"/>
  <c r="X90" i="3"/>
  <c r="W90" i="3"/>
  <c r="X89" i="3"/>
  <c r="W89" i="3"/>
  <c r="X85" i="3"/>
  <c r="W85" i="3"/>
  <c r="X84" i="3"/>
  <c r="W84" i="3"/>
  <c r="X83" i="3"/>
  <c r="W83" i="3"/>
  <c r="X80" i="3"/>
  <c r="W80" i="3"/>
  <c r="X79" i="3"/>
  <c r="W79" i="3"/>
  <c r="X78" i="3"/>
  <c r="W78" i="3"/>
  <c r="X77" i="3"/>
  <c r="W77" i="3"/>
  <c r="X75" i="3"/>
  <c r="X74" i="3"/>
  <c r="W74" i="3"/>
  <c r="X71" i="3"/>
  <c r="W71" i="3"/>
  <c r="X70" i="3"/>
  <c r="W70" i="3"/>
  <c r="X69" i="3"/>
  <c r="W69" i="3"/>
  <c r="X68" i="3"/>
  <c r="W68" i="3"/>
  <c r="X53" i="3"/>
  <c r="X52" i="3"/>
  <c r="X51" i="3"/>
  <c r="W51" i="3"/>
  <c r="X49" i="3"/>
  <c r="X48" i="3"/>
  <c r="W48" i="3"/>
  <c r="X47" i="3"/>
  <c r="W47" i="3"/>
  <c r="X46" i="3"/>
  <c r="W46" i="3"/>
  <c r="X45" i="3"/>
  <c r="W45" i="3"/>
  <c r="X44" i="3"/>
  <c r="W44" i="3"/>
  <c r="X43" i="3"/>
  <c r="W43" i="3"/>
  <c r="X42" i="3"/>
  <c r="W42" i="3"/>
  <c r="X41" i="3"/>
  <c r="D41" i="3"/>
  <c r="X40" i="3"/>
  <c r="D40" i="3"/>
  <c r="X39" i="3"/>
  <c r="D39" i="3"/>
  <c r="X38" i="3"/>
  <c r="W38" i="3"/>
  <c r="X37" i="3"/>
  <c r="W37" i="3"/>
  <c r="D37" i="3"/>
  <c r="X36" i="3"/>
  <c r="W36" i="3"/>
  <c r="D36" i="3"/>
  <c r="X35" i="3"/>
  <c r="D35" i="3"/>
  <c r="X34" i="3"/>
  <c r="W34" i="3"/>
  <c r="D34" i="3"/>
  <c r="X33" i="3"/>
  <c r="D33" i="3"/>
  <c r="X32" i="3"/>
  <c r="W32" i="3"/>
  <c r="X31" i="3"/>
  <c r="W31" i="3"/>
  <c r="D31" i="3"/>
  <c r="B31" i="3"/>
  <c r="B33" i="3" s="1"/>
  <c r="B34" i="3" s="1"/>
  <c r="B35" i="3" s="1"/>
  <c r="B36" i="3" s="1"/>
  <c r="B37" i="3" s="1"/>
  <c r="B39" i="3" s="1"/>
  <c r="B40" i="3" s="1"/>
  <c r="B41" i="3" s="1"/>
  <c r="X30" i="3"/>
  <c r="W30" i="3"/>
  <c r="D30" i="3"/>
  <c r="X29" i="3"/>
  <c r="W29" i="3"/>
  <c r="X28" i="3"/>
  <c r="AC132" i="3" s="1"/>
  <c r="W28" i="3"/>
  <c r="X25" i="3"/>
  <c r="W25" i="3"/>
  <c r="X24" i="3"/>
  <c r="X23" i="3"/>
  <c r="W23" i="3"/>
  <c r="X22" i="3"/>
  <c r="X20" i="3"/>
  <c r="W20" i="3"/>
  <c r="W19" i="3"/>
  <c r="B23" i="3"/>
  <c r="B24" i="3" s="1"/>
  <c r="B25" i="3" s="1"/>
  <c r="X17" i="3"/>
  <c r="W17" i="3"/>
  <c r="X16" i="3"/>
  <c r="W16" i="3"/>
  <c r="AM129" i="2"/>
  <c r="BD129" i="2" s="1"/>
  <c r="AL129" i="2"/>
  <c r="BC129" i="2" s="1"/>
  <c r="AK129" i="2"/>
  <c r="BB129" i="2" s="1"/>
  <c r="AJ129" i="2"/>
  <c r="BA129" i="2" s="1"/>
  <c r="AI129" i="2"/>
  <c r="AZ129" i="2" s="1"/>
  <c r="AH129" i="2"/>
  <c r="AY129" i="2" s="1"/>
  <c r="AG129" i="2"/>
  <c r="AX129" i="2" s="1"/>
  <c r="AF129" i="2"/>
  <c r="AW129" i="2" s="1"/>
  <c r="AE129" i="2"/>
  <c r="AV129" i="2" s="1"/>
  <c r="AD129" i="2"/>
  <c r="AU129" i="2" s="1"/>
  <c r="AC129" i="2"/>
  <c r="AT129" i="2" s="1"/>
  <c r="AB129" i="2"/>
  <c r="AS129" i="2" s="1"/>
  <c r="AA129" i="2"/>
  <c r="AR129" i="2" s="1"/>
  <c r="Z129" i="2"/>
  <c r="AQ129" i="2" s="1"/>
  <c r="Y129" i="2"/>
  <c r="X129" i="2"/>
  <c r="AM128" i="2"/>
  <c r="BD128" i="2" s="1"/>
  <c r="AL128" i="2"/>
  <c r="BC128" i="2" s="1"/>
  <c r="AK128" i="2"/>
  <c r="BB128" i="2" s="1"/>
  <c r="AJ128" i="2"/>
  <c r="BA128" i="2" s="1"/>
  <c r="AI128" i="2"/>
  <c r="AZ128" i="2" s="1"/>
  <c r="AH128" i="2"/>
  <c r="AY128" i="2" s="1"/>
  <c r="AG128" i="2"/>
  <c r="AX128" i="2" s="1"/>
  <c r="AF128" i="2"/>
  <c r="AW128" i="2" s="1"/>
  <c r="AE128" i="2"/>
  <c r="AV128" i="2" s="1"/>
  <c r="AD128" i="2"/>
  <c r="AU128" i="2" s="1"/>
  <c r="AC128" i="2"/>
  <c r="AT128" i="2" s="1"/>
  <c r="AB128" i="2"/>
  <c r="AS128" i="2" s="1"/>
  <c r="AA128" i="2"/>
  <c r="AR128" i="2" s="1"/>
  <c r="Z128" i="2"/>
  <c r="AQ128" i="2" s="1"/>
  <c r="Y128" i="2"/>
  <c r="X128" i="2"/>
  <c r="AM127" i="2"/>
  <c r="BD127" i="2" s="1"/>
  <c r="AL127" i="2"/>
  <c r="BC127" i="2" s="1"/>
  <c r="AK127" i="2"/>
  <c r="BB127" i="2" s="1"/>
  <c r="AJ127" i="2"/>
  <c r="BA127" i="2" s="1"/>
  <c r="AI127" i="2"/>
  <c r="AZ127" i="2" s="1"/>
  <c r="AH127" i="2"/>
  <c r="AY127" i="2" s="1"/>
  <c r="AG127" i="2"/>
  <c r="AX127" i="2" s="1"/>
  <c r="AF127" i="2"/>
  <c r="AW127" i="2" s="1"/>
  <c r="AE127" i="2"/>
  <c r="AV127" i="2" s="1"/>
  <c r="AD127" i="2"/>
  <c r="AU127" i="2" s="1"/>
  <c r="AC127" i="2"/>
  <c r="AT127" i="2" s="1"/>
  <c r="AB127" i="2"/>
  <c r="AS127" i="2" s="1"/>
  <c r="AA127" i="2"/>
  <c r="AR127" i="2" s="1"/>
  <c r="Z127" i="2"/>
  <c r="AQ127" i="2" s="1"/>
  <c r="Y127" i="2"/>
  <c r="X127" i="2"/>
  <c r="AO127" i="2" s="1"/>
  <c r="BH127" i="2" s="1"/>
  <c r="AM126" i="2"/>
  <c r="BD126" i="2" s="1"/>
  <c r="AL126" i="2"/>
  <c r="BC126" i="2" s="1"/>
  <c r="AK126" i="2"/>
  <c r="BB126" i="2" s="1"/>
  <c r="AJ126" i="2"/>
  <c r="BA126" i="2" s="1"/>
  <c r="AI126" i="2"/>
  <c r="AZ126" i="2" s="1"/>
  <c r="AH126" i="2"/>
  <c r="AY126" i="2" s="1"/>
  <c r="AG126" i="2"/>
  <c r="AX126" i="2" s="1"/>
  <c r="AF126" i="2"/>
  <c r="AW126" i="2" s="1"/>
  <c r="AE126" i="2"/>
  <c r="AV126" i="2" s="1"/>
  <c r="AD126" i="2"/>
  <c r="AU126" i="2" s="1"/>
  <c r="AC126" i="2"/>
  <c r="AT126" i="2" s="1"/>
  <c r="AB126" i="2"/>
  <c r="AS126" i="2" s="1"/>
  <c r="AA126" i="2"/>
  <c r="AR126" i="2" s="1"/>
  <c r="Z126" i="2"/>
  <c r="AQ126" i="2" s="1"/>
  <c r="Y126" i="2"/>
  <c r="X126" i="2"/>
  <c r="AM125" i="2"/>
  <c r="BD125" i="2" s="1"/>
  <c r="AL125" i="2"/>
  <c r="BC125" i="2" s="1"/>
  <c r="AK125" i="2"/>
  <c r="BB125" i="2" s="1"/>
  <c r="AJ125" i="2"/>
  <c r="BA125" i="2" s="1"/>
  <c r="AI125" i="2"/>
  <c r="AZ125" i="2" s="1"/>
  <c r="AH125" i="2"/>
  <c r="AY125" i="2" s="1"/>
  <c r="AG125" i="2"/>
  <c r="AX125" i="2" s="1"/>
  <c r="AF125" i="2"/>
  <c r="AW125" i="2" s="1"/>
  <c r="AE125" i="2"/>
  <c r="AV125" i="2" s="1"/>
  <c r="AD125" i="2"/>
  <c r="AU125" i="2" s="1"/>
  <c r="AC125" i="2"/>
  <c r="AT125" i="2" s="1"/>
  <c r="AB125" i="2"/>
  <c r="AS125" i="2" s="1"/>
  <c r="AA125" i="2"/>
  <c r="AR125" i="2" s="1"/>
  <c r="Z125" i="2"/>
  <c r="AQ125" i="2" s="1"/>
  <c r="Y125" i="2"/>
  <c r="X125" i="2"/>
  <c r="AM124" i="2"/>
  <c r="BD124" i="2" s="1"/>
  <c r="AL124" i="2"/>
  <c r="BC124" i="2" s="1"/>
  <c r="AK124" i="2"/>
  <c r="BB124" i="2" s="1"/>
  <c r="AJ124" i="2"/>
  <c r="BA124" i="2" s="1"/>
  <c r="AI124" i="2"/>
  <c r="AZ124" i="2" s="1"/>
  <c r="AH124" i="2"/>
  <c r="AY124" i="2" s="1"/>
  <c r="AG124" i="2"/>
  <c r="AX124" i="2" s="1"/>
  <c r="AF124" i="2"/>
  <c r="AW124" i="2" s="1"/>
  <c r="AE124" i="2"/>
  <c r="AV124" i="2" s="1"/>
  <c r="AD124" i="2"/>
  <c r="AU124" i="2" s="1"/>
  <c r="AC124" i="2"/>
  <c r="AT124" i="2" s="1"/>
  <c r="AB124" i="2"/>
  <c r="AS124" i="2" s="1"/>
  <c r="AA124" i="2"/>
  <c r="AR124" i="2" s="1"/>
  <c r="Z124" i="2"/>
  <c r="AQ124" i="2" s="1"/>
  <c r="Y124" i="2"/>
  <c r="X124" i="2"/>
  <c r="AO124" i="2" s="1"/>
  <c r="BH124" i="2" s="1"/>
  <c r="AM123" i="2"/>
  <c r="BD123" i="2" s="1"/>
  <c r="AL123" i="2"/>
  <c r="BC123" i="2" s="1"/>
  <c r="AK123" i="2"/>
  <c r="BB123" i="2" s="1"/>
  <c r="AJ123" i="2"/>
  <c r="BA123" i="2" s="1"/>
  <c r="AI123" i="2"/>
  <c r="AZ123" i="2" s="1"/>
  <c r="AH123" i="2"/>
  <c r="AY123" i="2" s="1"/>
  <c r="AG123" i="2"/>
  <c r="AX123" i="2" s="1"/>
  <c r="AF123" i="2"/>
  <c r="AW123" i="2" s="1"/>
  <c r="AE123" i="2"/>
  <c r="AV123" i="2" s="1"/>
  <c r="AD123" i="2"/>
  <c r="AU123" i="2" s="1"/>
  <c r="AC123" i="2"/>
  <c r="AT123" i="2" s="1"/>
  <c r="AB123" i="2"/>
  <c r="AS123" i="2" s="1"/>
  <c r="AA123" i="2"/>
  <c r="AR123" i="2" s="1"/>
  <c r="Z123" i="2"/>
  <c r="AQ123" i="2" s="1"/>
  <c r="Y123" i="2"/>
  <c r="X123" i="2"/>
  <c r="AM122" i="2"/>
  <c r="BD122" i="2" s="1"/>
  <c r="AL122" i="2"/>
  <c r="BC122" i="2" s="1"/>
  <c r="AK122" i="2"/>
  <c r="BB122" i="2" s="1"/>
  <c r="AJ122" i="2"/>
  <c r="BA122" i="2" s="1"/>
  <c r="AI122" i="2"/>
  <c r="AZ122" i="2" s="1"/>
  <c r="AH122" i="2"/>
  <c r="AY122" i="2" s="1"/>
  <c r="AG122" i="2"/>
  <c r="AX122" i="2" s="1"/>
  <c r="AF122" i="2"/>
  <c r="AW122" i="2" s="1"/>
  <c r="AE122" i="2"/>
  <c r="AV122" i="2" s="1"/>
  <c r="AD122" i="2"/>
  <c r="AU122" i="2" s="1"/>
  <c r="AC122" i="2"/>
  <c r="AT122" i="2" s="1"/>
  <c r="AB122" i="2"/>
  <c r="AS122" i="2" s="1"/>
  <c r="AA122" i="2"/>
  <c r="AR122" i="2" s="1"/>
  <c r="Z122" i="2"/>
  <c r="AQ122" i="2" s="1"/>
  <c r="Y122" i="2"/>
  <c r="X122" i="2"/>
  <c r="AM121" i="2"/>
  <c r="BD121" i="2" s="1"/>
  <c r="AL121" i="2"/>
  <c r="BC121" i="2" s="1"/>
  <c r="AK121" i="2"/>
  <c r="BB121" i="2" s="1"/>
  <c r="AJ121" i="2"/>
  <c r="BA121" i="2" s="1"/>
  <c r="AI121" i="2"/>
  <c r="AZ121" i="2" s="1"/>
  <c r="AH121" i="2"/>
  <c r="AY121" i="2" s="1"/>
  <c r="AG121" i="2"/>
  <c r="AX121" i="2" s="1"/>
  <c r="AF121" i="2"/>
  <c r="AW121" i="2" s="1"/>
  <c r="AE121" i="2"/>
  <c r="AV121" i="2" s="1"/>
  <c r="AD121" i="2"/>
  <c r="AU121" i="2" s="1"/>
  <c r="AC121" i="2"/>
  <c r="AT121" i="2" s="1"/>
  <c r="AB121" i="2"/>
  <c r="AS121" i="2" s="1"/>
  <c r="AA121" i="2"/>
  <c r="AR121" i="2" s="1"/>
  <c r="Z121" i="2"/>
  <c r="AQ121" i="2" s="1"/>
  <c r="Y121" i="2"/>
  <c r="X121" i="2"/>
  <c r="AO121" i="2" s="1"/>
  <c r="BH121" i="2" s="1"/>
  <c r="AM120" i="2"/>
  <c r="BD120" i="2" s="1"/>
  <c r="AL120" i="2"/>
  <c r="BC120" i="2" s="1"/>
  <c r="AK120" i="2"/>
  <c r="BB120" i="2" s="1"/>
  <c r="AJ120" i="2"/>
  <c r="BA120" i="2" s="1"/>
  <c r="AI120" i="2"/>
  <c r="AZ120" i="2" s="1"/>
  <c r="AH120" i="2"/>
  <c r="AY120" i="2" s="1"/>
  <c r="AG120" i="2"/>
  <c r="AX120" i="2" s="1"/>
  <c r="AF120" i="2"/>
  <c r="AW120" i="2" s="1"/>
  <c r="AE120" i="2"/>
  <c r="AV120" i="2" s="1"/>
  <c r="AD120" i="2"/>
  <c r="AU120" i="2" s="1"/>
  <c r="AC120" i="2"/>
  <c r="AT120" i="2" s="1"/>
  <c r="AB120" i="2"/>
  <c r="AS120" i="2" s="1"/>
  <c r="AA120" i="2"/>
  <c r="AR120" i="2" s="1"/>
  <c r="Z120" i="2"/>
  <c r="AQ120" i="2" s="1"/>
  <c r="Y120" i="2"/>
  <c r="X120" i="2"/>
  <c r="AO120" i="2" s="1"/>
  <c r="AM119" i="2"/>
  <c r="BD119" i="2" s="1"/>
  <c r="AL119" i="2"/>
  <c r="BC119" i="2" s="1"/>
  <c r="AK119" i="2"/>
  <c r="BB119" i="2" s="1"/>
  <c r="AJ119" i="2"/>
  <c r="BA119" i="2" s="1"/>
  <c r="AI119" i="2"/>
  <c r="AZ119" i="2" s="1"/>
  <c r="AH119" i="2"/>
  <c r="AY119" i="2" s="1"/>
  <c r="AG119" i="2"/>
  <c r="AX119" i="2" s="1"/>
  <c r="AF119" i="2"/>
  <c r="AW119" i="2" s="1"/>
  <c r="AE119" i="2"/>
  <c r="AV119" i="2" s="1"/>
  <c r="AD119" i="2"/>
  <c r="AU119" i="2" s="1"/>
  <c r="AC119" i="2"/>
  <c r="AT119" i="2" s="1"/>
  <c r="AB119" i="2"/>
  <c r="AS119" i="2" s="1"/>
  <c r="AA119" i="2"/>
  <c r="AR119" i="2" s="1"/>
  <c r="Z119" i="2"/>
  <c r="AQ119" i="2" s="1"/>
  <c r="Y119" i="2"/>
  <c r="X119" i="2"/>
  <c r="AM118" i="2"/>
  <c r="BD118" i="2" s="1"/>
  <c r="AL118" i="2"/>
  <c r="BC118" i="2" s="1"/>
  <c r="AK118" i="2"/>
  <c r="BB118" i="2" s="1"/>
  <c r="AJ118" i="2"/>
  <c r="BA118" i="2" s="1"/>
  <c r="AI118" i="2"/>
  <c r="AZ118" i="2" s="1"/>
  <c r="AH118" i="2"/>
  <c r="AY118" i="2" s="1"/>
  <c r="AG118" i="2"/>
  <c r="AX118" i="2" s="1"/>
  <c r="AF118" i="2"/>
  <c r="AW118" i="2" s="1"/>
  <c r="AE118" i="2"/>
  <c r="AV118" i="2" s="1"/>
  <c r="AD118" i="2"/>
  <c r="AU118" i="2" s="1"/>
  <c r="AC118" i="2"/>
  <c r="AT118" i="2" s="1"/>
  <c r="AB118" i="2"/>
  <c r="AS118" i="2" s="1"/>
  <c r="AA118" i="2"/>
  <c r="AR118" i="2" s="1"/>
  <c r="Z118" i="2"/>
  <c r="AQ118" i="2" s="1"/>
  <c r="Y118" i="2"/>
  <c r="X118" i="2"/>
  <c r="AO118" i="2" s="1"/>
  <c r="BH118" i="2" s="1"/>
  <c r="AM117" i="2"/>
  <c r="BD117" i="2" s="1"/>
  <c r="AL117" i="2"/>
  <c r="BC117" i="2" s="1"/>
  <c r="AK117" i="2"/>
  <c r="BB117" i="2" s="1"/>
  <c r="AJ117" i="2"/>
  <c r="BA117" i="2" s="1"/>
  <c r="AI117" i="2"/>
  <c r="AZ117" i="2" s="1"/>
  <c r="AH117" i="2"/>
  <c r="AY117" i="2" s="1"/>
  <c r="AG117" i="2"/>
  <c r="AX117" i="2" s="1"/>
  <c r="AF117" i="2"/>
  <c r="AW117" i="2" s="1"/>
  <c r="AE117" i="2"/>
  <c r="AV117" i="2" s="1"/>
  <c r="AD117" i="2"/>
  <c r="AU117" i="2" s="1"/>
  <c r="AC117" i="2"/>
  <c r="AT117" i="2" s="1"/>
  <c r="AB117" i="2"/>
  <c r="AS117" i="2" s="1"/>
  <c r="AA117" i="2"/>
  <c r="AR117" i="2" s="1"/>
  <c r="Z117" i="2"/>
  <c r="AQ117" i="2" s="1"/>
  <c r="Y117" i="2"/>
  <c r="X117" i="2"/>
  <c r="AO117" i="2" s="1"/>
  <c r="BH117" i="2" s="1"/>
  <c r="AM116" i="2"/>
  <c r="BD116" i="2" s="1"/>
  <c r="AL116" i="2"/>
  <c r="BC116" i="2" s="1"/>
  <c r="AK116" i="2"/>
  <c r="BB116" i="2" s="1"/>
  <c r="AJ116" i="2"/>
  <c r="BA116" i="2" s="1"/>
  <c r="AI116" i="2"/>
  <c r="AZ116" i="2" s="1"/>
  <c r="AH116" i="2"/>
  <c r="AY116" i="2" s="1"/>
  <c r="AG116" i="2"/>
  <c r="AX116" i="2" s="1"/>
  <c r="AF116" i="2"/>
  <c r="AW116" i="2" s="1"/>
  <c r="AE116" i="2"/>
  <c r="AV116" i="2" s="1"/>
  <c r="AD116" i="2"/>
  <c r="AU116" i="2" s="1"/>
  <c r="AC116" i="2"/>
  <c r="AT116" i="2" s="1"/>
  <c r="AB116" i="2"/>
  <c r="AS116" i="2" s="1"/>
  <c r="AA116" i="2"/>
  <c r="AR116" i="2" s="1"/>
  <c r="Z116" i="2"/>
  <c r="AQ116" i="2" s="1"/>
  <c r="Y116" i="2"/>
  <c r="X116" i="2"/>
  <c r="AM115" i="2"/>
  <c r="BD115" i="2" s="1"/>
  <c r="AL115" i="2"/>
  <c r="BC115" i="2" s="1"/>
  <c r="AK115" i="2"/>
  <c r="BB115" i="2" s="1"/>
  <c r="AJ115" i="2"/>
  <c r="BA115" i="2" s="1"/>
  <c r="AI115" i="2"/>
  <c r="AZ115" i="2" s="1"/>
  <c r="AH115" i="2"/>
  <c r="AY115" i="2" s="1"/>
  <c r="AG115" i="2"/>
  <c r="AX115" i="2" s="1"/>
  <c r="AF115" i="2"/>
  <c r="AW115" i="2" s="1"/>
  <c r="AE115" i="2"/>
  <c r="AV115" i="2" s="1"/>
  <c r="AD115" i="2"/>
  <c r="AU115" i="2" s="1"/>
  <c r="AC115" i="2"/>
  <c r="AT115" i="2" s="1"/>
  <c r="AB115" i="2"/>
  <c r="AS115" i="2" s="1"/>
  <c r="AA115" i="2"/>
  <c r="AR115" i="2" s="1"/>
  <c r="Z115" i="2"/>
  <c r="AQ115" i="2" s="1"/>
  <c r="Y115" i="2"/>
  <c r="X115" i="2"/>
  <c r="AM105" i="2"/>
  <c r="BD105" i="2" s="1"/>
  <c r="AL105" i="2"/>
  <c r="BC105" i="2" s="1"/>
  <c r="AK105" i="2"/>
  <c r="BB105" i="2" s="1"/>
  <c r="AJ105" i="2"/>
  <c r="BA105" i="2" s="1"/>
  <c r="AI105" i="2"/>
  <c r="AZ105" i="2" s="1"/>
  <c r="AH105" i="2"/>
  <c r="AY105" i="2" s="1"/>
  <c r="AG105" i="2"/>
  <c r="AX105" i="2" s="1"/>
  <c r="AF105" i="2"/>
  <c r="AW105" i="2" s="1"/>
  <c r="AE105" i="2"/>
  <c r="AV105" i="2" s="1"/>
  <c r="AD105" i="2"/>
  <c r="AU105" i="2" s="1"/>
  <c r="AC105" i="2"/>
  <c r="AT105" i="2" s="1"/>
  <c r="AB105" i="2"/>
  <c r="AS105" i="2" s="1"/>
  <c r="AA105" i="2"/>
  <c r="AR105" i="2" s="1"/>
  <c r="Z105" i="2"/>
  <c r="AQ105" i="2" s="1"/>
  <c r="Y105" i="2"/>
  <c r="X105" i="2"/>
  <c r="AM104" i="2"/>
  <c r="BD104" i="2" s="1"/>
  <c r="AL104" i="2"/>
  <c r="BC104" i="2" s="1"/>
  <c r="AK104" i="2"/>
  <c r="BB104" i="2" s="1"/>
  <c r="AJ104" i="2"/>
  <c r="BA104" i="2" s="1"/>
  <c r="AI104" i="2"/>
  <c r="AZ104" i="2" s="1"/>
  <c r="AH104" i="2"/>
  <c r="AY104" i="2" s="1"/>
  <c r="AG104" i="2"/>
  <c r="AX104" i="2" s="1"/>
  <c r="AF104" i="2"/>
  <c r="AW104" i="2" s="1"/>
  <c r="AE104" i="2"/>
  <c r="AV104" i="2" s="1"/>
  <c r="AD104" i="2"/>
  <c r="AU104" i="2" s="1"/>
  <c r="AC104" i="2"/>
  <c r="AT104" i="2" s="1"/>
  <c r="AB104" i="2"/>
  <c r="AS104" i="2" s="1"/>
  <c r="AA104" i="2"/>
  <c r="AR104" i="2" s="1"/>
  <c r="Z104" i="2"/>
  <c r="AQ104" i="2" s="1"/>
  <c r="Y104" i="2"/>
  <c r="X104" i="2"/>
  <c r="AO104" i="2" s="1"/>
  <c r="AM99" i="2"/>
  <c r="BD99" i="2" s="1"/>
  <c r="AL99" i="2"/>
  <c r="BC99" i="2" s="1"/>
  <c r="AK99" i="2"/>
  <c r="BB99" i="2" s="1"/>
  <c r="AJ99" i="2"/>
  <c r="BA99" i="2" s="1"/>
  <c r="AI99" i="2"/>
  <c r="AZ99" i="2" s="1"/>
  <c r="AH99" i="2"/>
  <c r="AY99" i="2" s="1"/>
  <c r="AG99" i="2"/>
  <c r="AX99" i="2" s="1"/>
  <c r="AF99" i="2"/>
  <c r="AW99" i="2" s="1"/>
  <c r="AE99" i="2"/>
  <c r="AV99" i="2" s="1"/>
  <c r="AD99" i="2"/>
  <c r="AU99" i="2" s="1"/>
  <c r="AC99" i="2"/>
  <c r="AT99" i="2" s="1"/>
  <c r="AB99" i="2"/>
  <c r="AS99" i="2" s="1"/>
  <c r="AA99" i="2"/>
  <c r="AR99" i="2" s="1"/>
  <c r="Z99" i="2"/>
  <c r="AQ99" i="2" s="1"/>
  <c r="Y99" i="2"/>
  <c r="X99" i="2"/>
  <c r="AM98" i="2"/>
  <c r="BD98" i="2" s="1"/>
  <c r="AL98" i="2"/>
  <c r="BC98" i="2" s="1"/>
  <c r="AK98" i="2"/>
  <c r="BB98" i="2" s="1"/>
  <c r="AJ98" i="2"/>
  <c r="BA98" i="2" s="1"/>
  <c r="AI98" i="2"/>
  <c r="AZ98" i="2" s="1"/>
  <c r="AH98" i="2"/>
  <c r="AY98" i="2" s="1"/>
  <c r="AG98" i="2"/>
  <c r="AX98" i="2" s="1"/>
  <c r="AF98" i="2"/>
  <c r="AW98" i="2" s="1"/>
  <c r="AE98" i="2"/>
  <c r="AV98" i="2" s="1"/>
  <c r="AD98" i="2"/>
  <c r="AU98" i="2" s="1"/>
  <c r="AC98" i="2"/>
  <c r="AT98" i="2" s="1"/>
  <c r="AB98" i="2"/>
  <c r="AS98" i="2" s="1"/>
  <c r="AA98" i="2"/>
  <c r="AR98" i="2" s="1"/>
  <c r="Z98" i="2"/>
  <c r="AQ98" i="2" s="1"/>
  <c r="Y98" i="2"/>
  <c r="X98" i="2"/>
  <c r="AM103" i="2"/>
  <c r="BD103" i="2" s="1"/>
  <c r="AL103" i="2"/>
  <c r="BC103" i="2" s="1"/>
  <c r="AK103" i="2"/>
  <c r="BB103" i="2" s="1"/>
  <c r="AJ103" i="2"/>
  <c r="BA103" i="2" s="1"/>
  <c r="AI103" i="2"/>
  <c r="AZ103" i="2" s="1"/>
  <c r="AH103" i="2"/>
  <c r="AY103" i="2" s="1"/>
  <c r="AG103" i="2"/>
  <c r="AX103" i="2" s="1"/>
  <c r="AF103" i="2"/>
  <c r="AW103" i="2" s="1"/>
  <c r="AE103" i="2"/>
  <c r="AV103" i="2" s="1"/>
  <c r="AD103" i="2"/>
  <c r="AU103" i="2" s="1"/>
  <c r="AC103" i="2"/>
  <c r="AT103" i="2" s="1"/>
  <c r="AB103" i="2"/>
  <c r="AS103" i="2" s="1"/>
  <c r="AA103" i="2"/>
  <c r="AR103" i="2" s="1"/>
  <c r="Z103" i="2"/>
  <c r="AQ103" i="2" s="1"/>
  <c r="Y103" i="2"/>
  <c r="X103" i="2"/>
  <c r="AM102" i="2"/>
  <c r="BD102" i="2" s="1"/>
  <c r="AL102" i="2"/>
  <c r="BC102" i="2" s="1"/>
  <c r="AK102" i="2"/>
  <c r="BB102" i="2" s="1"/>
  <c r="AJ102" i="2"/>
  <c r="BA102" i="2" s="1"/>
  <c r="AI102" i="2"/>
  <c r="AZ102" i="2" s="1"/>
  <c r="AH102" i="2"/>
  <c r="AY102" i="2" s="1"/>
  <c r="AG102" i="2"/>
  <c r="AX102" i="2" s="1"/>
  <c r="AF102" i="2"/>
  <c r="AW102" i="2" s="1"/>
  <c r="AE102" i="2"/>
  <c r="AV102" i="2" s="1"/>
  <c r="AD102" i="2"/>
  <c r="AU102" i="2" s="1"/>
  <c r="AC102" i="2"/>
  <c r="AT102" i="2" s="1"/>
  <c r="AB102" i="2"/>
  <c r="AS102" i="2" s="1"/>
  <c r="AA102" i="2"/>
  <c r="AR102" i="2" s="1"/>
  <c r="Z102" i="2"/>
  <c r="AQ102" i="2" s="1"/>
  <c r="Y102" i="2"/>
  <c r="X102" i="2"/>
  <c r="AM100" i="2"/>
  <c r="BD100" i="2" s="1"/>
  <c r="AL100" i="2"/>
  <c r="BC100" i="2" s="1"/>
  <c r="AK100" i="2"/>
  <c r="BB100" i="2" s="1"/>
  <c r="AJ100" i="2"/>
  <c r="BA100" i="2" s="1"/>
  <c r="AI100" i="2"/>
  <c r="AZ100" i="2" s="1"/>
  <c r="AH100" i="2"/>
  <c r="AY100" i="2" s="1"/>
  <c r="AG100" i="2"/>
  <c r="AX100" i="2" s="1"/>
  <c r="AF100" i="2"/>
  <c r="AW100" i="2" s="1"/>
  <c r="AE100" i="2"/>
  <c r="AV100" i="2" s="1"/>
  <c r="AD100" i="2"/>
  <c r="AU100" i="2" s="1"/>
  <c r="AC100" i="2"/>
  <c r="AT100" i="2" s="1"/>
  <c r="AB100" i="2"/>
  <c r="AS100" i="2" s="1"/>
  <c r="AA100" i="2"/>
  <c r="AR100" i="2" s="1"/>
  <c r="Z100" i="2"/>
  <c r="AQ100" i="2" s="1"/>
  <c r="Y100" i="2"/>
  <c r="X100" i="2"/>
  <c r="AO100" i="2" s="1"/>
  <c r="BH100" i="2" s="1"/>
  <c r="AM97" i="2"/>
  <c r="BD97" i="2" s="1"/>
  <c r="AL97" i="2"/>
  <c r="BC97" i="2" s="1"/>
  <c r="AK97" i="2"/>
  <c r="BB97" i="2" s="1"/>
  <c r="AJ97" i="2"/>
  <c r="BA97" i="2" s="1"/>
  <c r="AI97" i="2"/>
  <c r="AZ97" i="2" s="1"/>
  <c r="AH97" i="2"/>
  <c r="AY97" i="2" s="1"/>
  <c r="AG97" i="2"/>
  <c r="AX97" i="2" s="1"/>
  <c r="AF97" i="2"/>
  <c r="AW97" i="2" s="1"/>
  <c r="AE97" i="2"/>
  <c r="AV97" i="2" s="1"/>
  <c r="AD97" i="2"/>
  <c r="AU97" i="2" s="1"/>
  <c r="AC97" i="2"/>
  <c r="AT97" i="2" s="1"/>
  <c r="AB97" i="2"/>
  <c r="AS97" i="2" s="1"/>
  <c r="AA97" i="2"/>
  <c r="AR97" i="2" s="1"/>
  <c r="Z97" i="2"/>
  <c r="AQ97" i="2" s="1"/>
  <c r="Y97" i="2"/>
  <c r="X97" i="2"/>
  <c r="AM96" i="2"/>
  <c r="BD96" i="2" s="1"/>
  <c r="AL96" i="2"/>
  <c r="BC96" i="2" s="1"/>
  <c r="AK96" i="2"/>
  <c r="BB96" i="2" s="1"/>
  <c r="AJ96" i="2"/>
  <c r="BA96" i="2" s="1"/>
  <c r="AI96" i="2"/>
  <c r="AZ96" i="2" s="1"/>
  <c r="AH96" i="2"/>
  <c r="AY96" i="2" s="1"/>
  <c r="AG96" i="2"/>
  <c r="AX96" i="2" s="1"/>
  <c r="AF96" i="2"/>
  <c r="AW96" i="2" s="1"/>
  <c r="AE96" i="2"/>
  <c r="AV96" i="2" s="1"/>
  <c r="AD96" i="2"/>
  <c r="AU96" i="2" s="1"/>
  <c r="AC96" i="2"/>
  <c r="AT96" i="2" s="1"/>
  <c r="AB96" i="2"/>
  <c r="AS96" i="2" s="1"/>
  <c r="AA96" i="2"/>
  <c r="AR96" i="2" s="1"/>
  <c r="Z96" i="2"/>
  <c r="AQ96" i="2" s="1"/>
  <c r="Y96" i="2"/>
  <c r="X96" i="2"/>
  <c r="AM95" i="2"/>
  <c r="BD95" i="2" s="1"/>
  <c r="AL95" i="2"/>
  <c r="BC95" i="2" s="1"/>
  <c r="AK95" i="2"/>
  <c r="BB95" i="2" s="1"/>
  <c r="AJ95" i="2"/>
  <c r="BA95" i="2" s="1"/>
  <c r="AI95" i="2"/>
  <c r="AZ95" i="2" s="1"/>
  <c r="AH95" i="2"/>
  <c r="AY95" i="2" s="1"/>
  <c r="AG95" i="2"/>
  <c r="AX95" i="2" s="1"/>
  <c r="AF95" i="2"/>
  <c r="AW95" i="2" s="1"/>
  <c r="AE95" i="2"/>
  <c r="AV95" i="2" s="1"/>
  <c r="AD95" i="2"/>
  <c r="AU95" i="2" s="1"/>
  <c r="AC95" i="2"/>
  <c r="AT95" i="2" s="1"/>
  <c r="AB95" i="2"/>
  <c r="AS95" i="2" s="1"/>
  <c r="AA95" i="2"/>
  <c r="AR95" i="2" s="1"/>
  <c r="Z95" i="2"/>
  <c r="AQ95" i="2" s="1"/>
  <c r="Y95" i="2"/>
  <c r="X95" i="2"/>
  <c r="AM94" i="2"/>
  <c r="BD94" i="2" s="1"/>
  <c r="AL94" i="2"/>
  <c r="BC94" i="2" s="1"/>
  <c r="AK94" i="2"/>
  <c r="BB94" i="2" s="1"/>
  <c r="AJ94" i="2"/>
  <c r="BA94" i="2" s="1"/>
  <c r="AI94" i="2"/>
  <c r="AZ94" i="2" s="1"/>
  <c r="AH94" i="2"/>
  <c r="AY94" i="2" s="1"/>
  <c r="AG94" i="2"/>
  <c r="AX94" i="2" s="1"/>
  <c r="AF94" i="2"/>
  <c r="AE94" i="2"/>
  <c r="AV94" i="2" s="1"/>
  <c r="AD94" i="2"/>
  <c r="AC94" i="2"/>
  <c r="AB94" i="2"/>
  <c r="AA94" i="2"/>
  <c r="AR94" i="2" s="1"/>
  <c r="Z94" i="2"/>
  <c r="Y94" i="2"/>
  <c r="X94" i="2"/>
  <c r="AO94" i="2" s="1"/>
  <c r="AM93" i="2"/>
  <c r="BD93" i="2" s="1"/>
  <c r="AL93" i="2"/>
  <c r="BC93" i="2" s="1"/>
  <c r="AK93" i="2"/>
  <c r="BB93" i="2" s="1"/>
  <c r="AJ93" i="2"/>
  <c r="BA93" i="2" s="1"/>
  <c r="AI93" i="2"/>
  <c r="AZ93" i="2" s="1"/>
  <c r="AH93" i="2"/>
  <c r="AY93" i="2" s="1"/>
  <c r="AG93" i="2"/>
  <c r="AX93" i="2" s="1"/>
  <c r="AF93" i="2"/>
  <c r="AW93" i="2" s="1"/>
  <c r="AE93" i="2"/>
  <c r="AV93" i="2" s="1"/>
  <c r="AD93" i="2"/>
  <c r="AU93" i="2" s="1"/>
  <c r="AC93" i="2"/>
  <c r="AT93" i="2" s="1"/>
  <c r="AB93" i="2"/>
  <c r="AS93" i="2" s="1"/>
  <c r="AA93" i="2"/>
  <c r="AR93" i="2" s="1"/>
  <c r="Z93" i="2"/>
  <c r="AQ93" i="2" s="1"/>
  <c r="Y93" i="2"/>
  <c r="X93" i="2"/>
  <c r="AM92" i="2"/>
  <c r="BD92" i="2" s="1"/>
  <c r="AL92" i="2"/>
  <c r="BC92" i="2" s="1"/>
  <c r="AK92" i="2"/>
  <c r="BB92" i="2" s="1"/>
  <c r="AJ92" i="2"/>
  <c r="BA92" i="2" s="1"/>
  <c r="AI92" i="2"/>
  <c r="AZ92" i="2" s="1"/>
  <c r="AH92" i="2"/>
  <c r="AY92" i="2" s="1"/>
  <c r="AG92" i="2"/>
  <c r="AX92" i="2" s="1"/>
  <c r="AF92" i="2"/>
  <c r="AW92" i="2" s="1"/>
  <c r="AE92" i="2"/>
  <c r="AV92" i="2" s="1"/>
  <c r="AD92" i="2"/>
  <c r="AU92" i="2" s="1"/>
  <c r="AC92" i="2"/>
  <c r="AT92" i="2" s="1"/>
  <c r="AB92" i="2"/>
  <c r="AS92" i="2" s="1"/>
  <c r="AA92" i="2"/>
  <c r="AR92" i="2" s="1"/>
  <c r="Z92" i="2"/>
  <c r="AQ92" i="2" s="1"/>
  <c r="Y92" i="2"/>
  <c r="X92" i="2"/>
  <c r="AO92" i="2" s="1"/>
  <c r="BH92" i="2" s="1"/>
  <c r="AM91" i="2"/>
  <c r="BD91" i="2" s="1"/>
  <c r="AL91" i="2"/>
  <c r="BC91" i="2" s="1"/>
  <c r="AK91" i="2"/>
  <c r="BB91" i="2" s="1"/>
  <c r="AJ91" i="2"/>
  <c r="BA91" i="2" s="1"/>
  <c r="AI91" i="2"/>
  <c r="AZ91" i="2" s="1"/>
  <c r="AH91" i="2"/>
  <c r="AY91" i="2" s="1"/>
  <c r="AG91" i="2"/>
  <c r="AX91" i="2" s="1"/>
  <c r="AF91" i="2"/>
  <c r="AW91" i="2" s="1"/>
  <c r="AE91" i="2"/>
  <c r="AV91" i="2" s="1"/>
  <c r="AD91" i="2"/>
  <c r="AU91" i="2" s="1"/>
  <c r="AC91" i="2"/>
  <c r="AT91" i="2" s="1"/>
  <c r="AB91" i="2"/>
  <c r="AS91" i="2" s="1"/>
  <c r="AA91" i="2"/>
  <c r="AR91" i="2" s="1"/>
  <c r="Z91" i="2"/>
  <c r="AQ91" i="2" s="1"/>
  <c r="Y91" i="2"/>
  <c r="X91" i="2"/>
  <c r="AM90" i="2"/>
  <c r="BD90" i="2" s="1"/>
  <c r="AL90" i="2"/>
  <c r="BC90" i="2" s="1"/>
  <c r="AK90" i="2"/>
  <c r="BB90" i="2" s="1"/>
  <c r="AJ90" i="2"/>
  <c r="BA90" i="2" s="1"/>
  <c r="AI90" i="2"/>
  <c r="AZ90" i="2" s="1"/>
  <c r="AH90" i="2"/>
  <c r="AY90" i="2" s="1"/>
  <c r="AG90" i="2"/>
  <c r="AX90" i="2" s="1"/>
  <c r="AF90" i="2"/>
  <c r="AW90" i="2" s="1"/>
  <c r="AE90" i="2"/>
  <c r="AV90" i="2" s="1"/>
  <c r="AD90" i="2"/>
  <c r="AU90" i="2" s="1"/>
  <c r="AC90" i="2"/>
  <c r="AT90" i="2" s="1"/>
  <c r="AB90" i="2"/>
  <c r="AS90" i="2" s="1"/>
  <c r="AA90" i="2"/>
  <c r="AR90" i="2" s="1"/>
  <c r="Z90" i="2"/>
  <c r="AQ90" i="2" s="1"/>
  <c r="Y90" i="2"/>
  <c r="X90" i="2"/>
  <c r="AM89" i="2"/>
  <c r="BD89" i="2" s="1"/>
  <c r="AL89" i="2"/>
  <c r="BC89" i="2" s="1"/>
  <c r="AK89" i="2"/>
  <c r="BB89" i="2" s="1"/>
  <c r="AJ89" i="2"/>
  <c r="BA89" i="2" s="1"/>
  <c r="AI89" i="2"/>
  <c r="AZ89" i="2" s="1"/>
  <c r="AH89" i="2"/>
  <c r="AY89" i="2" s="1"/>
  <c r="AG89" i="2"/>
  <c r="AX89" i="2" s="1"/>
  <c r="AF89" i="2"/>
  <c r="AW89" i="2" s="1"/>
  <c r="AE89" i="2"/>
  <c r="AV89" i="2" s="1"/>
  <c r="AD89" i="2"/>
  <c r="AU89" i="2" s="1"/>
  <c r="AC89" i="2"/>
  <c r="AT89" i="2" s="1"/>
  <c r="AB89" i="2"/>
  <c r="AS89" i="2" s="1"/>
  <c r="AA89" i="2"/>
  <c r="AR89" i="2" s="1"/>
  <c r="Z89" i="2"/>
  <c r="AQ89" i="2" s="1"/>
  <c r="Y89" i="2"/>
  <c r="X89" i="2"/>
  <c r="AO89" i="2" s="1"/>
  <c r="BH89" i="2" s="1"/>
  <c r="AM88" i="2"/>
  <c r="BD88" i="2" s="1"/>
  <c r="AL88" i="2"/>
  <c r="BC88" i="2" s="1"/>
  <c r="AK88" i="2"/>
  <c r="BB88" i="2" s="1"/>
  <c r="AJ88" i="2"/>
  <c r="BA88" i="2" s="1"/>
  <c r="AI88" i="2"/>
  <c r="AZ88" i="2" s="1"/>
  <c r="AH88" i="2"/>
  <c r="AY88" i="2" s="1"/>
  <c r="AG88" i="2"/>
  <c r="AX88" i="2" s="1"/>
  <c r="AF88" i="2"/>
  <c r="AW88" i="2" s="1"/>
  <c r="AE88" i="2"/>
  <c r="AV88" i="2" s="1"/>
  <c r="AD88" i="2"/>
  <c r="AU88" i="2" s="1"/>
  <c r="AC88" i="2"/>
  <c r="AT88" i="2" s="1"/>
  <c r="AB88" i="2"/>
  <c r="AS88" i="2" s="1"/>
  <c r="AA88" i="2"/>
  <c r="AR88" i="2" s="1"/>
  <c r="Z88" i="2"/>
  <c r="AQ88" i="2" s="1"/>
  <c r="Y88" i="2"/>
  <c r="X88" i="2"/>
  <c r="AM87" i="2"/>
  <c r="BD87" i="2" s="1"/>
  <c r="AL87" i="2"/>
  <c r="BC87" i="2" s="1"/>
  <c r="AK87" i="2"/>
  <c r="BB87" i="2" s="1"/>
  <c r="AJ87" i="2"/>
  <c r="BA87" i="2" s="1"/>
  <c r="AI87" i="2"/>
  <c r="AZ87" i="2" s="1"/>
  <c r="AH87" i="2"/>
  <c r="AY87" i="2" s="1"/>
  <c r="AG87" i="2"/>
  <c r="AX87" i="2" s="1"/>
  <c r="AF87" i="2"/>
  <c r="AW87" i="2" s="1"/>
  <c r="AE87" i="2"/>
  <c r="AV87" i="2" s="1"/>
  <c r="AD87" i="2"/>
  <c r="AU87" i="2" s="1"/>
  <c r="AC87" i="2"/>
  <c r="AT87" i="2" s="1"/>
  <c r="AB87" i="2"/>
  <c r="AA87" i="2"/>
  <c r="AR87" i="2" s="1"/>
  <c r="Z87" i="2"/>
  <c r="Y87" i="2"/>
  <c r="X87" i="2"/>
  <c r="AM85" i="2"/>
  <c r="BD85" i="2" s="1"/>
  <c r="AL85" i="2"/>
  <c r="BC85" i="2" s="1"/>
  <c r="AK85" i="2"/>
  <c r="BB85" i="2" s="1"/>
  <c r="AJ85" i="2"/>
  <c r="BA85" i="2" s="1"/>
  <c r="AI85" i="2"/>
  <c r="AZ85" i="2" s="1"/>
  <c r="AH85" i="2"/>
  <c r="AY85" i="2" s="1"/>
  <c r="AG85" i="2"/>
  <c r="AX85" i="2" s="1"/>
  <c r="AF85" i="2"/>
  <c r="AW85" i="2" s="1"/>
  <c r="AE85" i="2"/>
  <c r="AV85" i="2" s="1"/>
  <c r="AD85" i="2"/>
  <c r="AU85" i="2" s="1"/>
  <c r="AC85" i="2"/>
  <c r="AT85" i="2" s="1"/>
  <c r="AB85" i="2"/>
  <c r="AA85" i="2"/>
  <c r="AR85" i="2" s="1"/>
  <c r="Z85" i="2"/>
  <c r="Y85" i="2"/>
  <c r="X85" i="2"/>
  <c r="AM84" i="2"/>
  <c r="BD84" i="2" s="1"/>
  <c r="AL84" i="2"/>
  <c r="BC84" i="2" s="1"/>
  <c r="AK84" i="2"/>
  <c r="BB84" i="2" s="1"/>
  <c r="AJ84" i="2"/>
  <c r="BA84" i="2" s="1"/>
  <c r="AI84" i="2"/>
  <c r="AZ84" i="2" s="1"/>
  <c r="AH84" i="2"/>
  <c r="AY84" i="2" s="1"/>
  <c r="AG84" i="2"/>
  <c r="AX84" i="2" s="1"/>
  <c r="AF84" i="2"/>
  <c r="AW84" i="2" s="1"/>
  <c r="AE84" i="2"/>
  <c r="AV84" i="2" s="1"/>
  <c r="AD84" i="2"/>
  <c r="AU84" i="2" s="1"/>
  <c r="AC84" i="2"/>
  <c r="AT84" i="2" s="1"/>
  <c r="AB84" i="2"/>
  <c r="AA84" i="2"/>
  <c r="AR84" i="2" s="1"/>
  <c r="Z84" i="2"/>
  <c r="Y84" i="2"/>
  <c r="X84" i="2"/>
  <c r="AO84" i="2" s="1"/>
  <c r="BH84" i="2" s="1"/>
  <c r="AM80" i="2"/>
  <c r="BD80" i="2" s="1"/>
  <c r="AL80" i="2"/>
  <c r="BC80" i="2" s="1"/>
  <c r="AK80" i="2"/>
  <c r="BB80" i="2" s="1"/>
  <c r="AJ80" i="2"/>
  <c r="BA80" i="2" s="1"/>
  <c r="AI80" i="2"/>
  <c r="AZ80" i="2" s="1"/>
  <c r="AH80" i="2"/>
  <c r="AY80" i="2" s="1"/>
  <c r="AG80" i="2"/>
  <c r="AX80" i="2" s="1"/>
  <c r="AF80" i="2"/>
  <c r="AW80" i="2" s="1"/>
  <c r="AE80" i="2"/>
  <c r="AV80" i="2" s="1"/>
  <c r="AD80" i="2"/>
  <c r="AU80" i="2" s="1"/>
  <c r="AC80" i="2"/>
  <c r="AT80" i="2" s="1"/>
  <c r="AB80" i="2"/>
  <c r="AA80" i="2"/>
  <c r="AR80" i="2" s="1"/>
  <c r="Z80" i="2"/>
  <c r="Y80" i="2"/>
  <c r="X80" i="2"/>
  <c r="AM79" i="2"/>
  <c r="BD79" i="2" s="1"/>
  <c r="AL79" i="2"/>
  <c r="BC79" i="2" s="1"/>
  <c r="AK79" i="2"/>
  <c r="BB79" i="2" s="1"/>
  <c r="AJ79" i="2"/>
  <c r="BA79" i="2" s="1"/>
  <c r="AI79" i="2"/>
  <c r="AZ79" i="2" s="1"/>
  <c r="AH79" i="2"/>
  <c r="AY79" i="2" s="1"/>
  <c r="AG79" i="2"/>
  <c r="AX79" i="2" s="1"/>
  <c r="AF79" i="2"/>
  <c r="AW79" i="2" s="1"/>
  <c r="AE79" i="2"/>
  <c r="AV79" i="2" s="1"/>
  <c r="AD79" i="2"/>
  <c r="AU79" i="2" s="1"/>
  <c r="AC79" i="2"/>
  <c r="AT79" i="2" s="1"/>
  <c r="AB79" i="2"/>
  <c r="AA79" i="2"/>
  <c r="AR79" i="2" s="1"/>
  <c r="Z79" i="2"/>
  <c r="Y79" i="2"/>
  <c r="X79" i="2"/>
  <c r="AM78" i="2"/>
  <c r="BD78" i="2" s="1"/>
  <c r="AL78" i="2"/>
  <c r="BC78" i="2" s="1"/>
  <c r="AK78" i="2"/>
  <c r="BB78" i="2" s="1"/>
  <c r="AJ78" i="2"/>
  <c r="BA78" i="2" s="1"/>
  <c r="AI78" i="2"/>
  <c r="AZ78" i="2" s="1"/>
  <c r="AH78" i="2"/>
  <c r="AY78" i="2" s="1"/>
  <c r="AG78" i="2"/>
  <c r="AX78" i="2" s="1"/>
  <c r="AF78" i="2"/>
  <c r="AW78" i="2" s="1"/>
  <c r="AE78" i="2"/>
  <c r="AV78" i="2" s="1"/>
  <c r="AD78" i="2"/>
  <c r="AU78" i="2" s="1"/>
  <c r="AC78" i="2"/>
  <c r="AT78" i="2" s="1"/>
  <c r="AB78" i="2"/>
  <c r="AS78" i="2" s="1"/>
  <c r="AA78" i="2"/>
  <c r="AR78" i="2" s="1"/>
  <c r="Z78" i="2"/>
  <c r="AQ78" i="2" s="1"/>
  <c r="Y78" i="2"/>
  <c r="X78" i="2"/>
  <c r="AM77" i="2"/>
  <c r="BD77" i="2" s="1"/>
  <c r="AL77" i="2"/>
  <c r="BC77" i="2" s="1"/>
  <c r="AK77" i="2"/>
  <c r="BB77" i="2" s="1"/>
  <c r="AJ77" i="2"/>
  <c r="BA77" i="2" s="1"/>
  <c r="AI77" i="2"/>
  <c r="AZ77" i="2" s="1"/>
  <c r="AH77" i="2"/>
  <c r="AY77" i="2" s="1"/>
  <c r="AG77" i="2"/>
  <c r="AX77" i="2" s="1"/>
  <c r="AF77" i="2"/>
  <c r="AW77" i="2" s="1"/>
  <c r="AE77" i="2"/>
  <c r="AV77" i="2" s="1"/>
  <c r="AD77" i="2"/>
  <c r="AU77" i="2" s="1"/>
  <c r="AC77" i="2"/>
  <c r="AT77" i="2" s="1"/>
  <c r="AB77" i="2"/>
  <c r="AS77" i="2" s="1"/>
  <c r="AA77" i="2"/>
  <c r="AR77" i="2" s="1"/>
  <c r="Z77" i="2"/>
  <c r="AQ77" i="2" s="1"/>
  <c r="Y77" i="2"/>
  <c r="X77" i="2"/>
  <c r="AO77" i="2" s="1"/>
  <c r="BH77" i="2" s="1"/>
  <c r="AM76" i="2"/>
  <c r="BD76" i="2" s="1"/>
  <c r="AL76" i="2"/>
  <c r="BC76" i="2" s="1"/>
  <c r="AJ76" i="2"/>
  <c r="BA76" i="2" s="1"/>
  <c r="AI76" i="2"/>
  <c r="AZ76" i="2" s="1"/>
  <c r="AH76" i="2"/>
  <c r="AY76" i="2" s="1"/>
  <c r="AF76" i="2"/>
  <c r="AW76" i="2" s="1"/>
  <c r="AE76" i="2"/>
  <c r="AV76" i="2" s="1"/>
  <c r="AD76" i="2"/>
  <c r="AU76" i="2" s="1"/>
  <c r="AC76" i="2"/>
  <c r="AT76" i="2" s="1"/>
  <c r="AA76" i="2"/>
  <c r="AR76" i="2" s="1"/>
  <c r="Y76" i="2"/>
  <c r="AM75" i="2"/>
  <c r="BD75" i="2" s="1"/>
  <c r="AL75" i="2"/>
  <c r="BC75" i="2" s="1"/>
  <c r="AK75" i="2"/>
  <c r="BB75" i="2" s="1"/>
  <c r="AJ75" i="2"/>
  <c r="BA75" i="2" s="1"/>
  <c r="AG75" i="2"/>
  <c r="AX75" i="2" s="1"/>
  <c r="AF75" i="2"/>
  <c r="AW75" i="2" s="1"/>
  <c r="AE75" i="2"/>
  <c r="AV75" i="2" s="1"/>
  <c r="AD75" i="2"/>
  <c r="AU75" i="2" s="1"/>
  <c r="AC75" i="2"/>
  <c r="AT75" i="2" s="1"/>
  <c r="AB75" i="2"/>
  <c r="AS75" i="2" s="1"/>
  <c r="AA75" i="2"/>
  <c r="AR75" i="2" s="1"/>
  <c r="Z75" i="2"/>
  <c r="AQ75" i="2" s="1"/>
  <c r="Y75" i="2"/>
  <c r="AM74" i="2"/>
  <c r="BD74" i="2" s="1"/>
  <c r="AL74" i="2"/>
  <c r="BC74" i="2" s="1"/>
  <c r="AK74" i="2"/>
  <c r="BB74" i="2" s="1"/>
  <c r="AJ74" i="2"/>
  <c r="BA74" i="2" s="1"/>
  <c r="AI74" i="2"/>
  <c r="AZ74" i="2" s="1"/>
  <c r="AH74" i="2"/>
  <c r="AY74" i="2" s="1"/>
  <c r="AG74" i="2"/>
  <c r="AX74" i="2" s="1"/>
  <c r="AF74" i="2"/>
  <c r="AW74" i="2" s="1"/>
  <c r="AE74" i="2"/>
  <c r="AV74" i="2" s="1"/>
  <c r="AD74" i="2"/>
  <c r="AU74" i="2" s="1"/>
  <c r="AC74" i="2"/>
  <c r="AT74" i="2" s="1"/>
  <c r="AB74" i="2"/>
  <c r="AA74" i="2"/>
  <c r="AR74" i="2" s="1"/>
  <c r="Z74" i="2"/>
  <c r="AQ74" i="2" s="1"/>
  <c r="Y74" i="2"/>
  <c r="X74" i="2"/>
  <c r="AM73" i="2"/>
  <c r="BD73" i="2" s="1"/>
  <c r="AL73" i="2"/>
  <c r="BC73" i="2" s="1"/>
  <c r="AJ73" i="2"/>
  <c r="BA73" i="2" s="1"/>
  <c r="AI73" i="2"/>
  <c r="AZ73" i="2" s="1"/>
  <c r="AH73" i="2"/>
  <c r="AY73" i="2" s="1"/>
  <c r="AF73" i="2"/>
  <c r="AW73" i="2" s="1"/>
  <c r="AE73" i="2"/>
  <c r="AV73" i="2" s="1"/>
  <c r="AD73" i="2"/>
  <c r="AU73" i="2" s="1"/>
  <c r="AC73" i="2"/>
  <c r="AT73" i="2" s="1"/>
  <c r="AA73" i="2"/>
  <c r="AR73" i="2" s="1"/>
  <c r="Y73" i="2"/>
  <c r="B73" i="2"/>
  <c r="B74" i="2" s="1"/>
  <c r="B75" i="2" s="1"/>
  <c r="B76" i="2" s="1"/>
  <c r="AM72" i="2"/>
  <c r="BD72" i="2" s="1"/>
  <c r="AL72" i="2"/>
  <c r="BC72" i="2" s="1"/>
  <c r="AI72" i="2"/>
  <c r="AZ72" i="2" s="1"/>
  <c r="AH72" i="2"/>
  <c r="AY72" i="2" s="1"/>
  <c r="AG72" i="2"/>
  <c r="AX72" i="2" s="1"/>
  <c r="AF72" i="2"/>
  <c r="AW72" i="2" s="1"/>
  <c r="AE72" i="2"/>
  <c r="AV72" i="2" s="1"/>
  <c r="AD72" i="2"/>
  <c r="AU72" i="2" s="1"/>
  <c r="AC72" i="2"/>
  <c r="AT72" i="2" s="1"/>
  <c r="AA72" i="2"/>
  <c r="AR72" i="2" s="1"/>
  <c r="Y72" i="2"/>
  <c r="AM71" i="2"/>
  <c r="BD71" i="2" s="1"/>
  <c r="AL71" i="2"/>
  <c r="BC71" i="2" s="1"/>
  <c r="AK71" i="2"/>
  <c r="BB71" i="2" s="1"/>
  <c r="AJ71" i="2"/>
  <c r="BA71" i="2" s="1"/>
  <c r="AI71" i="2"/>
  <c r="AZ71" i="2" s="1"/>
  <c r="AH71" i="2"/>
  <c r="AY71" i="2" s="1"/>
  <c r="AG71" i="2"/>
  <c r="AX71" i="2" s="1"/>
  <c r="AF71" i="2"/>
  <c r="AW71" i="2" s="1"/>
  <c r="AE71" i="2"/>
  <c r="AV71" i="2" s="1"/>
  <c r="AD71" i="2"/>
  <c r="AU71" i="2" s="1"/>
  <c r="AC71" i="2"/>
  <c r="AT71" i="2" s="1"/>
  <c r="AB71" i="2"/>
  <c r="AS71" i="2" s="1"/>
  <c r="AA71" i="2"/>
  <c r="AR71" i="2" s="1"/>
  <c r="Z71" i="2"/>
  <c r="AQ71" i="2" s="1"/>
  <c r="Y71" i="2"/>
  <c r="X71" i="2"/>
  <c r="AM70" i="2"/>
  <c r="BD70" i="2" s="1"/>
  <c r="AL70" i="2"/>
  <c r="BC70" i="2" s="1"/>
  <c r="AK70" i="2"/>
  <c r="BB70" i="2" s="1"/>
  <c r="AJ70" i="2"/>
  <c r="BA70" i="2" s="1"/>
  <c r="AI70" i="2"/>
  <c r="AZ70" i="2" s="1"/>
  <c r="AH70" i="2"/>
  <c r="AY70" i="2" s="1"/>
  <c r="AG70" i="2"/>
  <c r="AX70" i="2" s="1"/>
  <c r="AF70" i="2"/>
  <c r="AE70" i="2"/>
  <c r="AD70" i="2"/>
  <c r="AU70" i="2" s="1"/>
  <c r="AC70" i="2"/>
  <c r="AT70" i="2" s="1"/>
  <c r="AB70" i="2"/>
  <c r="AS70" i="2" s="1"/>
  <c r="AA70" i="2"/>
  <c r="AR70" i="2" s="1"/>
  <c r="Z70" i="2"/>
  <c r="Y70" i="2"/>
  <c r="X70" i="2"/>
  <c r="AO70" i="2" s="1"/>
  <c r="AM69" i="2"/>
  <c r="BD69" i="2" s="1"/>
  <c r="AL69" i="2"/>
  <c r="BC69" i="2" s="1"/>
  <c r="AK69" i="2"/>
  <c r="BB69" i="2" s="1"/>
  <c r="AJ69" i="2"/>
  <c r="BA69" i="2" s="1"/>
  <c r="AI69" i="2"/>
  <c r="AZ69" i="2" s="1"/>
  <c r="AH69" i="2"/>
  <c r="AY69" i="2" s="1"/>
  <c r="AG69" i="2"/>
  <c r="AX69" i="2" s="1"/>
  <c r="AF69" i="2"/>
  <c r="AW69" i="2" s="1"/>
  <c r="AE69" i="2"/>
  <c r="AV69" i="2" s="1"/>
  <c r="AD69" i="2"/>
  <c r="AU69" i="2" s="1"/>
  <c r="AC69" i="2"/>
  <c r="AT69" i="2" s="1"/>
  <c r="AB69" i="2"/>
  <c r="AA69" i="2"/>
  <c r="AR69" i="2" s="1"/>
  <c r="Z69" i="2"/>
  <c r="Y69" i="2"/>
  <c r="X69" i="2"/>
  <c r="AM68" i="2"/>
  <c r="BD68" i="2" s="1"/>
  <c r="AL68" i="2"/>
  <c r="BC68" i="2" s="1"/>
  <c r="AK68" i="2"/>
  <c r="BB68" i="2" s="1"/>
  <c r="AJ68" i="2"/>
  <c r="BA68" i="2" s="1"/>
  <c r="AI68" i="2"/>
  <c r="AZ68" i="2" s="1"/>
  <c r="AH68" i="2"/>
  <c r="AY68" i="2" s="1"/>
  <c r="AG68" i="2"/>
  <c r="AX68" i="2" s="1"/>
  <c r="AF68" i="2"/>
  <c r="AW68" i="2" s="1"/>
  <c r="AE68" i="2"/>
  <c r="AV68" i="2" s="1"/>
  <c r="AD68" i="2"/>
  <c r="AU68" i="2" s="1"/>
  <c r="AC68" i="2"/>
  <c r="AT68" i="2" s="1"/>
  <c r="AB68" i="2"/>
  <c r="AA68" i="2"/>
  <c r="AR68" i="2" s="1"/>
  <c r="Z68" i="2"/>
  <c r="Y68" i="2"/>
  <c r="X68" i="2"/>
  <c r="AM53" i="2"/>
  <c r="BD53" i="2" s="1"/>
  <c r="AL53" i="2"/>
  <c r="BC53" i="2" s="1"/>
  <c r="AK53" i="2"/>
  <c r="BB53" i="2" s="1"/>
  <c r="AJ53" i="2"/>
  <c r="BA53" i="2" s="1"/>
  <c r="AI53" i="2"/>
  <c r="AZ53" i="2" s="1"/>
  <c r="AH53" i="2"/>
  <c r="AY53" i="2" s="1"/>
  <c r="AG53" i="2"/>
  <c r="AX53" i="2" s="1"/>
  <c r="AF53" i="2"/>
  <c r="AW53" i="2" s="1"/>
  <c r="AE53" i="2"/>
  <c r="AV53" i="2" s="1"/>
  <c r="AD53" i="2"/>
  <c r="AU53" i="2" s="1"/>
  <c r="AC53" i="2"/>
  <c r="AT53" i="2" s="1"/>
  <c r="AB53" i="2"/>
  <c r="AA53" i="2"/>
  <c r="AR53" i="2" s="1"/>
  <c r="Z53" i="2"/>
  <c r="Y53" i="2"/>
  <c r="AM52" i="2"/>
  <c r="BD52" i="2" s="1"/>
  <c r="AL52" i="2"/>
  <c r="BC52" i="2" s="1"/>
  <c r="AK52" i="2"/>
  <c r="BB52" i="2" s="1"/>
  <c r="AJ52" i="2"/>
  <c r="BA52" i="2" s="1"/>
  <c r="AG52" i="2"/>
  <c r="AX52" i="2" s="1"/>
  <c r="AF52" i="2"/>
  <c r="AW52" i="2" s="1"/>
  <c r="AE52" i="2"/>
  <c r="AV52" i="2" s="1"/>
  <c r="AD52" i="2"/>
  <c r="AU52" i="2" s="1"/>
  <c r="AC52" i="2"/>
  <c r="AT52" i="2" s="1"/>
  <c r="AB52" i="2"/>
  <c r="AS52" i="2" s="1"/>
  <c r="AA52" i="2"/>
  <c r="AR52" i="2" s="1"/>
  <c r="Z52" i="2"/>
  <c r="AQ52" i="2" s="1"/>
  <c r="Y52" i="2"/>
  <c r="AM51" i="2"/>
  <c r="BD51" i="2" s="1"/>
  <c r="AL51" i="2"/>
  <c r="BC51" i="2" s="1"/>
  <c r="AK51" i="2"/>
  <c r="BB51" i="2" s="1"/>
  <c r="AJ51" i="2"/>
  <c r="BA51" i="2" s="1"/>
  <c r="AI51" i="2"/>
  <c r="AZ51" i="2" s="1"/>
  <c r="AH51" i="2"/>
  <c r="AY51" i="2" s="1"/>
  <c r="AG51" i="2"/>
  <c r="AX51" i="2" s="1"/>
  <c r="AF51" i="2"/>
  <c r="AW51" i="2" s="1"/>
  <c r="AE51" i="2"/>
  <c r="AV51" i="2" s="1"/>
  <c r="AD51" i="2"/>
  <c r="AU51" i="2" s="1"/>
  <c r="AC51" i="2"/>
  <c r="AT51" i="2" s="1"/>
  <c r="AB51" i="2"/>
  <c r="AS51" i="2" s="1"/>
  <c r="AA51" i="2"/>
  <c r="AR51" i="2" s="1"/>
  <c r="Z51" i="2"/>
  <c r="AQ51" i="2" s="1"/>
  <c r="Y51" i="2"/>
  <c r="X51" i="2"/>
  <c r="AM50" i="2"/>
  <c r="BD50" i="2" s="1"/>
  <c r="AL50" i="2"/>
  <c r="BC50" i="2" s="1"/>
  <c r="AJ50" i="2"/>
  <c r="BA50" i="2" s="1"/>
  <c r="AI50" i="2"/>
  <c r="AZ50" i="2" s="1"/>
  <c r="AH50" i="2"/>
  <c r="AY50" i="2" s="1"/>
  <c r="AF50" i="2"/>
  <c r="AW50" i="2" s="1"/>
  <c r="AE50" i="2"/>
  <c r="AV50" i="2" s="1"/>
  <c r="AD50" i="2"/>
  <c r="AU50" i="2" s="1"/>
  <c r="AC50" i="2"/>
  <c r="AT50" i="2" s="1"/>
  <c r="AA50" i="2"/>
  <c r="AR50" i="2" s="1"/>
  <c r="Y50" i="2"/>
  <c r="AM49" i="2"/>
  <c r="BD49" i="2" s="1"/>
  <c r="AL49" i="2"/>
  <c r="BC49" i="2" s="1"/>
  <c r="AI49" i="2"/>
  <c r="AZ49" i="2" s="1"/>
  <c r="AH49" i="2"/>
  <c r="AY49" i="2" s="1"/>
  <c r="AG49" i="2"/>
  <c r="AX49" i="2" s="1"/>
  <c r="AF49" i="2"/>
  <c r="AW49" i="2" s="1"/>
  <c r="AE49" i="2"/>
  <c r="AV49" i="2" s="1"/>
  <c r="AD49" i="2"/>
  <c r="AU49" i="2" s="1"/>
  <c r="AC49" i="2"/>
  <c r="AT49" i="2" s="1"/>
  <c r="AB49" i="2"/>
  <c r="AA49" i="2"/>
  <c r="AR49" i="2" s="1"/>
  <c r="Z49" i="2"/>
  <c r="Y49" i="2"/>
  <c r="AM48" i="2"/>
  <c r="BD48" i="2" s="1"/>
  <c r="AL48" i="2"/>
  <c r="BC48" i="2" s="1"/>
  <c r="AK48" i="2"/>
  <c r="BB48" i="2" s="1"/>
  <c r="AJ48" i="2"/>
  <c r="BA48" i="2" s="1"/>
  <c r="AI48" i="2"/>
  <c r="AZ48" i="2" s="1"/>
  <c r="AH48" i="2"/>
  <c r="AY48" i="2" s="1"/>
  <c r="AG48" i="2"/>
  <c r="AX48" i="2" s="1"/>
  <c r="AF48" i="2"/>
  <c r="AW48" i="2" s="1"/>
  <c r="AE48" i="2"/>
  <c r="AV48" i="2" s="1"/>
  <c r="AD48" i="2"/>
  <c r="AU48" i="2" s="1"/>
  <c r="AC48" i="2"/>
  <c r="AT48" i="2" s="1"/>
  <c r="AB48" i="2"/>
  <c r="AS48" i="2" s="1"/>
  <c r="AA48" i="2"/>
  <c r="AR48" i="2" s="1"/>
  <c r="Z48" i="2"/>
  <c r="AQ48" i="2" s="1"/>
  <c r="Y48" i="2"/>
  <c r="X48" i="2"/>
  <c r="AM47" i="2"/>
  <c r="BD47" i="2" s="1"/>
  <c r="AL47" i="2"/>
  <c r="BC47" i="2" s="1"/>
  <c r="AK47" i="2"/>
  <c r="BB47" i="2" s="1"/>
  <c r="AJ47" i="2"/>
  <c r="BA47" i="2" s="1"/>
  <c r="AI47" i="2"/>
  <c r="AZ47" i="2" s="1"/>
  <c r="AH47" i="2"/>
  <c r="AY47" i="2" s="1"/>
  <c r="AG47" i="2"/>
  <c r="AX47" i="2" s="1"/>
  <c r="AF47" i="2"/>
  <c r="AW47" i="2" s="1"/>
  <c r="AE47" i="2"/>
  <c r="AV47" i="2" s="1"/>
  <c r="AD47" i="2"/>
  <c r="AU47" i="2" s="1"/>
  <c r="AC47" i="2"/>
  <c r="AB47" i="2"/>
  <c r="AA47" i="2"/>
  <c r="AR47" i="2" s="1"/>
  <c r="Z47" i="2"/>
  <c r="Y47" i="2"/>
  <c r="X47" i="2"/>
  <c r="D47" i="2"/>
  <c r="AM46" i="2"/>
  <c r="BD46" i="2" s="1"/>
  <c r="AL46" i="2"/>
  <c r="BC46" i="2" s="1"/>
  <c r="AK46" i="2"/>
  <c r="BB46" i="2" s="1"/>
  <c r="AJ46" i="2"/>
  <c r="BA46" i="2" s="1"/>
  <c r="AI46" i="2"/>
  <c r="AZ46" i="2" s="1"/>
  <c r="AH46" i="2"/>
  <c r="AY46" i="2" s="1"/>
  <c r="AG46" i="2"/>
  <c r="AX46" i="2" s="1"/>
  <c r="AF46" i="2"/>
  <c r="AW46" i="2" s="1"/>
  <c r="AE46" i="2"/>
  <c r="AV46" i="2" s="1"/>
  <c r="AD46" i="2"/>
  <c r="AU46" i="2" s="1"/>
  <c r="AC46" i="2"/>
  <c r="AT46" i="2" s="1"/>
  <c r="AB46" i="2"/>
  <c r="AA46" i="2"/>
  <c r="AR46" i="2" s="1"/>
  <c r="Z46" i="2"/>
  <c r="Y46" i="2"/>
  <c r="X46" i="2"/>
  <c r="D46" i="2"/>
  <c r="AM45" i="2"/>
  <c r="BD45" i="2" s="1"/>
  <c r="AL45" i="2"/>
  <c r="BC45" i="2" s="1"/>
  <c r="AK45" i="2"/>
  <c r="BB45" i="2" s="1"/>
  <c r="AJ45" i="2"/>
  <c r="BA45" i="2" s="1"/>
  <c r="AI45" i="2"/>
  <c r="AZ45" i="2" s="1"/>
  <c r="AH45" i="2"/>
  <c r="AY45" i="2" s="1"/>
  <c r="AG45" i="2"/>
  <c r="AX45" i="2" s="1"/>
  <c r="AF45" i="2"/>
  <c r="AW45" i="2" s="1"/>
  <c r="AE45" i="2"/>
  <c r="AV45" i="2" s="1"/>
  <c r="AD45" i="2"/>
  <c r="AU45" i="2" s="1"/>
  <c r="AC45" i="2"/>
  <c r="AB45" i="2"/>
  <c r="AS45" i="2" s="1"/>
  <c r="AA45" i="2"/>
  <c r="AR45" i="2" s="1"/>
  <c r="Z45" i="2"/>
  <c r="AQ45" i="2" s="1"/>
  <c r="Y45" i="2"/>
  <c r="X45" i="2"/>
  <c r="D45" i="2"/>
  <c r="AM44" i="2"/>
  <c r="BD44" i="2" s="1"/>
  <c r="AL44" i="2"/>
  <c r="BC44" i="2" s="1"/>
  <c r="AK44" i="2"/>
  <c r="BB44" i="2" s="1"/>
  <c r="AJ44" i="2"/>
  <c r="BA44" i="2" s="1"/>
  <c r="AI44" i="2"/>
  <c r="AZ44" i="2" s="1"/>
  <c r="AH44" i="2"/>
  <c r="AY44" i="2" s="1"/>
  <c r="AG44" i="2"/>
  <c r="AX44" i="2" s="1"/>
  <c r="AF44" i="2"/>
  <c r="AW44" i="2" s="1"/>
  <c r="AE44" i="2"/>
  <c r="AV44" i="2" s="1"/>
  <c r="AD44" i="2"/>
  <c r="AU44" i="2" s="1"/>
  <c r="AC44" i="2"/>
  <c r="AT44" i="2" s="1"/>
  <c r="AB44" i="2"/>
  <c r="AS44" i="2" s="1"/>
  <c r="AA44" i="2"/>
  <c r="AR44" i="2" s="1"/>
  <c r="Z44" i="2"/>
  <c r="AQ44" i="2" s="1"/>
  <c r="Y44" i="2"/>
  <c r="X44" i="2"/>
  <c r="D44" i="2"/>
  <c r="B44" i="2"/>
  <c r="B45" i="2" s="1"/>
  <c r="B46" i="2" s="1"/>
  <c r="B47" i="2" s="1"/>
  <c r="B49" i="2" s="1"/>
  <c r="B50" i="2" s="1"/>
  <c r="B51" i="2" s="1"/>
  <c r="B52" i="2" s="1"/>
  <c r="AM43" i="2"/>
  <c r="BD43" i="2" s="1"/>
  <c r="AL43" i="2"/>
  <c r="BC43" i="2" s="1"/>
  <c r="AK43" i="2"/>
  <c r="BB43" i="2" s="1"/>
  <c r="AJ43" i="2"/>
  <c r="BA43" i="2" s="1"/>
  <c r="AI43" i="2"/>
  <c r="AZ43" i="2" s="1"/>
  <c r="AH43" i="2"/>
  <c r="AY43" i="2" s="1"/>
  <c r="AG43" i="2"/>
  <c r="AX43" i="2" s="1"/>
  <c r="AF43" i="2"/>
  <c r="AW43" i="2" s="1"/>
  <c r="AE43" i="2"/>
  <c r="AV43" i="2" s="1"/>
  <c r="AD43" i="2"/>
  <c r="AU43" i="2" s="1"/>
  <c r="AC43" i="2"/>
  <c r="AT43" i="2" s="1"/>
  <c r="AB43" i="2"/>
  <c r="AS43" i="2" s="1"/>
  <c r="AA43" i="2"/>
  <c r="AR43" i="2" s="1"/>
  <c r="Z43" i="2"/>
  <c r="AQ43" i="2" s="1"/>
  <c r="Y43" i="2"/>
  <c r="X43" i="2"/>
  <c r="AM42" i="2"/>
  <c r="BD42" i="2" s="1"/>
  <c r="AL42" i="2"/>
  <c r="BC42" i="2" s="1"/>
  <c r="AK42" i="2"/>
  <c r="BB42" i="2" s="1"/>
  <c r="AJ42" i="2"/>
  <c r="BA42" i="2" s="1"/>
  <c r="AI42" i="2"/>
  <c r="AZ42" i="2" s="1"/>
  <c r="AH42" i="2"/>
  <c r="AY42" i="2" s="1"/>
  <c r="AG42" i="2"/>
  <c r="AX42" i="2" s="1"/>
  <c r="AF42" i="2"/>
  <c r="AE42" i="2"/>
  <c r="AD42" i="2"/>
  <c r="AU42" i="2" s="1"/>
  <c r="AC42" i="2"/>
  <c r="AB42" i="2"/>
  <c r="AA42" i="2"/>
  <c r="Z42" i="2"/>
  <c r="AQ42" i="2" s="1"/>
  <c r="Y42" i="2"/>
  <c r="X42" i="2"/>
  <c r="AO42" i="2" s="1"/>
  <c r="AM41" i="2"/>
  <c r="BD41" i="2" s="1"/>
  <c r="AL41" i="2"/>
  <c r="BC41" i="2" s="1"/>
  <c r="AK41" i="2"/>
  <c r="BB41" i="2" s="1"/>
  <c r="AJ41" i="2"/>
  <c r="BA41" i="2" s="1"/>
  <c r="AG41" i="2"/>
  <c r="AX41" i="2" s="1"/>
  <c r="AF41" i="2"/>
  <c r="AW41" i="2" s="1"/>
  <c r="AE41" i="2"/>
  <c r="AV41" i="2" s="1"/>
  <c r="AD41" i="2"/>
  <c r="AU41" i="2" s="1"/>
  <c r="AC41" i="2"/>
  <c r="AT41" i="2" s="1"/>
  <c r="AB41" i="2"/>
  <c r="AS41" i="2" s="1"/>
  <c r="AA41" i="2"/>
  <c r="AR41" i="2" s="1"/>
  <c r="Z41" i="2"/>
  <c r="AQ41" i="2" s="1"/>
  <c r="Y41" i="2"/>
  <c r="D41" i="2"/>
  <c r="AM40" i="2"/>
  <c r="BD40" i="2" s="1"/>
  <c r="AL40" i="2"/>
  <c r="BC40" i="2" s="1"/>
  <c r="AJ40" i="2"/>
  <c r="BA40" i="2" s="1"/>
  <c r="AI40" i="2"/>
  <c r="AZ40" i="2" s="1"/>
  <c r="AH40" i="2"/>
  <c r="AY40" i="2" s="1"/>
  <c r="AG40" i="2"/>
  <c r="AX40" i="2" s="1"/>
  <c r="AF40" i="2"/>
  <c r="AW40" i="2" s="1"/>
  <c r="AE40" i="2"/>
  <c r="AV40" i="2" s="1"/>
  <c r="AD40" i="2"/>
  <c r="AU40" i="2" s="1"/>
  <c r="AC40" i="2"/>
  <c r="AT40" i="2" s="1"/>
  <c r="AB40" i="2"/>
  <c r="AA40" i="2"/>
  <c r="Z40" i="2"/>
  <c r="Y40" i="2"/>
  <c r="D40" i="2"/>
  <c r="AM39" i="2"/>
  <c r="BD39" i="2" s="1"/>
  <c r="AL39" i="2"/>
  <c r="BC39" i="2" s="1"/>
  <c r="AK39" i="2"/>
  <c r="BB39" i="2" s="1"/>
  <c r="AJ39" i="2"/>
  <c r="BA39" i="2" s="1"/>
  <c r="AI39" i="2"/>
  <c r="AZ39" i="2" s="1"/>
  <c r="AH39" i="2"/>
  <c r="AY39" i="2" s="1"/>
  <c r="AG39" i="2"/>
  <c r="AX39" i="2" s="1"/>
  <c r="AF39" i="2"/>
  <c r="AE39" i="2"/>
  <c r="AV39" i="2" s="1"/>
  <c r="AD39" i="2"/>
  <c r="AU39" i="2" s="1"/>
  <c r="AC39" i="2"/>
  <c r="AT39" i="2" s="1"/>
  <c r="AB39" i="2"/>
  <c r="AA39" i="2"/>
  <c r="Z39" i="2"/>
  <c r="Y39" i="2"/>
  <c r="D39" i="2"/>
  <c r="AM38" i="2"/>
  <c r="BD38" i="2" s="1"/>
  <c r="AL38" i="2"/>
  <c r="BC38" i="2" s="1"/>
  <c r="AK38" i="2"/>
  <c r="BB38" i="2" s="1"/>
  <c r="AJ38" i="2"/>
  <c r="BA38" i="2" s="1"/>
  <c r="AI38" i="2"/>
  <c r="AZ38" i="2" s="1"/>
  <c r="AH38" i="2"/>
  <c r="AY38" i="2" s="1"/>
  <c r="AG38" i="2"/>
  <c r="AX38" i="2" s="1"/>
  <c r="AF38" i="2"/>
  <c r="AW38" i="2" s="1"/>
  <c r="AE38" i="2"/>
  <c r="AV38" i="2" s="1"/>
  <c r="AD38" i="2"/>
  <c r="AU38" i="2" s="1"/>
  <c r="AC38" i="2"/>
  <c r="AT38" i="2" s="1"/>
  <c r="AB38" i="2"/>
  <c r="AS38" i="2" s="1"/>
  <c r="AA38" i="2"/>
  <c r="AR38" i="2" s="1"/>
  <c r="Z38" i="2"/>
  <c r="AQ38" i="2" s="1"/>
  <c r="Y38" i="2"/>
  <c r="X38" i="2"/>
  <c r="AM37" i="2"/>
  <c r="BD37" i="2" s="1"/>
  <c r="AL37" i="2"/>
  <c r="BC37" i="2" s="1"/>
  <c r="AK37" i="2"/>
  <c r="BB37" i="2" s="1"/>
  <c r="AJ37" i="2"/>
  <c r="BA37" i="2" s="1"/>
  <c r="AI37" i="2"/>
  <c r="AZ37" i="2" s="1"/>
  <c r="AH37" i="2"/>
  <c r="AY37" i="2" s="1"/>
  <c r="AG37" i="2"/>
  <c r="AX37" i="2" s="1"/>
  <c r="AF37" i="2"/>
  <c r="AW37" i="2" s="1"/>
  <c r="AE37" i="2"/>
  <c r="AV37" i="2" s="1"/>
  <c r="AD37" i="2"/>
  <c r="AU37" i="2" s="1"/>
  <c r="AC37" i="2"/>
  <c r="AB37" i="2"/>
  <c r="AS37" i="2" s="1"/>
  <c r="AA37" i="2"/>
  <c r="AR37" i="2" s="1"/>
  <c r="Z37" i="2"/>
  <c r="AQ37" i="2" s="1"/>
  <c r="Y37" i="2"/>
  <c r="X37" i="2"/>
  <c r="D37" i="2"/>
  <c r="AM36" i="2"/>
  <c r="BD36" i="2" s="1"/>
  <c r="AL36" i="2"/>
  <c r="BC36" i="2" s="1"/>
  <c r="AK36" i="2"/>
  <c r="BB36" i="2" s="1"/>
  <c r="AJ36" i="2"/>
  <c r="BA36" i="2" s="1"/>
  <c r="AI36" i="2"/>
  <c r="AZ36" i="2" s="1"/>
  <c r="AH36" i="2"/>
  <c r="AY36" i="2" s="1"/>
  <c r="AG36" i="2"/>
  <c r="AX36" i="2" s="1"/>
  <c r="AF36" i="2"/>
  <c r="AW36" i="2" s="1"/>
  <c r="AE36" i="2"/>
  <c r="AV36" i="2" s="1"/>
  <c r="AD36" i="2"/>
  <c r="AU36" i="2" s="1"/>
  <c r="AC36" i="2"/>
  <c r="AB36" i="2"/>
  <c r="AA36" i="2"/>
  <c r="AR36" i="2" s="1"/>
  <c r="Z36" i="2"/>
  <c r="Y36" i="2"/>
  <c r="X36" i="2"/>
  <c r="D36" i="2"/>
  <c r="AM35" i="2"/>
  <c r="BD35" i="2" s="1"/>
  <c r="AL35" i="2"/>
  <c r="BC35" i="2" s="1"/>
  <c r="AK35" i="2"/>
  <c r="BB35" i="2" s="1"/>
  <c r="AJ35" i="2"/>
  <c r="BA35" i="2" s="1"/>
  <c r="AI35" i="2"/>
  <c r="AZ35" i="2" s="1"/>
  <c r="AH35" i="2"/>
  <c r="AY35" i="2" s="1"/>
  <c r="AG35" i="2"/>
  <c r="AX35" i="2" s="1"/>
  <c r="AF35" i="2"/>
  <c r="AW35" i="2" s="1"/>
  <c r="AE35" i="2"/>
  <c r="AV35" i="2" s="1"/>
  <c r="AD35" i="2"/>
  <c r="AU35" i="2" s="1"/>
  <c r="AC35" i="2"/>
  <c r="AT35" i="2" s="1"/>
  <c r="AB35" i="2"/>
  <c r="AA35" i="2"/>
  <c r="AR35" i="2" s="1"/>
  <c r="Z35" i="2"/>
  <c r="Y35" i="2"/>
  <c r="D35" i="2"/>
  <c r="AM34" i="2"/>
  <c r="BD34" i="2" s="1"/>
  <c r="AL34" i="2"/>
  <c r="BC34" i="2" s="1"/>
  <c r="AK34" i="2"/>
  <c r="BB34" i="2" s="1"/>
  <c r="AJ34" i="2"/>
  <c r="BA34" i="2" s="1"/>
  <c r="AI34" i="2"/>
  <c r="AZ34" i="2" s="1"/>
  <c r="AH34" i="2"/>
  <c r="AY34" i="2" s="1"/>
  <c r="AG34" i="2"/>
  <c r="AX34" i="2" s="1"/>
  <c r="AF34" i="2"/>
  <c r="AW34" i="2" s="1"/>
  <c r="AE34" i="2"/>
  <c r="AV34" i="2" s="1"/>
  <c r="AD34" i="2"/>
  <c r="AU34" i="2" s="1"/>
  <c r="AC34" i="2"/>
  <c r="AB34" i="2"/>
  <c r="AS34" i="2" s="1"/>
  <c r="AA34" i="2"/>
  <c r="AR34" i="2" s="1"/>
  <c r="Z34" i="2"/>
  <c r="AQ34" i="2" s="1"/>
  <c r="Y34" i="2"/>
  <c r="X34" i="2"/>
  <c r="D34" i="2"/>
  <c r="AM33" i="2"/>
  <c r="BD33" i="2" s="1"/>
  <c r="AL33" i="2"/>
  <c r="BC33" i="2" s="1"/>
  <c r="AK33" i="2"/>
  <c r="BB33" i="2" s="1"/>
  <c r="AJ33" i="2"/>
  <c r="BA33" i="2" s="1"/>
  <c r="AI33" i="2"/>
  <c r="AZ33" i="2" s="1"/>
  <c r="AH33" i="2"/>
  <c r="AY33" i="2" s="1"/>
  <c r="AG33" i="2"/>
  <c r="AX33" i="2" s="1"/>
  <c r="AF33" i="2"/>
  <c r="AW33" i="2" s="1"/>
  <c r="AE33" i="2"/>
  <c r="AV33" i="2" s="1"/>
  <c r="AD33" i="2"/>
  <c r="AU33" i="2" s="1"/>
  <c r="AC33" i="2"/>
  <c r="AT33" i="2" s="1"/>
  <c r="AB33" i="2"/>
  <c r="AS33" i="2" s="1"/>
  <c r="AA33" i="2"/>
  <c r="AR33" i="2" s="1"/>
  <c r="Z33" i="2"/>
  <c r="AQ33" i="2" s="1"/>
  <c r="Y33" i="2"/>
  <c r="D33" i="2"/>
  <c r="AM32" i="2"/>
  <c r="BD32" i="2" s="1"/>
  <c r="AL32" i="2"/>
  <c r="BC32" i="2" s="1"/>
  <c r="AK32" i="2"/>
  <c r="BB32" i="2" s="1"/>
  <c r="AJ32" i="2"/>
  <c r="BA32" i="2" s="1"/>
  <c r="AI32" i="2"/>
  <c r="AZ32" i="2" s="1"/>
  <c r="AH32" i="2"/>
  <c r="AY32" i="2" s="1"/>
  <c r="AG32" i="2"/>
  <c r="AX32" i="2" s="1"/>
  <c r="AF32" i="2"/>
  <c r="AW32" i="2" s="1"/>
  <c r="AE32" i="2"/>
  <c r="AV32" i="2" s="1"/>
  <c r="AD32" i="2"/>
  <c r="AU32" i="2" s="1"/>
  <c r="AC32" i="2"/>
  <c r="AT32" i="2" s="1"/>
  <c r="AB32" i="2"/>
  <c r="AS32" i="2" s="1"/>
  <c r="AA32" i="2"/>
  <c r="AR32" i="2" s="1"/>
  <c r="Z32" i="2"/>
  <c r="AQ32" i="2" s="1"/>
  <c r="Y32" i="2"/>
  <c r="X32" i="2"/>
  <c r="AM31" i="2"/>
  <c r="BD31" i="2" s="1"/>
  <c r="AL31" i="2"/>
  <c r="BC31" i="2" s="1"/>
  <c r="AK31" i="2"/>
  <c r="BB31" i="2" s="1"/>
  <c r="AJ31" i="2"/>
  <c r="BA31" i="2" s="1"/>
  <c r="AI31" i="2"/>
  <c r="AZ31" i="2" s="1"/>
  <c r="AH31" i="2"/>
  <c r="AY31" i="2" s="1"/>
  <c r="AG31" i="2"/>
  <c r="AX31" i="2" s="1"/>
  <c r="AF31" i="2"/>
  <c r="AW31" i="2" s="1"/>
  <c r="AE31" i="2"/>
  <c r="AV31" i="2" s="1"/>
  <c r="AD31" i="2"/>
  <c r="AU31" i="2" s="1"/>
  <c r="AC31" i="2"/>
  <c r="AT31" i="2" s="1"/>
  <c r="AB31" i="2"/>
  <c r="AS31" i="2" s="1"/>
  <c r="AA31" i="2"/>
  <c r="AR31" i="2" s="1"/>
  <c r="Z31" i="2"/>
  <c r="AQ31" i="2" s="1"/>
  <c r="Y31" i="2"/>
  <c r="X31" i="2"/>
  <c r="D31" i="2"/>
  <c r="B31" i="2"/>
  <c r="B33" i="2" s="1"/>
  <c r="B34" i="2" s="1"/>
  <c r="B35" i="2" s="1"/>
  <c r="B36" i="2" s="1"/>
  <c r="B37" i="2" s="1"/>
  <c r="B39" i="2" s="1"/>
  <c r="B40" i="2" s="1"/>
  <c r="B41" i="2" s="1"/>
  <c r="AM30" i="2"/>
  <c r="BD30" i="2" s="1"/>
  <c r="AL30" i="2"/>
  <c r="BC30" i="2" s="1"/>
  <c r="AK30" i="2"/>
  <c r="BB30" i="2" s="1"/>
  <c r="AJ30" i="2"/>
  <c r="BA30" i="2" s="1"/>
  <c r="AI30" i="2"/>
  <c r="AZ30" i="2" s="1"/>
  <c r="AH30" i="2"/>
  <c r="AY30" i="2" s="1"/>
  <c r="AG30" i="2"/>
  <c r="AX30" i="2" s="1"/>
  <c r="AF30" i="2"/>
  <c r="AW30" i="2" s="1"/>
  <c r="AE30" i="2"/>
  <c r="AV30" i="2" s="1"/>
  <c r="AD30" i="2"/>
  <c r="AU30" i="2" s="1"/>
  <c r="AC30" i="2"/>
  <c r="AT30" i="2" s="1"/>
  <c r="AB30" i="2"/>
  <c r="AS30" i="2" s="1"/>
  <c r="AA30" i="2"/>
  <c r="AR30" i="2" s="1"/>
  <c r="Z30" i="2"/>
  <c r="AQ30" i="2" s="1"/>
  <c r="Y30" i="2"/>
  <c r="X30" i="2"/>
  <c r="D30" i="2"/>
  <c r="AM29" i="2"/>
  <c r="BD29" i="2" s="1"/>
  <c r="AL29" i="2"/>
  <c r="BC29" i="2" s="1"/>
  <c r="AK29" i="2"/>
  <c r="BB29" i="2" s="1"/>
  <c r="AJ29" i="2"/>
  <c r="BA29" i="2" s="1"/>
  <c r="AI29" i="2"/>
  <c r="AZ29" i="2" s="1"/>
  <c r="AH29" i="2"/>
  <c r="AY29" i="2" s="1"/>
  <c r="AG29" i="2"/>
  <c r="AX29" i="2" s="1"/>
  <c r="AF29" i="2"/>
  <c r="AW29" i="2" s="1"/>
  <c r="AE29" i="2"/>
  <c r="AV29" i="2" s="1"/>
  <c r="AD29" i="2"/>
  <c r="AU29" i="2" s="1"/>
  <c r="AC29" i="2"/>
  <c r="AT29" i="2" s="1"/>
  <c r="AB29" i="2"/>
  <c r="AS29" i="2" s="1"/>
  <c r="AA29" i="2"/>
  <c r="AR29" i="2" s="1"/>
  <c r="Z29" i="2"/>
  <c r="AQ29" i="2" s="1"/>
  <c r="Y29" i="2"/>
  <c r="X29" i="2"/>
  <c r="AM28" i="2"/>
  <c r="BD28" i="2" s="1"/>
  <c r="AL28" i="2"/>
  <c r="BC28" i="2" s="1"/>
  <c r="AK28" i="2"/>
  <c r="BB28" i="2" s="1"/>
  <c r="AJ28" i="2"/>
  <c r="BA28" i="2" s="1"/>
  <c r="AI28" i="2"/>
  <c r="AZ28" i="2" s="1"/>
  <c r="AH28" i="2"/>
  <c r="AY28" i="2" s="1"/>
  <c r="AG28" i="2"/>
  <c r="AX28" i="2" s="1"/>
  <c r="AF28" i="2"/>
  <c r="AW28" i="2" s="1"/>
  <c r="AE28" i="2"/>
  <c r="AD28" i="2"/>
  <c r="AC28" i="2"/>
  <c r="AB28" i="2"/>
  <c r="AS28" i="2" s="1"/>
  <c r="AA28" i="2"/>
  <c r="Z28" i="2"/>
  <c r="Y28" i="2"/>
  <c r="X28" i="2"/>
  <c r="AO28" i="2" s="1"/>
  <c r="AM25" i="2"/>
  <c r="BD25" i="2" s="1"/>
  <c r="AL25" i="2"/>
  <c r="AK25" i="2"/>
  <c r="BB25" i="2" s="1"/>
  <c r="AJ25" i="2"/>
  <c r="BA25" i="2" s="1"/>
  <c r="AI25" i="2"/>
  <c r="AZ25" i="2" s="1"/>
  <c r="AH25" i="2"/>
  <c r="AY25" i="2" s="1"/>
  <c r="AG25" i="2"/>
  <c r="AX25" i="2" s="1"/>
  <c r="AF25" i="2"/>
  <c r="AE25" i="2"/>
  <c r="AD25" i="2"/>
  <c r="AC25" i="2"/>
  <c r="AT25" i="2" s="1"/>
  <c r="AB25" i="2"/>
  <c r="AA25" i="2"/>
  <c r="Z25" i="2"/>
  <c r="Y25" i="2"/>
  <c r="X25" i="2"/>
  <c r="D25" i="2"/>
  <c r="AM24" i="2"/>
  <c r="BD24" i="2" s="1"/>
  <c r="AK24" i="2"/>
  <c r="BB24" i="2" s="1"/>
  <c r="AJ24" i="2"/>
  <c r="BA24" i="2" s="1"/>
  <c r="AI24" i="2"/>
  <c r="AZ24" i="2" s="1"/>
  <c r="AH24" i="2"/>
  <c r="AY24" i="2" s="1"/>
  <c r="AG24" i="2"/>
  <c r="AX24" i="2" s="1"/>
  <c r="AF24" i="2"/>
  <c r="AW24" i="2" s="1"/>
  <c r="AE24" i="2"/>
  <c r="AV24" i="2" s="1"/>
  <c r="AD24" i="2"/>
  <c r="AU24" i="2" s="1"/>
  <c r="AC24" i="2"/>
  <c r="AT24" i="2" s="1"/>
  <c r="AB24" i="2"/>
  <c r="AA24" i="2"/>
  <c r="Z24" i="2"/>
  <c r="Y24" i="2"/>
  <c r="D24" i="2"/>
  <c r="AM23" i="2"/>
  <c r="BD23" i="2" s="1"/>
  <c r="AL23" i="2"/>
  <c r="BC23" i="2" s="1"/>
  <c r="AK23" i="2"/>
  <c r="BB23" i="2" s="1"/>
  <c r="AJ23" i="2"/>
  <c r="BA23" i="2" s="1"/>
  <c r="AI23" i="2"/>
  <c r="AZ23" i="2" s="1"/>
  <c r="AH23" i="2"/>
  <c r="AY23" i="2" s="1"/>
  <c r="AG23" i="2"/>
  <c r="AX23" i="2" s="1"/>
  <c r="AF23" i="2"/>
  <c r="AE23" i="2"/>
  <c r="AD23" i="2"/>
  <c r="AC23" i="2"/>
  <c r="AT23" i="2" s="1"/>
  <c r="AB23" i="2"/>
  <c r="AA23" i="2"/>
  <c r="Z23" i="2"/>
  <c r="Y23" i="2"/>
  <c r="X23" i="2"/>
  <c r="D23" i="2"/>
  <c r="AM22" i="2"/>
  <c r="BD22" i="2" s="1"/>
  <c r="AL22" i="2"/>
  <c r="BC22" i="2" s="1"/>
  <c r="AK22" i="2"/>
  <c r="BB22" i="2" s="1"/>
  <c r="AJ22" i="2"/>
  <c r="BA22" i="2" s="1"/>
  <c r="AI22" i="2"/>
  <c r="AZ22" i="2" s="1"/>
  <c r="AH22" i="2"/>
  <c r="AY22" i="2" s="1"/>
  <c r="AG22" i="2"/>
  <c r="AX22" i="2" s="1"/>
  <c r="AF22" i="2"/>
  <c r="AW22" i="2" s="1"/>
  <c r="AE22" i="2"/>
  <c r="AV22" i="2" s="1"/>
  <c r="AD22" i="2"/>
  <c r="AU22" i="2" s="1"/>
  <c r="AC22" i="2"/>
  <c r="AT22" i="2" s="1"/>
  <c r="AB22" i="2"/>
  <c r="AA22" i="2"/>
  <c r="Z22" i="2"/>
  <c r="Y22" i="2"/>
  <c r="D22" i="2"/>
  <c r="AM20" i="2"/>
  <c r="BD20" i="2" s="1"/>
  <c r="AL20" i="2"/>
  <c r="BC20" i="2" s="1"/>
  <c r="AK20" i="2"/>
  <c r="BB20" i="2" s="1"/>
  <c r="AJ20" i="2"/>
  <c r="BA20" i="2" s="1"/>
  <c r="AI20" i="2"/>
  <c r="AZ20" i="2" s="1"/>
  <c r="AH20" i="2"/>
  <c r="AY20" i="2" s="1"/>
  <c r="AG20" i="2"/>
  <c r="AX20" i="2" s="1"/>
  <c r="AF20" i="2"/>
  <c r="AW20" i="2" s="1"/>
  <c r="AE20" i="2"/>
  <c r="AV20" i="2" s="1"/>
  <c r="AD20" i="2"/>
  <c r="AU20" i="2" s="1"/>
  <c r="AC20" i="2"/>
  <c r="AT20" i="2" s="1"/>
  <c r="AB20" i="2"/>
  <c r="AS20" i="2" s="1"/>
  <c r="AA20" i="2"/>
  <c r="AR20" i="2" s="1"/>
  <c r="Z20" i="2"/>
  <c r="AQ20" i="2" s="1"/>
  <c r="Y20" i="2"/>
  <c r="X20" i="2"/>
  <c r="AM19" i="2"/>
  <c r="BD19" i="2" s="1"/>
  <c r="AL19" i="2"/>
  <c r="BC19" i="2" s="1"/>
  <c r="AK19" i="2"/>
  <c r="BB19" i="2" s="1"/>
  <c r="AJ19" i="2"/>
  <c r="BA19" i="2" s="1"/>
  <c r="AI19" i="2"/>
  <c r="AZ19" i="2" s="1"/>
  <c r="AH19" i="2"/>
  <c r="AY19" i="2" s="1"/>
  <c r="AG19" i="2"/>
  <c r="AX19" i="2" s="1"/>
  <c r="AF19" i="2"/>
  <c r="AW19" i="2" s="1"/>
  <c r="AE19" i="2"/>
  <c r="AV19" i="2" s="1"/>
  <c r="AD19" i="2"/>
  <c r="AU19" i="2" s="1"/>
  <c r="AC19" i="2"/>
  <c r="AB19" i="2"/>
  <c r="AS19" i="2" s="1"/>
  <c r="AA19" i="2"/>
  <c r="AR19" i="2" s="1"/>
  <c r="Z19" i="2"/>
  <c r="AQ19" i="2" s="1"/>
  <c r="Y19" i="2"/>
  <c r="X19" i="2"/>
  <c r="D19" i="2"/>
  <c r="B19" i="2"/>
  <c r="AM18" i="2"/>
  <c r="BD18" i="2" s="1"/>
  <c r="AL18" i="2"/>
  <c r="BC18" i="2" s="1"/>
  <c r="AK18" i="2"/>
  <c r="BB18" i="2" s="1"/>
  <c r="AJ18" i="2"/>
  <c r="BA18" i="2" s="1"/>
  <c r="AI18" i="2"/>
  <c r="AZ18" i="2" s="1"/>
  <c r="AH18" i="2"/>
  <c r="AY18" i="2" s="1"/>
  <c r="AG18" i="2"/>
  <c r="AX18" i="2" s="1"/>
  <c r="AF18" i="2"/>
  <c r="AW18" i="2" s="1"/>
  <c r="AE18" i="2"/>
  <c r="AV18" i="2" s="1"/>
  <c r="AD18" i="2"/>
  <c r="AU18" i="2" s="1"/>
  <c r="AC18" i="2"/>
  <c r="AT18" i="2" s="1"/>
  <c r="AB18" i="2"/>
  <c r="AS18" i="2" s="1"/>
  <c r="AA18" i="2"/>
  <c r="AR18" i="2" s="1"/>
  <c r="Z18" i="2"/>
  <c r="AQ18" i="2" s="1"/>
  <c r="D18" i="2"/>
  <c r="AM17" i="2"/>
  <c r="BD17" i="2" s="1"/>
  <c r="AL17" i="2"/>
  <c r="BC17" i="2" s="1"/>
  <c r="AK17" i="2"/>
  <c r="BB17" i="2" s="1"/>
  <c r="AJ17" i="2"/>
  <c r="BA17" i="2" s="1"/>
  <c r="AI17" i="2"/>
  <c r="AZ17" i="2" s="1"/>
  <c r="AH17" i="2"/>
  <c r="AY17" i="2" s="1"/>
  <c r="AG17" i="2"/>
  <c r="AX17" i="2" s="1"/>
  <c r="AF17" i="2"/>
  <c r="AW17" i="2" s="1"/>
  <c r="AE17" i="2"/>
  <c r="AV17" i="2" s="1"/>
  <c r="AD17" i="2"/>
  <c r="AU17" i="2" s="1"/>
  <c r="AC17" i="2"/>
  <c r="AT17" i="2" s="1"/>
  <c r="AB17" i="2"/>
  <c r="AS17" i="2" s="1"/>
  <c r="AA17" i="2"/>
  <c r="AR17" i="2" s="1"/>
  <c r="Z17" i="2"/>
  <c r="AQ17" i="2" s="1"/>
  <c r="Y17" i="2"/>
  <c r="X17" i="2"/>
  <c r="AM16" i="2"/>
  <c r="BD16" i="2" s="1"/>
  <c r="AL16" i="2"/>
  <c r="BC16" i="2" s="1"/>
  <c r="AK16" i="2"/>
  <c r="BB16" i="2" s="1"/>
  <c r="AJ16" i="2"/>
  <c r="BA16" i="2" s="1"/>
  <c r="AI16" i="2"/>
  <c r="AZ16" i="2" s="1"/>
  <c r="AH16" i="2"/>
  <c r="AY16" i="2" s="1"/>
  <c r="AG16" i="2"/>
  <c r="AX16" i="2" s="1"/>
  <c r="AF16" i="2"/>
  <c r="AE16" i="2"/>
  <c r="AD16" i="2"/>
  <c r="AC16" i="2"/>
  <c r="AB16" i="2"/>
  <c r="AA16" i="2"/>
  <c r="AR16" i="2" s="1"/>
  <c r="Z16" i="2"/>
  <c r="Y16" i="2"/>
  <c r="AP16" i="2" s="1"/>
  <c r="X16" i="2"/>
  <c r="B77" i="2" l="1"/>
  <c r="B79" i="2" s="1"/>
  <c r="B80" i="2" s="1"/>
  <c r="B81" i="2" s="1"/>
  <c r="B82" i="2" s="1"/>
  <c r="B83" i="2" s="1"/>
  <c r="B84" i="2" s="1"/>
  <c r="B85" i="2" s="1"/>
  <c r="B86" i="2" s="1"/>
  <c r="B87" i="2" s="1"/>
  <c r="B88" i="2" s="1"/>
  <c r="B89" i="2" s="1"/>
  <c r="B90" i="2" s="1"/>
  <c r="B91" i="2" s="1"/>
  <c r="B92" i="2" s="1"/>
  <c r="B93" i="2" s="1"/>
  <c r="M136" i="3"/>
  <c r="B53" i="2"/>
  <c r="B55" i="2" s="1"/>
  <c r="B56" i="2" s="1"/>
  <c r="B57" i="2" s="1"/>
  <c r="B58" i="2" s="1"/>
  <c r="B59" i="2" s="1"/>
  <c r="B60" i="2" s="1"/>
  <c r="B61" i="2" s="1"/>
  <c r="B62" i="2" s="1"/>
  <c r="B63" i="2" s="1"/>
  <c r="B64" i="2" s="1"/>
  <c r="B65" i="2" s="1"/>
  <c r="B66" i="2" s="1"/>
  <c r="B67" i="2" s="1"/>
  <c r="B68" i="2" s="1"/>
  <c r="B69" i="2" s="1"/>
  <c r="O136" i="3"/>
  <c r="B21" i="2"/>
  <c r="B22" i="2" s="1"/>
  <c r="B23" i="2" s="1"/>
  <c r="B24" i="2" s="1"/>
  <c r="B25" i="2" s="1"/>
  <c r="B26" i="2" s="1"/>
  <c r="B27" i="2" s="1"/>
  <c r="BL37" i="2"/>
  <c r="BL49" i="2"/>
  <c r="BL97" i="2"/>
  <c r="BL102" i="2"/>
  <c r="BL103" i="2"/>
  <c r="BL98" i="2"/>
  <c r="BL99" i="2"/>
  <c r="BL116" i="2"/>
  <c r="BL117" i="2"/>
  <c r="BL118" i="2"/>
  <c r="BL119" i="2"/>
  <c r="BL121" i="2"/>
  <c r="BL122" i="2"/>
  <c r="BL123" i="2"/>
  <c r="BL125" i="2"/>
  <c r="BL126" i="2"/>
  <c r="BL127" i="2"/>
  <c r="BL129" i="2"/>
  <c r="BK119" i="2"/>
  <c r="BK127" i="2"/>
  <c r="BJ18" i="2"/>
  <c r="BK22" i="2"/>
  <c r="BL22" i="2"/>
  <c r="BK24" i="2"/>
  <c r="BL30" i="2"/>
  <c r="BK33" i="2"/>
  <c r="BL34" i="2"/>
  <c r="BJ35" i="2"/>
  <c r="BK35" i="2"/>
  <c r="BL39" i="2"/>
  <c r="BJ40" i="2"/>
  <c r="BK44" i="2"/>
  <c r="BL44" i="2"/>
  <c r="BK45" i="2"/>
  <c r="BK46" i="2"/>
  <c r="BL73" i="2"/>
  <c r="BL74" i="2"/>
  <c r="BL76" i="2"/>
  <c r="BL77" i="2"/>
  <c r="BL78" i="2"/>
  <c r="BL79" i="2"/>
  <c r="BK80" i="2"/>
  <c r="BL80" i="2"/>
  <c r="BK84" i="2"/>
  <c r="BL84" i="2"/>
  <c r="BL87" i="2"/>
  <c r="BK88" i="2"/>
  <c r="BL88" i="2"/>
  <c r="BL90" i="2"/>
  <c r="BL91" i="2"/>
  <c r="BK92" i="2"/>
  <c r="BL92" i="2"/>
  <c r="BK96" i="2"/>
  <c r="BL96" i="2"/>
  <c r="BJ97" i="2"/>
  <c r="BK97" i="2"/>
  <c r="BJ100" i="2"/>
  <c r="BJ102" i="2"/>
  <c r="BK102" i="2"/>
  <c r="BJ103" i="2"/>
  <c r="BK103" i="2"/>
  <c r="BJ98" i="2"/>
  <c r="BK98" i="2"/>
  <c r="BJ99" i="2"/>
  <c r="BJ105" i="2"/>
  <c r="BJ104" i="2" s="1"/>
  <c r="BJ116" i="2"/>
  <c r="BJ117" i="2"/>
  <c r="BK117" i="2"/>
  <c r="BJ118" i="2"/>
  <c r="BK118" i="2"/>
  <c r="BJ119" i="2"/>
  <c r="BJ124" i="2"/>
  <c r="BJ125" i="2"/>
  <c r="BL23" i="2"/>
  <c r="BL45" i="2"/>
  <c r="BL41" i="2"/>
  <c r="BL68" i="2"/>
  <c r="BK69" i="2"/>
  <c r="BL69" i="2"/>
  <c r="BL72" i="2"/>
  <c r="BJ74" i="2"/>
  <c r="BJ75" i="2"/>
  <c r="BJ76" i="2"/>
  <c r="BE31" i="2"/>
  <c r="AO31" i="2"/>
  <c r="BH31" i="2" s="1"/>
  <c r="BE32" i="2"/>
  <c r="AO32" i="2"/>
  <c r="BE36" i="2"/>
  <c r="BE43" i="2"/>
  <c r="AO43" i="2"/>
  <c r="BE46" i="2"/>
  <c r="BK74" i="2"/>
  <c r="BJ121" i="2"/>
  <c r="BK121" i="2"/>
  <c r="BJ122" i="2"/>
  <c r="BK122" i="2"/>
  <c r="BJ123" i="2"/>
  <c r="BK125" i="2"/>
  <c r="BJ126" i="2"/>
  <c r="BK126" i="2"/>
  <c r="BJ127" i="2"/>
  <c r="BJ128" i="2"/>
  <c r="BJ129" i="2"/>
  <c r="BL18" i="2"/>
  <c r="BE20" i="2"/>
  <c r="AO20" i="2"/>
  <c r="BJ24" i="2"/>
  <c r="BE25" i="2"/>
  <c r="BE29" i="2"/>
  <c r="AO29" i="2"/>
  <c r="BJ31" i="2"/>
  <c r="BK31" i="2"/>
  <c r="BL35" i="2"/>
  <c r="BK36" i="2"/>
  <c r="BE37" i="2"/>
  <c r="AO37" i="2"/>
  <c r="BH37" i="2" s="1"/>
  <c r="BE38" i="2"/>
  <c r="AO38" i="2"/>
  <c r="BL40" i="2"/>
  <c r="BJ41" i="2"/>
  <c r="BJ46" i="2"/>
  <c r="BE47" i="2"/>
  <c r="BE48" i="2"/>
  <c r="AO48" i="2"/>
  <c r="BE51" i="2"/>
  <c r="AO51" i="2"/>
  <c r="BH51" i="2" s="1"/>
  <c r="BE68" i="2"/>
  <c r="AO68" i="2"/>
  <c r="BH68" i="2" s="1"/>
  <c r="BE69" i="2"/>
  <c r="AO69" i="2"/>
  <c r="BH69" i="2" s="1"/>
  <c r="BE71" i="2"/>
  <c r="AO71" i="2"/>
  <c r="BL75" i="2"/>
  <c r="BK77" i="2"/>
  <c r="BK85" i="2"/>
  <c r="BL85" i="2"/>
  <c r="BL89" i="2"/>
  <c r="BK99" i="2"/>
  <c r="BK116" i="2"/>
  <c r="BK123" i="2"/>
  <c r="BE16" i="2"/>
  <c r="AO16" i="2"/>
  <c r="BE17" i="2"/>
  <c r="AO17" i="2"/>
  <c r="BK18" i="2"/>
  <c r="BK19" i="2"/>
  <c r="BK23" i="2"/>
  <c r="BK25" i="2"/>
  <c r="BE30" i="2"/>
  <c r="AO30" i="2"/>
  <c r="BH30" i="2" s="1"/>
  <c r="BL31" i="2"/>
  <c r="BJ33" i="2"/>
  <c r="BE34" i="2"/>
  <c r="BL36" i="2"/>
  <c r="BK37" i="2"/>
  <c r="BE44" i="2"/>
  <c r="BL46" i="2"/>
  <c r="BK47" i="2"/>
  <c r="BJ49" i="2"/>
  <c r="BJ50" i="2"/>
  <c r="BJ51" i="2"/>
  <c r="BK51" i="2"/>
  <c r="BJ52" i="2"/>
  <c r="BJ53" i="2"/>
  <c r="BK53" i="2"/>
  <c r="BJ68" i="2"/>
  <c r="BK68" i="2"/>
  <c r="BJ69" i="2"/>
  <c r="BJ72" i="2"/>
  <c r="BE74" i="2"/>
  <c r="AO74" i="2"/>
  <c r="BH74" i="2" s="1"/>
  <c r="BE78" i="2"/>
  <c r="AO78" i="2"/>
  <c r="BH78" i="2" s="1"/>
  <c r="BE79" i="2"/>
  <c r="AO79" i="2"/>
  <c r="BH79" i="2" s="1"/>
  <c r="BE80" i="2"/>
  <c r="AO80" i="2"/>
  <c r="BH80" i="2" s="1"/>
  <c r="BE85" i="2"/>
  <c r="AO85" i="2"/>
  <c r="BH85" i="2" s="1"/>
  <c r="BE87" i="2"/>
  <c r="AO87" i="2"/>
  <c r="BH87" i="2" s="1"/>
  <c r="BE88" i="2"/>
  <c r="AO88" i="2"/>
  <c r="BH88" i="2" s="1"/>
  <c r="BE90" i="2"/>
  <c r="AO90" i="2"/>
  <c r="BH90" i="2" s="1"/>
  <c r="BK90" i="2"/>
  <c r="BE91" i="2"/>
  <c r="AO91" i="2"/>
  <c r="BH91" i="2" s="1"/>
  <c r="BE93" i="2"/>
  <c r="AO93" i="2"/>
  <c r="BH93" i="2" s="1"/>
  <c r="BE95" i="2"/>
  <c r="AO95" i="2"/>
  <c r="BE96" i="2"/>
  <c r="AO96" i="2"/>
  <c r="BH96" i="2" s="1"/>
  <c r="BK100" i="2"/>
  <c r="BL100" i="2"/>
  <c r="BK105" i="2"/>
  <c r="BK104" i="2" s="1"/>
  <c r="BL105" i="2"/>
  <c r="BL104" i="2" s="1"/>
  <c r="BK124" i="2"/>
  <c r="BL124" i="2"/>
  <c r="BK128" i="2"/>
  <c r="BL128" i="2"/>
  <c r="BL19" i="2"/>
  <c r="BJ22" i="2"/>
  <c r="BE23" i="2"/>
  <c r="BC25" i="2"/>
  <c r="BL25" i="2" s="1"/>
  <c r="BJ30" i="2"/>
  <c r="BK30" i="2"/>
  <c r="BL33" i="2"/>
  <c r="BK34" i="2"/>
  <c r="BK39" i="2"/>
  <c r="BJ44" i="2"/>
  <c r="BE45" i="2"/>
  <c r="BL47" i="2"/>
  <c r="BL50" i="2"/>
  <c r="BL51" i="2"/>
  <c r="BL52" i="2"/>
  <c r="BL53" i="2"/>
  <c r="BJ73" i="2"/>
  <c r="BJ77" i="2"/>
  <c r="BJ78" i="2"/>
  <c r="BK78" i="2"/>
  <c r="BJ79" i="2"/>
  <c r="BK79" i="2"/>
  <c r="BJ80" i="2"/>
  <c r="BJ84" i="2"/>
  <c r="BJ85" i="2"/>
  <c r="BJ87" i="2"/>
  <c r="BK87" i="2"/>
  <c r="BJ88" i="2"/>
  <c r="BJ89" i="2"/>
  <c r="BK89" i="2"/>
  <c r="BJ90" i="2"/>
  <c r="BJ91" i="2"/>
  <c r="BK91" i="2"/>
  <c r="BJ92" i="2"/>
  <c r="BF94" i="2"/>
  <c r="BO94" i="2" s="1"/>
  <c r="BJ96" i="2"/>
  <c r="BE97" i="2"/>
  <c r="AO97" i="2"/>
  <c r="BH97" i="2" s="1"/>
  <c r="BE102" i="2"/>
  <c r="AO102" i="2"/>
  <c r="BH102" i="2" s="1"/>
  <c r="BE103" i="2"/>
  <c r="AO103" i="2"/>
  <c r="BH103" i="2" s="1"/>
  <c r="BE98" i="2"/>
  <c r="AO98" i="2"/>
  <c r="BH98" i="2" s="1"/>
  <c r="BE99" i="2"/>
  <c r="AO99" i="2"/>
  <c r="BH99" i="2" s="1"/>
  <c r="BE105" i="2"/>
  <c r="AO105" i="2"/>
  <c r="BE115" i="2"/>
  <c r="AO115" i="2"/>
  <c r="BE116" i="2"/>
  <c r="AO116" i="2"/>
  <c r="BH116" i="2" s="1"/>
  <c r="BE119" i="2"/>
  <c r="AO119" i="2"/>
  <c r="BH119" i="2" s="1"/>
  <c r="BE122" i="2"/>
  <c r="AO122" i="2"/>
  <c r="BH122" i="2" s="1"/>
  <c r="BE123" i="2"/>
  <c r="AO123" i="2"/>
  <c r="BH123" i="2" s="1"/>
  <c r="BE125" i="2"/>
  <c r="AO125" i="2"/>
  <c r="BH125" i="2" s="1"/>
  <c r="BE126" i="2"/>
  <c r="AO126" i="2"/>
  <c r="BH126" i="2" s="1"/>
  <c r="BE128" i="2"/>
  <c r="AO128" i="2"/>
  <c r="BH128" i="2" s="1"/>
  <c r="BE129" i="2"/>
  <c r="AO129" i="2"/>
  <c r="BH129" i="2" s="1"/>
  <c r="BK129" i="2"/>
  <c r="BF19" i="2"/>
  <c r="AP20" i="2"/>
  <c r="BF20" i="2"/>
  <c r="BO20" i="2" s="1"/>
  <c r="AP25" i="2"/>
  <c r="BF25" i="2"/>
  <c r="BF28" i="2"/>
  <c r="BO28" i="2" s="1"/>
  <c r="AP29" i="2"/>
  <c r="BF29" i="2"/>
  <c r="BO29" i="2" s="1"/>
  <c r="BF33" i="2"/>
  <c r="AP37" i="2"/>
  <c r="BI37" i="2" s="1"/>
  <c r="BF37" i="2"/>
  <c r="AP38" i="2"/>
  <c r="BF38" i="2"/>
  <c r="BO38" i="2" s="1"/>
  <c r="AP47" i="2"/>
  <c r="BF47" i="2"/>
  <c r="BO47" i="2" s="1"/>
  <c r="AP48" i="2"/>
  <c r="BF48" i="2"/>
  <c r="BO48" i="2" s="1"/>
  <c r="AP49" i="2"/>
  <c r="BF49" i="2"/>
  <c r="AP50" i="2"/>
  <c r="AP51" i="2"/>
  <c r="BI51" i="2" s="1"/>
  <c r="BF51" i="2"/>
  <c r="BO51" i="2" s="1"/>
  <c r="BF52" i="2"/>
  <c r="AP53" i="2"/>
  <c r="BF53" i="2"/>
  <c r="AP68" i="2"/>
  <c r="BF68" i="2"/>
  <c r="AP69" i="2"/>
  <c r="BF69" i="2"/>
  <c r="AP70" i="2"/>
  <c r="BF70" i="2"/>
  <c r="BO70" i="2" s="1"/>
  <c r="AP71" i="2"/>
  <c r="BF71" i="2"/>
  <c r="BO71" i="2" s="1"/>
  <c r="AP72" i="2"/>
  <c r="BF34" i="2"/>
  <c r="AP39" i="2"/>
  <c r="BF39" i="2"/>
  <c r="BF44" i="2"/>
  <c r="AP73" i="2"/>
  <c r="AP74" i="2"/>
  <c r="BF74" i="2"/>
  <c r="BO74" i="2" s="1"/>
  <c r="BF75" i="2"/>
  <c r="AP76" i="2"/>
  <c r="AP77" i="2"/>
  <c r="BI77" i="2" s="1"/>
  <c r="BF77" i="2"/>
  <c r="AP78" i="2"/>
  <c r="BI78" i="2" s="1"/>
  <c r="BF78" i="2"/>
  <c r="BO78" i="2" s="1"/>
  <c r="AP79" i="2"/>
  <c r="BF79" i="2"/>
  <c r="AP80" i="2"/>
  <c r="BF80" i="2"/>
  <c r="AP84" i="2"/>
  <c r="BF84" i="2"/>
  <c r="AP85" i="2"/>
  <c r="BF85" i="2"/>
  <c r="AP87" i="2"/>
  <c r="BF87" i="2"/>
  <c r="AP88" i="2"/>
  <c r="BI88" i="2" s="1"/>
  <c r="BF88" i="2"/>
  <c r="BO88" i="2" s="1"/>
  <c r="AP89" i="2"/>
  <c r="BI89" i="2" s="1"/>
  <c r="BF89" i="2"/>
  <c r="BO89" i="2" s="1"/>
  <c r="AP90" i="2"/>
  <c r="BI90" i="2" s="1"/>
  <c r="BF90" i="2"/>
  <c r="BO90" i="2" s="1"/>
  <c r="AP91" i="2"/>
  <c r="BI91" i="2" s="1"/>
  <c r="BF91" i="2"/>
  <c r="BO91" i="2" s="1"/>
  <c r="AP92" i="2"/>
  <c r="BI92" i="2" s="1"/>
  <c r="BF92" i="2"/>
  <c r="BO92" i="2" s="1"/>
  <c r="AP93" i="2"/>
  <c r="BI93" i="2" s="1"/>
  <c r="BF93" i="2"/>
  <c r="BO93" i="2" s="1"/>
  <c r="AP95" i="2"/>
  <c r="BF95" i="2"/>
  <c r="BO95" i="2" s="1"/>
  <c r="BF96" i="2"/>
  <c r="BO96" i="2" s="1"/>
  <c r="AP17" i="2"/>
  <c r="BF17" i="2"/>
  <c r="BO17" i="2" s="1"/>
  <c r="BF30" i="2"/>
  <c r="BF45" i="2"/>
  <c r="BO45" i="2" s="1"/>
  <c r="BF97" i="2"/>
  <c r="BF100" i="2"/>
  <c r="BF102" i="2"/>
  <c r="BF103" i="2"/>
  <c r="BF98" i="2"/>
  <c r="BF99" i="2"/>
  <c r="AP104" i="2"/>
  <c r="BF104" i="2"/>
  <c r="BO104" i="2" s="1"/>
  <c r="BF105" i="2"/>
  <c r="AP115" i="2"/>
  <c r="BF115" i="2"/>
  <c r="BO115" i="2" s="1"/>
  <c r="BF116" i="2"/>
  <c r="BO116" i="2" s="1"/>
  <c r="BF117" i="2"/>
  <c r="BF118" i="2"/>
  <c r="BF119" i="2"/>
  <c r="AP120" i="2"/>
  <c r="BF120" i="2"/>
  <c r="BO120" i="2" s="1"/>
  <c r="BF121" i="2"/>
  <c r="BF122" i="2"/>
  <c r="BF123" i="2"/>
  <c r="BF124" i="2"/>
  <c r="BF125" i="2"/>
  <c r="BF126" i="2"/>
  <c r="BF127" i="2"/>
  <c r="BF128" i="2"/>
  <c r="BF129" i="2"/>
  <c r="AT16" i="2"/>
  <c r="BF139" i="2"/>
  <c r="AP22" i="2"/>
  <c r="BF22" i="2"/>
  <c r="AP23" i="2"/>
  <c r="BF23" i="2"/>
  <c r="AP35" i="2"/>
  <c r="BF35" i="2"/>
  <c r="AP40" i="2"/>
  <c r="BF40" i="2"/>
  <c r="AP24" i="2"/>
  <c r="BF24" i="2"/>
  <c r="BF31" i="2"/>
  <c r="AP32" i="2"/>
  <c r="BF32" i="2"/>
  <c r="BO32" i="2" s="1"/>
  <c r="AP36" i="2"/>
  <c r="BF36" i="2"/>
  <c r="BF41" i="2"/>
  <c r="AP42" i="2"/>
  <c r="BF42" i="2"/>
  <c r="BO42" i="2" s="1"/>
  <c r="AP43" i="2"/>
  <c r="BF43" i="2"/>
  <c r="BO43" i="2" s="1"/>
  <c r="AP46" i="2"/>
  <c r="BF46" i="2"/>
  <c r="J136" i="3"/>
  <c r="V136" i="3"/>
  <c r="BJ93" i="2"/>
  <c r="BK93" i="2"/>
  <c r="BL93" i="2"/>
  <c r="BE92" i="2"/>
  <c r="BB131" i="2"/>
  <c r="BE104" i="2"/>
  <c r="Y132" i="2"/>
  <c r="AC132" i="2"/>
  <c r="AG132" i="2"/>
  <c r="BE124" i="2"/>
  <c r="AU133" i="2"/>
  <c r="Z131" i="2"/>
  <c r="AD131" i="2"/>
  <c r="AH131" i="2"/>
  <c r="AF132" i="2"/>
  <c r="AZ135" i="2"/>
  <c r="BD134" i="2"/>
  <c r="AU134" i="2"/>
  <c r="BC134" i="2"/>
  <c r="BE89" i="2"/>
  <c r="BE117" i="2"/>
  <c r="BE118" i="2"/>
  <c r="BE127" i="2"/>
  <c r="BE100" i="2"/>
  <c r="BE120" i="2"/>
  <c r="BE121" i="2"/>
  <c r="S11" i="2"/>
  <c r="AC11" i="2"/>
  <c r="AO11" i="2"/>
  <c r="BA11" i="2"/>
  <c r="S11" i="3"/>
  <c r="H11" i="2"/>
  <c r="U11" i="2"/>
  <c r="AG11" i="2"/>
  <c r="AP11" i="2"/>
  <c r="BC11" i="2"/>
  <c r="H11" i="3"/>
  <c r="U11" i="3"/>
  <c r="L11" i="2"/>
  <c r="X11" i="2"/>
  <c r="AJ11" i="2"/>
  <c r="AT11" i="2"/>
  <c r="L11" i="3"/>
  <c r="P11" i="2"/>
  <c r="Y11" i="2"/>
  <c r="AL11" i="2"/>
  <c r="AW39" i="2"/>
  <c r="AW132" i="2" s="1"/>
  <c r="BC133" i="2"/>
  <c r="AU16" i="2"/>
  <c r="BE19" i="2"/>
  <c r="AP28" i="2"/>
  <c r="AZ131" i="2"/>
  <c r="BA132" i="2"/>
  <c r="AX132" i="2"/>
  <c r="AQ94" i="2"/>
  <c r="AQ135" i="2" s="1"/>
  <c r="Z135" i="2"/>
  <c r="AD135" i="2"/>
  <c r="AU94" i="2"/>
  <c r="AU135" i="2" s="1"/>
  <c r="AH135" i="2"/>
  <c r="AY135" i="2"/>
  <c r="AL135" i="2"/>
  <c r="BC135" i="2"/>
  <c r="AX131" i="2"/>
  <c r="AT28" i="2"/>
  <c r="Y133" i="2"/>
  <c r="AC133" i="2"/>
  <c r="AC131" i="2"/>
  <c r="AG131" i="2"/>
  <c r="AK131" i="2"/>
  <c r="AQ16" i="2"/>
  <c r="AY131" i="2"/>
  <c r="AB132" i="2"/>
  <c r="AJ132" i="2"/>
  <c r="BE28" i="2"/>
  <c r="AD133" i="2"/>
  <c r="AL133" i="2"/>
  <c r="AT42" i="2"/>
  <c r="AX135" i="2"/>
  <c r="AE131" i="2"/>
  <c r="AM131" i="2"/>
  <c r="AB131" i="2"/>
  <c r="AF131" i="2"/>
  <c r="AJ131" i="2"/>
  <c r="AS16" i="2"/>
  <c r="AW16" i="2"/>
  <c r="BA131" i="2"/>
  <c r="AA132" i="2"/>
  <c r="AE132" i="2"/>
  <c r="AM132" i="2"/>
  <c r="AR28" i="2"/>
  <c r="AV28" i="2"/>
  <c r="AV132" i="2" s="1"/>
  <c r="BD132" i="2"/>
  <c r="AF133" i="2"/>
  <c r="AS42" i="2"/>
  <c r="AW42" i="2"/>
  <c r="AW133" i="2" s="1"/>
  <c r="BE42" i="2"/>
  <c r="AA134" i="2"/>
  <c r="AE134" i="2"/>
  <c r="AV70" i="2"/>
  <c r="AV134" i="2" s="1"/>
  <c r="AM134" i="2"/>
  <c r="AS74" i="2"/>
  <c r="BE77" i="2"/>
  <c r="BE84" i="2"/>
  <c r="Y135" i="2"/>
  <c r="AP94" i="2"/>
  <c r="AC135" i="2"/>
  <c r="AT94" i="2"/>
  <c r="AT135" i="2" s="1"/>
  <c r="AG135" i="2"/>
  <c r="AK135" i="2"/>
  <c r="BB135" i="2"/>
  <c r="AR135" i="2"/>
  <c r="AR134" i="2"/>
  <c r="AA131" i="2"/>
  <c r="AI131" i="2"/>
  <c r="AV16" i="2"/>
  <c r="BD131" i="2"/>
  <c r="Z132" i="2"/>
  <c r="AD132" i="2"/>
  <c r="AL132" i="2"/>
  <c r="AQ28" i="2"/>
  <c r="AU28" i="2"/>
  <c r="AU132" i="2" s="1"/>
  <c r="BC132" i="2"/>
  <c r="AA133" i="2"/>
  <c r="AE133" i="2"/>
  <c r="AM133" i="2"/>
  <c r="AR42" i="2"/>
  <c r="AR133" i="2" s="1"/>
  <c r="AV42" i="2"/>
  <c r="AV133" i="2" s="1"/>
  <c r="BD133" i="2"/>
  <c r="AQ70" i="2"/>
  <c r="AD134" i="2"/>
  <c r="AL134" i="2"/>
  <c r="AT134" i="2"/>
  <c r="AJ135" i="2"/>
  <c r="AV135" i="2"/>
  <c r="W135" i="3"/>
  <c r="Y134" i="2"/>
  <c r="AC134" i="2"/>
  <c r="AF134" i="2"/>
  <c r="AW70" i="2"/>
  <c r="AW134" i="2" s="1"/>
  <c r="BE70" i="2"/>
  <c r="AA135" i="2"/>
  <c r="AE135" i="2"/>
  <c r="AI135" i="2"/>
  <c r="AM135" i="2"/>
  <c r="BD135" i="2"/>
  <c r="X135" i="2"/>
  <c r="AB135" i="2"/>
  <c r="AF135" i="2"/>
  <c r="AS94" i="2"/>
  <c r="AS135" i="2" s="1"/>
  <c r="AW94" i="2"/>
  <c r="AW135" i="2" s="1"/>
  <c r="BA135" i="2"/>
  <c r="BE94" i="2"/>
  <c r="X135" i="3"/>
  <c r="X132" i="3"/>
  <c r="N136" i="3"/>
  <c r="L136" i="3"/>
  <c r="BH105" i="2" l="1"/>
  <c r="G162" i="2"/>
  <c r="BK20" i="2"/>
  <c r="BL17" i="2"/>
  <c r="BL29" i="2"/>
  <c r="BI74" i="2"/>
  <c r="BJ39" i="2"/>
  <c r="BJ38" i="2" s="1"/>
  <c r="G150" i="2"/>
  <c r="G164" i="2"/>
  <c r="BH104" i="2"/>
  <c r="BH95" i="2"/>
  <c r="G161" i="2"/>
  <c r="G163" i="2"/>
  <c r="BH120" i="2"/>
  <c r="BL115" i="2"/>
  <c r="BL120" i="2"/>
  <c r="BK17" i="2"/>
  <c r="BL38" i="2"/>
  <c r="BL95" i="2"/>
  <c r="BK32" i="2"/>
  <c r="BL43" i="2"/>
  <c r="BL71" i="2"/>
  <c r="BL70" i="2" s="1"/>
  <c r="BL134" i="2" s="1"/>
  <c r="BJ48" i="2"/>
  <c r="BM51" i="2"/>
  <c r="BM91" i="2"/>
  <c r="BM78" i="2"/>
  <c r="BM90" i="2"/>
  <c r="BM89" i="2"/>
  <c r="BM88" i="2"/>
  <c r="BM93" i="2"/>
  <c r="BM92" i="2"/>
  <c r="BM77" i="2"/>
  <c r="BO77" i="2" s="1"/>
  <c r="BK120" i="2"/>
  <c r="BJ120" i="2"/>
  <c r="BJ115" i="2"/>
  <c r="BJ71" i="2"/>
  <c r="BJ70" i="2" s="1"/>
  <c r="BJ134" i="2" s="1"/>
  <c r="BK43" i="2"/>
  <c r="BK29" i="2"/>
  <c r="BJ29" i="2"/>
  <c r="BL48" i="2"/>
  <c r="BH29" i="2"/>
  <c r="BJ95" i="2"/>
  <c r="BL32" i="2"/>
  <c r="BF16" i="2"/>
  <c r="BO16" i="2" s="1"/>
  <c r="BK115" i="2"/>
  <c r="BH115" i="2"/>
  <c r="BK95" i="2"/>
  <c r="BE135" i="2"/>
  <c r="AC136" i="2"/>
  <c r="AD136" i="2"/>
  <c r="AA136" i="2"/>
  <c r="BF135" i="2"/>
  <c r="AF136" i="2"/>
  <c r="AE136" i="2"/>
  <c r="BD136" i="2"/>
  <c r="AO135" i="2"/>
  <c r="AM136" i="2"/>
  <c r="BK16" i="2" l="1"/>
  <c r="BK131" i="2" s="1"/>
  <c r="BK138" i="2" s="1"/>
  <c r="BL42" i="2"/>
  <c r="BL133" i="2" s="1"/>
  <c r="BL94" i="2"/>
  <c r="BL135" i="2" s="1"/>
  <c r="BL28" i="2"/>
  <c r="BL132" i="2" s="1"/>
  <c r="BJ94" i="2"/>
  <c r="BJ135" i="2" s="1"/>
  <c r="BF132" i="2"/>
  <c r="BM74" i="2"/>
  <c r="BK94" i="2"/>
  <c r="BK135" i="2" s="1"/>
  <c r="BH94" i="2"/>
  <c r="C37" i="4"/>
  <c r="C15" i="4" l="1"/>
  <c r="BH135" i="2"/>
  <c r="H193" i="17" l="1"/>
  <c r="T193" i="17" s="1"/>
  <c r="I86" i="9" s="1"/>
  <c r="AS53" i="9"/>
  <c r="AQ53" i="8"/>
  <c r="AU24" i="20"/>
  <c r="AQ86" i="23" l="1"/>
  <c r="P73" i="16"/>
  <c r="L60" i="20" s="1"/>
  <c r="AA16" i="20"/>
  <c r="I24" i="16"/>
  <c r="AC16" i="20"/>
  <c r="AC28" i="20"/>
  <c r="AA28" i="20"/>
  <c r="AB16" i="20"/>
  <c r="AB27" i="20"/>
  <c r="AB28" i="20"/>
  <c r="AM15" i="20"/>
  <c r="CB14" i="20"/>
  <c r="AW21" i="9"/>
  <c r="AQ86" i="9"/>
  <c r="BO66" i="20"/>
  <c r="AS22" i="8"/>
  <c r="AW15" i="20"/>
  <c r="AQ24" i="9"/>
  <c r="BO16" i="20"/>
  <c r="AQ39" i="8"/>
  <c r="AU27" i="20"/>
  <c r="AQ49" i="9"/>
  <c r="BO35" i="20"/>
  <c r="AS49" i="8"/>
  <c r="AW35" i="20"/>
  <c r="BO59" i="20"/>
  <c r="AW23" i="9"/>
  <c r="CB15" i="20"/>
  <c r="AA33" i="20"/>
  <c r="AA24" i="20"/>
  <c r="AR39" i="8"/>
  <c r="AV27" i="20"/>
  <c r="AS49" i="9"/>
  <c r="BQ35" i="20"/>
  <c r="BO62" i="20"/>
  <c r="AR22" i="9"/>
  <c r="BP15" i="20"/>
  <c r="AQ24" i="8"/>
  <c r="AU16" i="20"/>
  <c r="AQ40" i="8"/>
  <c r="AU28" i="20"/>
  <c r="AQ46" i="2"/>
  <c r="AQ35" i="8"/>
  <c r="AU33" i="20"/>
  <c r="AQ53" i="9"/>
  <c r="BI53" i="9" s="1"/>
  <c r="AS53" i="2"/>
  <c r="H110" i="17"/>
  <c r="T110" i="17" s="1"/>
  <c r="K67" i="9" s="1"/>
  <c r="H94" i="17"/>
  <c r="T94" i="17" s="1"/>
  <c r="H78" i="17"/>
  <c r="T78" i="17" s="1"/>
  <c r="K63" i="9" s="1"/>
  <c r="H46" i="17"/>
  <c r="T46" i="17" s="1"/>
  <c r="K59" i="9" s="1"/>
  <c r="H22" i="17"/>
  <c r="T22" i="17" s="1"/>
  <c r="K56" i="9" s="1"/>
  <c r="H54" i="17"/>
  <c r="T54" i="17" s="1"/>
  <c r="K60" i="9" s="1"/>
  <c r="H30" i="17"/>
  <c r="T30" i="17" s="1"/>
  <c r="H118" i="17"/>
  <c r="T118" i="17" s="1"/>
  <c r="K68" i="9" s="1"/>
  <c r="H86" i="17"/>
  <c r="T86" i="17" s="1"/>
  <c r="K64" i="9" s="1"/>
  <c r="H62" i="17"/>
  <c r="T62" i="17" s="1"/>
  <c r="K61" i="9" s="1"/>
  <c r="H38" i="17"/>
  <c r="T38" i="17" s="1"/>
  <c r="K58" i="9" s="1"/>
  <c r="AQ25" i="8"/>
  <c r="AQ36" i="8"/>
  <c r="H29" i="17"/>
  <c r="T29" i="17" s="1"/>
  <c r="H117" i="17"/>
  <c r="T117" i="17" s="1"/>
  <c r="I68" i="9" s="1"/>
  <c r="H109" i="17"/>
  <c r="T109" i="17" s="1"/>
  <c r="I67" i="9" s="1"/>
  <c r="H85" i="17"/>
  <c r="T85" i="17" s="1"/>
  <c r="I64" i="9" s="1"/>
  <c r="H21" i="17"/>
  <c r="T21" i="17" s="1"/>
  <c r="I56" i="9" s="1"/>
  <c r="H45" i="17"/>
  <c r="T45" i="17" s="1"/>
  <c r="I59" i="9" s="1"/>
  <c r="H61" i="17"/>
  <c r="T61" i="17" s="1"/>
  <c r="I61" i="9" s="1"/>
  <c r="H37" i="17"/>
  <c r="T37" i="17" s="1"/>
  <c r="I58" i="9" s="1"/>
  <c r="T125" i="17"/>
  <c r="I69" i="9" s="1"/>
  <c r="BO51" i="20" s="1"/>
  <c r="H93" i="17"/>
  <c r="T93" i="17" s="1"/>
  <c r="H77" i="17"/>
  <c r="T77" i="17" s="1"/>
  <c r="I63" i="9" s="1"/>
  <c r="H53" i="17"/>
  <c r="T53" i="17" s="1"/>
  <c r="I60" i="9" s="1"/>
  <c r="AQ25" i="9"/>
  <c r="AR40" i="2"/>
  <c r="K53" i="16"/>
  <c r="AR23" i="9"/>
  <c r="AV23" i="2"/>
  <c r="AS40" i="2"/>
  <c r="AR24" i="2"/>
  <c r="AT23" i="20"/>
  <c r="G64" i="19" s="1"/>
  <c r="I53" i="16"/>
  <c r="H126" i="17"/>
  <c r="T126" i="17" s="1"/>
  <c r="K69" i="9" s="1"/>
  <c r="BQ51" i="20" s="1"/>
  <c r="AS23" i="8"/>
  <c r="AS24" i="2"/>
  <c r="AQ24" i="2"/>
  <c r="AQ35" i="2"/>
  <c r="AR39" i="2"/>
  <c r="AQ40" i="2"/>
  <c r="G126" i="17"/>
  <c r="S126" i="17" s="1"/>
  <c r="K69" i="8" s="1"/>
  <c r="AW51" i="20" s="1"/>
  <c r="G62" i="17"/>
  <c r="S62" i="17" s="1"/>
  <c r="K61" i="8" s="1"/>
  <c r="G38" i="17"/>
  <c r="S38" i="17" s="1"/>
  <c r="K58" i="8" s="1"/>
  <c r="G22" i="17"/>
  <c r="S22" i="17" s="1"/>
  <c r="K56" i="8" s="1"/>
  <c r="G110" i="17"/>
  <c r="S110" i="17" s="1"/>
  <c r="K67" i="8" s="1"/>
  <c r="G94" i="17"/>
  <c r="S94" i="17" s="1"/>
  <c r="G78" i="17"/>
  <c r="S78" i="17" s="1"/>
  <c r="K63" i="8" s="1"/>
  <c r="G46" i="17"/>
  <c r="S46" i="17" s="1"/>
  <c r="K59" i="8" s="1"/>
  <c r="G54" i="17"/>
  <c r="S54" i="17" s="1"/>
  <c r="K60" i="8" s="1"/>
  <c r="G30" i="17"/>
  <c r="S30" i="17" s="1"/>
  <c r="G118" i="17"/>
  <c r="S118" i="17" s="1"/>
  <c r="K68" i="8" s="1"/>
  <c r="G86" i="17"/>
  <c r="S86" i="17" s="1"/>
  <c r="K64" i="8" s="1"/>
  <c r="H153" i="17"/>
  <c r="T153" i="17" s="1"/>
  <c r="I81" i="9" s="1"/>
  <c r="H201" i="17"/>
  <c r="T201" i="17" s="1"/>
  <c r="H185" i="17"/>
  <c r="T185" i="17" s="1"/>
  <c r="I85" i="9" s="1"/>
  <c r="H177" i="17"/>
  <c r="T177" i="17" s="1"/>
  <c r="H169" i="17"/>
  <c r="T169" i="17" s="1"/>
  <c r="H161" i="17"/>
  <c r="T161" i="17" s="1"/>
  <c r="H145" i="17"/>
  <c r="T145" i="17" s="1"/>
  <c r="H137" i="17"/>
  <c r="T137" i="17" s="1"/>
  <c r="BS60" i="20"/>
  <c r="AE60" i="20"/>
  <c r="BT60" i="20"/>
  <c r="AZ60" i="20"/>
  <c r="AF60" i="20"/>
  <c r="BU61" i="20"/>
  <c r="BA61" i="20"/>
  <c r="BB61" i="20"/>
  <c r="AH61" i="20"/>
  <c r="AU62" i="20"/>
  <c r="H194" i="17"/>
  <c r="T194" i="17" s="1"/>
  <c r="K86" i="9" s="1"/>
  <c r="AU35" i="20"/>
  <c r="BE23" i="20"/>
  <c r="AW24" i="20"/>
  <c r="BQ44" i="20" l="1"/>
  <c r="AS61" i="9"/>
  <c r="BO43" i="20"/>
  <c r="AQ60" i="9"/>
  <c r="BQ47" i="20"/>
  <c r="AS64" i="9"/>
  <c r="AW46" i="20"/>
  <c r="AS63" i="8"/>
  <c r="BO46" i="20"/>
  <c r="AQ63" i="9"/>
  <c r="BO49" i="20"/>
  <c r="AQ67" i="9"/>
  <c r="BI67" i="9" s="1"/>
  <c r="BM67" i="9" s="1"/>
  <c r="BO67" i="9" s="1"/>
  <c r="BQ50" i="20"/>
  <c r="AS68" i="9"/>
  <c r="BO47" i="20"/>
  <c r="AQ64" i="9"/>
  <c r="BQ49" i="20"/>
  <c r="AS67" i="9"/>
  <c r="BO50" i="20"/>
  <c r="AQ68" i="9"/>
  <c r="BQ43" i="20"/>
  <c r="AS60" i="9"/>
  <c r="AW42" i="20"/>
  <c r="AS59" i="8"/>
  <c r="AW47" i="20"/>
  <c r="AS64" i="8"/>
  <c r="AW40" i="20"/>
  <c r="AS56" i="8"/>
  <c r="BO41" i="20"/>
  <c r="AQ58" i="9"/>
  <c r="BQ40" i="20"/>
  <c r="AS56" i="9"/>
  <c r="BO40" i="20"/>
  <c r="AQ56" i="9"/>
  <c r="AW50" i="20"/>
  <c r="AS68" i="8"/>
  <c r="AW41" i="20"/>
  <c r="AS58" i="8"/>
  <c r="BO44" i="20"/>
  <c r="AQ61" i="9"/>
  <c r="BI61" i="9" s="1"/>
  <c r="BM61" i="9" s="1"/>
  <c r="BO61" i="9" s="1"/>
  <c r="BQ42" i="20"/>
  <c r="AS59" i="9"/>
  <c r="AW43" i="20"/>
  <c r="AS60" i="8"/>
  <c r="AW49" i="20"/>
  <c r="AS67" i="8"/>
  <c r="AW44" i="20"/>
  <c r="AS61" i="8"/>
  <c r="BO42" i="20"/>
  <c r="AQ59" i="9"/>
  <c r="BI59" i="9" s="1"/>
  <c r="BM59" i="9" s="1"/>
  <c r="BO59" i="9" s="1"/>
  <c r="BQ41" i="20"/>
  <c r="AS58" i="9"/>
  <c r="BQ46" i="20"/>
  <c r="AS63" i="9"/>
  <c r="AS69" i="22"/>
  <c r="AS68" i="22"/>
  <c r="AQ87" i="23"/>
  <c r="AQ68" i="23"/>
  <c r="AS58" i="23"/>
  <c r="AQ57" i="23"/>
  <c r="BO65" i="20"/>
  <c r="AQ85" i="23"/>
  <c r="BO64" i="20"/>
  <c r="AQ81" i="23"/>
  <c r="AQ79" i="23"/>
  <c r="AS69" i="23"/>
  <c r="AQ58" i="23"/>
  <c r="AS68" i="23"/>
  <c r="AQ69" i="23"/>
  <c r="AQ80" i="23"/>
  <c r="AS57" i="23"/>
  <c r="AQ82" i="23"/>
  <c r="AQ59" i="23"/>
  <c r="AS60" i="23"/>
  <c r="AS86" i="23"/>
  <c r="BI86" i="23" s="1"/>
  <c r="BM86" i="23" s="1"/>
  <c r="BO86" i="23" s="1"/>
  <c r="AQ83" i="23"/>
  <c r="AQ56" i="23"/>
  <c r="AS56" i="23"/>
  <c r="AQ84" i="23"/>
  <c r="AQ60" i="23"/>
  <c r="AS59" i="23"/>
  <c r="Q75" i="16"/>
  <c r="M61" i="20" s="1"/>
  <c r="I123" i="11"/>
  <c r="K24" i="16"/>
  <c r="J24" i="16"/>
  <c r="O23" i="16"/>
  <c r="AB15" i="20"/>
  <c r="J22" i="16"/>
  <c r="AA27" i="20"/>
  <c r="N21" i="16"/>
  <c r="AC15" i="20"/>
  <c r="K22" i="16"/>
  <c r="AM16" i="20"/>
  <c r="Z89" i="20"/>
  <c r="AK13" i="20"/>
  <c r="N23" i="16"/>
  <c r="Z69" i="20"/>
  <c r="I25" i="16"/>
  <c r="AQ25" i="16" s="1"/>
  <c r="AC27" i="20"/>
  <c r="M23" i="16"/>
  <c r="AA15" i="20"/>
  <c r="I22" i="16"/>
  <c r="BG14" i="20"/>
  <c r="AV21" i="8"/>
  <c r="AN15" i="20"/>
  <c r="O21" i="16"/>
  <c r="AL15" i="20"/>
  <c r="M21" i="16"/>
  <c r="BF14" i="20"/>
  <c r="AU21" i="8"/>
  <c r="AM14" i="20"/>
  <c r="AV21" i="2"/>
  <c r="AV21" i="9"/>
  <c r="CA14" i="20"/>
  <c r="AW21" i="8"/>
  <c r="BH14" i="20"/>
  <c r="BZ14" i="20"/>
  <c r="AU21" i="9"/>
  <c r="AS86" i="9"/>
  <c r="BI86" i="9" s="1"/>
  <c r="BM86" i="9" s="1"/>
  <c r="BO86" i="9" s="1"/>
  <c r="BQ66" i="20"/>
  <c r="I111" i="11"/>
  <c r="AR24" i="9"/>
  <c r="BP16" i="20"/>
  <c r="AS40" i="8"/>
  <c r="AW28" i="20"/>
  <c r="AS24" i="8"/>
  <c r="AW16" i="20"/>
  <c r="AW23" i="8"/>
  <c r="BH15" i="20"/>
  <c r="AS39" i="8"/>
  <c r="BI39" i="8" s="1"/>
  <c r="AW27" i="20"/>
  <c r="AC33" i="20"/>
  <c r="AC24" i="20"/>
  <c r="AR22" i="8"/>
  <c r="AV15" i="20"/>
  <c r="AK23" i="20"/>
  <c r="BQ60" i="20"/>
  <c r="BQ36" i="20"/>
  <c r="AR40" i="8"/>
  <c r="AV28" i="20"/>
  <c r="AW62" i="20"/>
  <c r="Z32" i="20"/>
  <c r="Z23" i="20"/>
  <c r="G63" i="19" s="1"/>
  <c r="AQ22" i="9"/>
  <c r="BO15" i="20"/>
  <c r="AV23" i="9"/>
  <c r="CA15" i="20"/>
  <c r="AQ22" i="8"/>
  <c r="AU15" i="20"/>
  <c r="AR24" i="8"/>
  <c r="AV16" i="20"/>
  <c r="AV23" i="8"/>
  <c r="BG15" i="20"/>
  <c r="AW36" i="20"/>
  <c r="AW25" i="9"/>
  <c r="AW131" i="9" s="1"/>
  <c r="AW136" i="9" s="1"/>
  <c r="CB16" i="20"/>
  <c r="AQ24" i="16"/>
  <c r="G16" i="20"/>
  <c r="G55" i="19" s="1"/>
  <c r="AS22" i="9"/>
  <c r="BQ15" i="20"/>
  <c r="AT19" i="8"/>
  <c r="BE13" i="20"/>
  <c r="BQ59" i="20"/>
  <c r="AU23" i="9"/>
  <c r="BZ15" i="20"/>
  <c r="BQ62" i="20"/>
  <c r="AU23" i="8"/>
  <c r="BF15" i="20"/>
  <c r="AS24" i="9"/>
  <c r="BQ16" i="20"/>
  <c r="AT34" i="8"/>
  <c r="BE32" i="20"/>
  <c r="AS35" i="8"/>
  <c r="BI35" i="8" s="1"/>
  <c r="AW33" i="20"/>
  <c r="AS46" i="2"/>
  <c r="BI46" i="2" s="1"/>
  <c r="AQ47" i="8"/>
  <c r="AQ46" i="8"/>
  <c r="AP33" i="8"/>
  <c r="AT32" i="20"/>
  <c r="AP44" i="2"/>
  <c r="BI44" i="2" s="1"/>
  <c r="AQ47" i="2"/>
  <c r="I15" i="11"/>
  <c r="AR132" i="2"/>
  <c r="AS53" i="8"/>
  <c r="BI53" i="8" s="1"/>
  <c r="AQ49" i="8"/>
  <c r="AQ23" i="9"/>
  <c r="BE24" i="20"/>
  <c r="BI40" i="2"/>
  <c r="H153" i="2"/>
  <c r="AS25" i="2"/>
  <c r="AQ39" i="2"/>
  <c r="AQ23" i="8"/>
  <c r="AS36" i="8"/>
  <c r="BI36" i="8" s="1"/>
  <c r="AT34" i="2"/>
  <c r="BI24" i="2"/>
  <c r="AS35" i="2"/>
  <c r="BI35" i="2" s="1"/>
  <c r="AT19" i="2"/>
  <c r="AP33" i="2"/>
  <c r="AQ22" i="2"/>
  <c r="BI49" i="9"/>
  <c r="AQ53" i="16"/>
  <c r="AQ53" i="2"/>
  <c r="BI53" i="2" s="1"/>
  <c r="AS25" i="8"/>
  <c r="H154" i="17"/>
  <c r="T154" i="17" s="1"/>
  <c r="K81" i="9" s="1"/>
  <c r="H202" i="17"/>
  <c r="T202" i="17" s="1"/>
  <c r="H186" i="17"/>
  <c r="T186" i="17" s="1"/>
  <c r="K85" i="9" s="1"/>
  <c r="H178" i="17"/>
  <c r="T178" i="17" s="1"/>
  <c r="H170" i="17"/>
  <c r="T170" i="17" s="1"/>
  <c r="H162" i="17"/>
  <c r="T162" i="17" s="1"/>
  <c r="H146" i="17"/>
  <c r="T146" i="17" s="1"/>
  <c r="H138" i="17"/>
  <c r="T138" i="17" s="1"/>
  <c r="AR22" i="2"/>
  <c r="H80" i="19"/>
  <c r="J80" i="19" s="1"/>
  <c r="AR25" i="2"/>
  <c r="AU23" i="2"/>
  <c r="F421" i="17"/>
  <c r="F414" i="17"/>
  <c r="F407" i="17"/>
  <c r="F400" i="17"/>
  <c r="F393" i="17"/>
  <c r="F386" i="17"/>
  <c r="F379" i="17"/>
  <c r="F372" i="17"/>
  <c r="F365" i="17"/>
  <c r="F354" i="17"/>
  <c r="F347" i="17"/>
  <c r="F340" i="17"/>
  <c r="AP116" i="2"/>
  <c r="AR25" i="8"/>
  <c r="AS23" i="9"/>
  <c r="AR25" i="9"/>
  <c r="S125" i="17"/>
  <c r="I69" i="8" s="1"/>
  <c r="AU51" i="20" s="1"/>
  <c r="G93" i="17"/>
  <c r="S93" i="17" s="1"/>
  <c r="G77" i="17"/>
  <c r="S77" i="17" s="1"/>
  <c r="I63" i="8" s="1"/>
  <c r="G53" i="17"/>
  <c r="S53" i="17" s="1"/>
  <c r="I60" i="8" s="1"/>
  <c r="G29" i="17"/>
  <c r="S29" i="17" s="1"/>
  <c r="G21" i="17"/>
  <c r="S21" i="17" s="1"/>
  <c r="I56" i="8" s="1"/>
  <c r="G117" i="17"/>
  <c r="S117" i="17" s="1"/>
  <c r="I68" i="8" s="1"/>
  <c r="G109" i="17"/>
  <c r="S109" i="17" s="1"/>
  <c r="I67" i="8" s="1"/>
  <c r="G85" i="17"/>
  <c r="S85" i="17" s="1"/>
  <c r="I64" i="8" s="1"/>
  <c r="G45" i="17"/>
  <c r="S45" i="17" s="1"/>
  <c r="I59" i="8" s="1"/>
  <c r="G61" i="17"/>
  <c r="S61" i="17" s="1"/>
  <c r="I61" i="8" s="1"/>
  <c r="G37" i="17"/>
  <c r="S37" i="17" s="1"/>
  <c r="I58" i="8" s="1"/>
  <c r="F294" i="17"/>
  <c r="F301" i="17"/>
  <c r="F329" i="17"/>
  <c r="F308" i="17"/>
  <c r="F213" i="17"/>
  <c r="F322" i="17"/>
  <c r="F315" i="17"/>
  <c r="F287" i="17"/>
  <c r="F280" i="17"/>
  <c r="F273" i="17"/>
  <c r="F266" i="17"/>
  <c r="F227" i="17"/>
  <c r="F220" i="17"/>
  <c r="F255" i="17"/>
  <c r="F248" i="17"/>
  <c r="F234" i="17"/>
  <c r="AP96" i="2"/>
  <c r="AQ36" i="2"/>
  <c r="AQ25" i="2"/>
  <c r="AS22" i="2"/>
  <c r="AS39" i="2"/>
  <c r="AW23" i="2"/>
  <c r="AR23" i="8"/>
  <c r="AV25" i="2"/>
  <c r="AS25" i="9"/>
  <c r="AQ132" i="8"/>
  <c r="AS53" i="16"/>
  <c r="T73" i="16"/>
  <c r="H138" i="19"/>
  <c r="AG61" i="20"/>
  <c r="BI68" i="9" l="1"/>
  <c r="BM68" i="9" s="1"/>
  <c r="BO68" i="9" s="1"/>
  <c r="H155" i="9"/>
  <c r="H155" i="23"/>
  <c r="BI69" i="23"/>
  <c r="BM69" i="23" s="1"/>
  <c r="BO69" i="23" s="1"/>
  <c r="H156" i="23"/>
  <c r="I156" i="23" s="1"/>
  <c r="BI64" i="9"/>
  <c r="BM64" i="9" s="1"/>
  <c r="BO64" i="9" s="1"/>
  <c r="BI60" i="9"/>
  <c r="BM60" i="9" s="1"/>
  <c r="BO60" i="9" s="1"/>
  <c r="AU47" i="20"/>
  <c r="AQ64" i="8"/>
  <c r="BI64" i="8" s="1"/>
  <c r="BM64" i="8" s="1"/>
  <c r="BO64" i="8" s="1"/>
  <c r="AU50" i="20"/>
  <c r="AQ68" i="8"/>
  <c r="BI68" i="8" s="1"/>
  <c r="BM68" i="8" s="1"/>
  <c r="BO68" i="8" s="1"/>
  <c r="BI58" i="9"/>
  <c r="BM58" i="9" s="1"/>
  <c r="BO58" i="9" s="1"/>
  <c r="AU49" i="20"/>
  <c r="AQ67" i="8"/>
  <c r="BI67" i="8" s="1"/>
  <c r="BM67" i="8" s="1"/>
  <c r="BO67" i="8" s="1"/>
  <c r="AU41" i="20"/>
  <c r="AQ58" i="8"/>
  <c r="BI58" i="8" s="1"/>
  <c r="BM58" i="8" s="1"/>
  <c r="BO58" i="8" s="1"/>
  <c r="AU43" i="20"/>
  <c r="AQ60" i="8"/>
  <c r="BI60" i="8" s="1"/>
  <c r="BM60" i="8" s="1"/>
  <c r="BO60" i="8" s="1"/>
  <c r="AU40" i="20"/>
  <c r="AQ56" i="8"/>
  <c r="AU44" i="20"/>
  <c r="AQ61" i="8"/>
  <c r="BI61" i="8" s="1"/>
  <c r="BM61" i="8" s="1"/>
  <c r="BO61" i="8" s="1"/>
  <c r="AU46" i="20"/>
  <c r="AQ63" i="8"/>
  <c r="BI63" i="8" s="1"/>
  <c r="BM63" i="8" s="1"/>
  <c r="BO63" i="8" s="1"/>
  <c r="BI56" i="9"/>
  <c r="BM56" i="9" s="1"/>
  <c r="BO56" i="9" s="1"/>
  <c r="BI63" i="9"/>
  <c r="BM63" i="9" s="1"/>
  <c r="BO63" i="9" s="1"/>
  <c r="AU42" i="20"/>
  <c r="AQ59" i="8"/>
  <c r="BI59" i="8" s="1"/>
  <c r="BM59" i="8" s="1"/>
  <c r="BO59" i="8" s="1"/>
  <c r="BI58" i="23"/>
  <c r="BM58" i="23" s="1"/>
  <c r="BO58" i="23" s="1"/>
  <c r="AS133" i="23"/>
  <c r="AS133" i="22"/>
  <c r="BI57" i="23"/>
  <c r="BM57" i="23" s="1"/>
  <c r="BI68" i="23"/>
  <c r="BM68" i="23" s="1"/>
  <c r="BO68" i="23" s="1"/>
  <c r="AQ69" i="22"/>
  <c r="AQ68" i="22"/>
  <c r="BI60" i="23"/>
  <c r="BM60" i="23" s="1"/>
  <c r="BO60" i="23" s="1"/>
  <c r="BQ64" i="20"/>
  <c r="AS81" i="23"/>
  <c r="BI81" i="23" s="1"/>
  <c r="BM81" i="23" s="1"/>
  <c r="BO81" i="23" s="1"/>
  <c r="AS79" i="23"/>
  <c r="AS80" i="23"/>
  <c r="BI80" i="23" s="1"/>
  <c r="BM80" i="23" s="1"/>
  <c r="BO80" i="23" s="1"/>
  <c r="AQ133" i="23"/>
  <c r="BI56" i="23"/>
  <c r="BI59" i="23"/>
  <c r="BM59" i="23" s="1"/>
  <c r="BO59" i="23" s="1"/>
  <c r="AS82" i="23"/>
  <c r="BI82" i="23" s="1"/>
  <c r="BM82" i="23" s="1"/>
  <c r="BO82" i="23" s="1"/>
  <c r="AS83" i="23"/>
  <c r="BI83" i="23" s="1"/>
  <c r="BM83" i="23" s="1"/>
  <c r="BO83" i="23" s="1"/>
  <c r="AS84" i="23"/>
  <c r="BI84" i="23" s="1"/>
  <c r="BM84" i="23" s="1"/>
  <c r="BO84" i="23" s="1"/>
  <c r="BQ65" i="20"/>
  <c r="AS85" i="23"/>
  <c r="BI85" i="23" s="1"/>
  <c r="BM85" i="23" s="1"/>
  <c r="BO85" i="23" s="1"/>
  <c r="AQ134" i="23"/>
  <c r="AS87" i="23"/>
  <c r="BI87" i="23" s="1"/>
  <c r="BM87" i="23" s="1"/>
  <c r="BO87" i="23" s="1"/>
  <c r="AV131" i="2"/>
  <c r="AV136" i="2" s="1"/>
  <c r="N25" i="16"/>
  <c r="R75" i="16"/>
  <c r="N61" i="20" s="1"/>
  <c r="I124" i="11"/>
  <c r="BI40" i="8"/>
  <c r="BJ21" i="8"/>
  <c r="K23" i="16"/>
  <c r="AS23" i="16" s="1"/>
  <c r="I23" i="16"/>
  <c r="AQ23" i="16" s="1"/>
  <c r="AL16" i="20"/>
  <c r="M25" i="16"/>
  <c r="AK25" i="20"/>
  <c r="J23" i="16"/>
  <c r="AR23" i="16" s="1"/>
  <c r="J25" i="16"/>
  <c r="AR25" i="16" s="1"/>
  <c r="K25" i="16"/>
  <c r="AS25" i="16" s="1"/>
  <c r="AN16" i="20"/>
  <c r="O25" i="16"/>
  <c r="AK32" i="20"/>
  <c r="BJ21" i="9"/>
  <c r="AN14" i="20"/>
  <c r="AW21" i="2"/>
  <c r="AL14" i="20"/>
  <c r="AU21" i="2"/>
  <c r="BI24" i="9"/>
  <c r="R14" i="20"/>
  <c r="AU21" i="16"/>
  <c r="T14" i="20"/>
  <c r="AW21" i="16"/>
  <c r="S15" i="20"/>
  <c r="AQ132" i="2"/>
  <c r="I22" i="11"/>
  <c r="AT45" i="2"/>
  <c r="BJ45" i="2" s="1"/>
  <c r="AR131" i="8"/>
  <c r="I24" i="11"/>
  <c r="AS131" i="8"/>
  <c r="H145" i="19"/>
  <c r="J145" i="19" s="1"/>
  <c r="H140" i="19"/>
  <c r="G145" i="19"/>
  <c r="I112" i="11"/>
  <c r="AR24" i="16"/>
  <c r="H16" i="20"/>
  <c r="AS24" i="16"/>
  <c r="I16" i="20"/>
  <c r="AS22" i="16"/>
  <c r="I15" i="20"/>
  <c r="G53" i="19" s="1"/>
  <c r="G54" i="19" s="1"/>
  <c r="AU23" i="16"/>
  <c r="R15" i="20"/>
  <c r="AU25" i="9"/>
  <c r="BZ16" i="20"/>
  <c r="AT37" i="8"/>
  <c r="BJ37" i="8" s="1"/>
  <c r="BM37" i="8" s="1"/>
  <c r="BO37" i="8" s="1"/>
  <c r="BE25" i="20"/>
  <c r="AW25" i="8"/>
  <c r="AW131" i="8" s="1"/>
  <c r="AW136" i="8" s="1"/>
  <c r="BH16" i="20"/>
  <c r="AR22" i="16"/>
  <c r="H15" i="20"/>
  <c r="G51" i="19" s="1"/>
  <c r="G52" i="19" s="1"/>
  <c r="AU25" i="8"/>
  <c r="AU131" i="8" s="1"/>
  <c r="AU136" i="8" s="1"/>
  <c r="BF16" i="20"/>
  <c r="AV25" i="9"/>
  <c r="CA16" i="20"/>
  <c r="AT47" i="2"/>
  <c r="BJ47" i="2" s="1"/>
  <c r="AK24" i="20"/>
  <c r="AW23" i="16"/>
  <c r="T15" i="20"/>
  <c r="AQ22" i="16"/>
  <c r="G15" i="20"/>
  <c r="G49" i="19" s="1"/>
  <c r="G50" i="19" s="1"/>
  <c r="H55" i="19" s="1"/>
  <c r="J55" i="19" s="1"/>
  <c r="AV25" i="8"/>
  <c r="AV131" i="8" s="1"/>
  <c r="AV136" i="8" s="1"/>
  <c r="BG16" i="20"/>
  <c r="AT36" i="8"/>
  <c r="BJ36" i="8" s="1"/>
  <c r="BE33" i="20"/>
  <c r="AP45" i="8"/>
  <c r="BI45" i="8" s="1"/>
  <c r="AP44" i="8"/>
  <c r="BI44" i="8" s="1"/>
  <c r="AS47" i="2"/>
  <c r="BI47" i="2" s="1"/>
  <c r="AP45" i="2"/>
  <c r="BI45" i="2" s="1"/>
  <c r="AT45" i="8"/>
  <c r="AS47" i="8"/>
  <c r="BI47" i="8" s="1"/>
  <c r="AS46" i="8"/>
  <c r="BI46" i="8" s="1"/>
  <c r="I23" i="11"/>
  <c r="BI25" i="2"/>
  <c r="I10" i="11"/>
  <c r="AP34" i="8"/>
  <c r="BI34" i="8" s="1"/>
  <c r="AV23" i="16"/>
  <c r="AR132" i="8"/>
  <c r="H152" i="8"/>
  <c r="BI24" i="8"/>
  <c r="H146" i="8"/>
  <c r="AR131" i="9"/>
  <c r="I17" i="11"/>
  <c r="BI25" i="9"/>
  <c r="I16" i="11"/>
  <c r="BI25" i="8"/>
  <c r="R308" i="17"/>
  <c r="R393" i="17"/>
  <c r="AR23" i="2"/>
  <c r="AR131" i="2" s="1"/>
  <c r="AR136" i="2" s="1"/>
  <c r="BI33" i="2"/>
  <c r="I50" i="11"/>
  <c r="I20" i="11"/>
  <c r="AT37" i="2"/>
  <c r="BJ37" i="2" s="1"/>
  <c r="BM37" i="2" s="1"/>
  <c r="BO37" i="2" s="1"/>
  <c r="BI22" i="9"/>
  <c r="H145" i="9"/>
  <c r="AQ131" i="9"/>
  <c r="AW25" i="2"/>
  <c r="AQ84" i="9"/>
  <c r="AS23" i="2"/>
  <c r="AS131" i="2" s="1"/>
  <c r="BI96" i="2"/>
  <c r="R255" i="17"/>
  <c r="R266" i="17"/>
  <c r="R315" i="17"/>
  <c r="R329" i="17"/>
  <c r="AS131" i="9"/>
  <c r="H146" i="9"/>
  <c r="H153" i="8"/>
  <c r="R340" i="17"/>
  <c r="R372" i="17"/>
  <c r="R400" i="17"/>
  <c r="AQ80" i="9"/>
  <c r="AQ82" i="9"/>
  <c r="AT36" i="2"/>
  <c r="BJ36" i="2" s="1"/>
  <c r="BJ34" i="8"/>
  <c r="AS69" i="8"/>
  <c r="AS69" i="9"/>
  <c r="R365" i="17"/>
  <c r="R421" i="17"/>
  <c r="AQ83" i="9"/>
  <c r="AQ79" i="9"/>
  <c r="I12" i="11"/>
  <c r="R220" i="17"/>
  <c r="R273" i="17"/>
  <c r="R322" i="17"/>
  <c r="R301" i="17"/>
  <c r="BI116" i="2"/>
  <c r="R347" i="17"/>
  <c r="R379" i="17"/>
  <c r="R407" i="17"/>
  <c r="BJ23" i="2"/>
  <c r="AU25" i="2"/>
  <c r="BI33" i="8"/>
  <c r="AQ81" i="9"/>
  <c r="I11" i="11"/>
  <c r="AQ69" i="8"/>
  <c r="AQ69" i="9"/>
  <c r="BJ19" i="8"/>
  <c r="BJ17" i="8" s="1"/>
  <c r="AT131" i="8"/>
  <c r="BJ23" i="8"/>
  <c r="BI22" i="2"/>
  <c r="AQ23" i="2"/>
  <c r="BJ19" i="2"/>
  <c r="BJ17" i="2" s="1"/>
  <c r="AT131" i="2"/>
  <c r="AS36" i="2"/>
  <c r="BI36" i="2" s="1"/>
  <c r="BJ23" i="9"/>
  <c r="BJ34" i="2"/>
  <c r="BI23" i="8"/>
  <c r="BI39" i="2"/>
  <c r="H152" i="2"/>
  <c r="AQ85" i="9"/>
  <c r="R248" i="17"/>
  <c r="R287" i="17"/>
  <c r="AP34" i="2"/>
  <c r="BI34" i="2" s="1"/>
  <c r="H146" i="2"/>
  <c r="R234" i="17"/>
  <c r="R227" i="17"/>
  <c r="R280" i="17"/>
  <c r="R213" i="17"/>
  <c r="R294" i="17"/>
  <c r="BI49" i="8"/>
  <c r="R354" i="17"/>
  <c r="R386" i="17"/>
  <c r="R414" i="17"/>
  <c r="BI53" i="16"/>
  <c r="AQ87" i="9"/>
  <c r="AS132" i="8"/>
  <c r="BI22" i="8"/>
  <c r="H145" i="8"/>
  <c r="AQ131" i="8"/>
  <c r="BI23" i="9"/>
  <c r="AY60" i="20"/>
  <c r="BV61" i="20"/>
  <c r="H158" i="23" l="1"/>
  <c r="BI68" i="22"/>
  <c r="BM68" i="22" s="1"/>
  <c r="BO68" i="22" s="1"/>
  <c r="H155" i="22"/>
  <c r="BI69" i="22"/>
  <c r="BM69" i="22" s="1"/>
  <c r="BO69" i="22" s="1"/>
  <c r="H156" i="22"/>
  <c r="I156" i="22" s="1"/>
  <c r="BI56" i="8"/>
  <c r="BM56" i="8" s="1"/>
  <c r="BO56" i="8" s="1"/>
  <c r="H155" i="8"/>
  <c r="AQ136" i="23"/>
  <c r="I158" i="23"/>
  <c r="AS134" i="23"/>
  <c r="AS136" i="23" s="1"/>
  <c r="AQ133" i="22"/>
  <c r="BI79" i="23"/>
  <c r="I155" i="23"/>
  <c r="BI48" i="23"/>
  <c r="BM56" i="23"/>
  <c r="BO56" i="23" s="1"/>
  <c r="AP98" i="21"/>
  <c r="BI98" i="21" s="1"/>
  <c r="BM98" i="21" s="1"/>
  <c r="BO98" i="21" s="1"/>
  <c r="AP126" i="21"/>
  <c r="BI126" i="21" s="1"/>
  <c r="BM126" i="21" s="1"/>
  <c r="BO126" i="21" s="1"/>
  <c r="AP105" i="21"/>
  <c r="AP124" i="21"/>
  <c r="BI124" i="21" s="1"/>
  <c r="BM124" i="21" s="1"/>
  <c r="BO124" i="21" s="1"/>
  <c r="AP122" i="21"/>
  <c r="BI122" i="21" s="1"/>
  <c r="BM122" i="21" s="1"/>
  <c r="BO122" i="21" s="1"/>
  <c r="AP103" i="21"/>
  <c r="BI103" i="21" s="1"/>
  <c r="BM103" i="21" s="1"/>
  <c r="BO103" i="21" s="1"/>
  <c r="AP100" i="21"/>
  <c r="BI100" i="21" s="1"/>
  <c r="BM100" i="21" s="1"/>
  <c r="BO100" i="21" s="1"/>
  <c r="AP117" i="21"/>
  <c r="AP119" i="21"/>
  <c r="BI119" i="21" s="1"/>
  <c r="BM119" i="21" s="1"/>
  <c r="BO119" i="21" s="1"/>
  <c r="AP109" i="21"/>
  <c r="BI109" i="21" s="1"/>
  <c r="BM109" i="21" s="1"/>
  <c r="BO109" i="21" s="1"/>
  <c r="AP129" i="21"/>
  <c r="BI129" i="21" s="1"/>
  <c r="BM129" i="21" s="1"/>
  <c r="BO129" i="21" s="1"/>
  <c r="AP125" i="21"/>
  <c r="BI125" i="21" s="1"/>
  <c r="BM125" i="21" s="1"/>
  <c r="BO125" i="21" s="1"/>
  <c r="AP128" i="21"/>
  <c r="BI128" i="21" s="1"/>
  <c r="BM128" i="21" s="1"/>
  <c r="BO128" i="21" s="1"/>
  <c r="AP97" i="21"/>
  <c r="AP127" i="21"/>
  <c r="BI127" i="21" s="1"/>
  <c r="BM127" i="21" s="1"/>
  <c r="BO127" i="21" s="1"/>
  <c r="AP110" i="21"/>
  <c r="BI110" i="21" s="1"/>
  <c r="BM110" i="21" s="1"/>
  <c r="BO110" i="21" s="1"/>
  <c r="AP121" i="21"/>
  <c r="AP107" i="21"/>
  <c r="BI107" i="21" s="1"/>
  <c r="BM107" i="21" s="1"/>
  <c r="BO107" i="21" s="1"/>
  <c r="AP108" i="21"/>
  <c r="BI108" i="21" s="1"/>
  <c r="BM108" i="21" s="1"/>
  <c r="BO108" i="21" s="1"/>
  <c r="AP123" i="21"/>
  <c r="BI123" i="21" s="1"/>
  <c r="BM123" i="21" s="1"/>
  <c r="BO123" i="21" s="1"/>
  <c r="AP113" i="21"/>
  <c r="BI113" i="21" s="1"/>
  <c r="BM113" i="21" s="1"/>
  <c r="BO113" i="21" s="1"/>
  <c r="AP114" i="21"/>
  <c r="BI114" i="21" s="1"/>
  <c r="BM114" i="21" s="1"/>
  <c r="BO114" i="21" s="1"/>
  <c r="AP99" i="21"/>
  <c r="BI99" i="21" s="1"/>
  <c r="BM99" i="21" s="1"/>
  <c r="BO99" i="21" s="1"/>
  <c r="AP102" i="21"/>
  <c r="BI102" i="21" s="1"/>
  <c r="BM102" i="21" s="1"/>
  <c r="BO102" i="21" s="1"/>
  <c r="AP118" i="21"/>
  <c r="BI118" i="21" s="1"/>
  <c r="BM118" i="21" s="1"/>
  <c r="BO118" i="21" s="1"/>
  <c r="AP106" i="21"/>
  <c r="BI106" i="21" s="1"/>
  <c r="BM106" i="21" s="1"/>
  <c r="BO106" i="21" s="1"/>
  <c r="AP112" i="21"/>
  <c r="BI112" i="21" s="1"/>
  <c r="BM112" i="21" s="1"/>
  <c r="BO112" i="21" s="1"/>
  <c r="AP111" i="21"/>
  <c r="BI111" i="21" s="1"/>
  <c r="BM111" i="21" s="1"/>
  <c r="BO111" i="21" s="1"/>
  <c r="AK33" i="20"/>
  <c r="AW131" i="2"/>
  <c r="AW136" i="2" s="1"/>
  <c r="BJ21" i="2"/>
  <c r="S14" i="20"/>
  <c r="AV21" i="16"/>
  <c r="BJ21" i="16" s="1"/>
  <c r="BI23" i="2"/>
  <c r="AR136" i="8"/>
  <c r="H149" i="9"/>
  <c r="I149" i="9" s="1"/>
  <c r="AV131" i="9"/>
  <c r="AV136" i="9" s="1"/>
  <c r="G102" i="19"/>
  <c r="H102" i="19" s="1"/>
  <c r="J102" i="19" s="1"/>
  <c r="H151" i="8"/>
  <c r="AT133" i="2"/>
  <c r="BI43" i="2"/>
  <c r="AW25" i="16"/>
  <c r="AW131" i="16" s="1"/>
  <c r="AW136" i="16" s="1"/>
  <c r="T16" i="20"/>
  <c r="AV25" i="16"/>
  <c r="S16" i="20"/>
  <c r="AU25" i="16"/>
  <c r="R16" i="20"/>
  <c r="BI43" i="8"/>
  <c r="AT47" i="8"/>
  <c r="BJ47" i="8" s="1"/>
  <c r="BJ43" i="2"/>
  <c r="BJ42" i="2" s="1"/>
  <c r="BJ133" i="2" s="1"/>
  <c r="BJ45" i="8"/>
  <c r="AQ131" i="2"/>
  <c r="BI25" i="16"/>
  <c r="H146" i="16"/>
  <c r="AT132" i="2"/>
  <c r="H149" i="2"/>
  <c r="I149" i="2" s="1"/>
  <c r="AS132" i="2"/>
  <c r="BJ25" i="2"/>
  <c r="BI24" i="16"/>
  <c r="BJ32" i="8"/>
  <c r="BJ28" i="8" s="1"/>
  <c r="BJ132" i="8" s="1"/>
  <c r="AS131" i="16"/>
  <c r="AR131" i="16"/>
  <c r="H128" i="2"/>
  <c r="BM116" i="2"/>
  <c r="H110" i="2"/>
  <c r="H124" i="2"/>
  <c r="AS80" i="9"/>
  <c r="H109" i="2"/>
  <c r="H107" i="2"/>
  <c r="H100" i="2"/>
  <c r="AS82" i="9"/>
  <c r="H102" i="2"/>
  <c r="Z75" i="20" s="1"/>
  <c r="BI23" i="16"/>
  <c r="AU131" i="2"/>
  <c r="AU136" i="2" s="1"/>
  <c r="H121" i="2"/>
  <c r="AT132" i="8"/>
  <c r="H122" i="2"/>
  <c r="BI32" i="2"/>
  <c r="H125" i="2"/>
  <c r="H123" i="2"/>
  <c r="H106" i="2"/>
  <c r="BJ25" i="9"/>
  <c r="BJ25" i="8"/>
  <c r="BJ20" i="8" s="1"/>
  <c r="BJ16" i="8" s="1"/>
  <c r="H114" i="2"/>
  <c r="H105" i="2"/>
  <c r="AS85" i="9"/>
  <c r="BJ23" i="16"/>
  <c r="H97" i="2"/>
  <c r="H99" i="2"/>
  <c r="H108" i="2"/>
  <c r="BJ32" i="2"/>
  <c r="BJ28" i="2" s="1"/>
  <c r="BJ132" i="2" s="1"/>
  <c r="AS79" i="9"/>
  <c r="H78" i="19"/>
  <c r="J78" i="19" s="1"/>
  <c r="H145" i="2"/>
  <c r="H149" i="8"/>
  <c r="H126" i="2"/>
  <c r="H117" i="2"/>
  <c r="BM96" i="2"/>
  <c r="AS87" i="9"/>
  <c r="H111" i="2"/>
  <c r="H119" i="2"/>
  <c r="AS83" i="9"/>
  <c r="BI22" i="16"/>
  <c r="H145" i="16"/>
  <c r="AQ131" i="16"/>
  <c r="AS84" i="9"/>
  <c r="AU131" i="9"/>
  <c r="AU136" i="9" s="1"/>
  <c r="BI32" i="8"/>
  <c r="H127" i="2"/>
  <c r="H118" i="2"/>
  <c r="H113" i="2"/>
  <c r="H98" i="2"/>
  <c r="H112" i="2"/>
  <c r="H103" i="2"/>
  <c r="Z76" i="20" s="1"/>
  <c r="H151" i="2"/>
  <c r="K60" i="20"/>
  <c r="G153" i="19" s="1"/>
  <c r="J153" i="19" s="1"/>
  <c r="H161" i="21" l="1"/>
  <c r="I161" i="21" s="1"/>
  <c r="H162" i="21"/>
  <c r="BI48" i="22"/>
  <c r="I155" i="22"/>
  <c r="BI42" i="23"/>
  <c r="BM48" i="23"/>
  <c r="BI70" i="23"/>
  <c r="BM79" i="23"/>
  <c r="BO79" i="23" s="1"/>
  <c r="BI117" i="21"/>
  <c r="H163" i="21"/>
  <c r="I163" i="21" s="1"/>
  <c r="I162" i="21"/>
  <c r="BI105" i="21"/>
  <c r="BI97" i="21"/>
  <c r="AP135" i="21"/>
  <c r="AP136" i="21" s="1"/>
  <c r="BI121" i="21"/>
  <c r="H164" i="21"/>
  <c r="I164" i="21" s="1"/>
  <c r="BJ20" i="9"/>
  <c r="BJ20" i="2"/>
  <c r="BJ16" i="2" s="1"/>
  <c r="BJ131" i="2" s="1"/>
  <c r="BJ139" i="2" s="1"/>
  <c r="BM139" i="2" s="1"/>
  <c r="BO139" i="2" s="1"/>
  <c r="AV131" i="16"/>
  <c r="AV136" i="16" s="1"/>
  <c r="Z72" i="20"/>
  <c r="Z95" i="20"/>
  <c r="Z71" i="20"/>
  <c r="Z91" i="20"/>
  <c r="Z90" i="20"/>
  <c r="Z81" i="20"/>
  <c r="Z83" i="20"/>
  <c r="Z100" i="20"/>
  <c r="Z87" i="20"/>
  <c r="Z84" i="20"/>
  <c r="Z99" i="20"/>
  <c r="Z70" i="20"/>
  <c r="Z94" i="20"/>
  <c r="Z82" i="20"/>
  <c r="Z97" i="20"/>
  <c r="Z98" i="20"/>
  <c r="Z73" i="20"/>
  <c r="Z101" i="20"/>
  <c r="Z96" i="20"/>
  <c r="Z85" i="20"/>
  <c r="Z86" i="20"/>
  <c r="Z92" i="20"/>
  <c r="Z78" i="20"/>
  <c r="Z79" i="20"/>
  <c r="Z80" i="20"/>
  <c r="BJ131" i="8"/>
  <c r="BJ139" i="8" s="1"/>
  <c r="BM139" i="8" s="1"/>
  <c r="BO139" i="8" s="1"/>
  <c r="AT136" i="2"/>
  <c r="AT133" i="8"/>
  <c r="AT136" i="8" s="1"/>
  <c r="G103" i="19"/>
  <c r="H103" i="19" s="1"/>
  <c r="J103" i="19" s="1"/>
  <c r="BJ43" i="8"/>
  <c r="BJ42" i="8" s="1"/>
  <c r="BJ133" i="8" s="1"/>
  <c r="H148" i="2"/>
  <c r="I148" i="2" s="1"/>
  <c r="AS81" i="9"/>
  <c r="BI81" i="9" s="1"/>
  <c r="BM81" i="9" s="1"/>
  <c r="BO81" i="9" s="1"/>
  <c r="H149" i="16"/>
  <c r="I149" i="16" s="1"/>
  <c r="AP108" i="2"/>
  <c r="BI108" i="2" s="1"/>
  <c r="BM108" i="2" s="1"/>
  <c r="BO108" i="2" s="1"/>
  <c r="AP122" i="2"/>
  <c r="BI122" i="2" s="1"/>
  <c r="BM122" i="2" s="1"/>
  <c r="BO122" i="2" s="1"/>
  <c r="BI69" i="9"/>
  <c r="BM69" i="9" s="1"/>
  <c r="BO69" i="9" s="1"/>
  <c r="AP119" i="2"/>
  <c r="BI119" i="2" s="1"/>
  <c r="BM119" i="2" s="1"/>
  <c r="BO119" i="2" s="1"/>
  <c r="AP129" i="2"/>
  <c r="BI129" i="2" s="1"/>
  <c r="BM129" i="2" s="1"/>
  <c r="BO129" i="2" s="1"/>
  <c r="AP100" i="2"/>
  <c r="BI100" i="2" s="1"/>
  <c r="BM100" i="2" s="1"/>
  <c r="BO100" i="2" s="1"/>
  <c r="AP110" i="2"/>
  <c r="BI110" i="2" s="1"/>
  <c r="BM110" i="2" s="1"/>
  <c r="BO110" i="2" s="1"/>
  <c r="AP98" i="2"/>
  <c r="BI98" i="2" s="1"/>
  <c r="BM98" i="2" s="1"/>
  <c r="BO98" i="2" s="1"/>
  <c r="AP111" i="2"/>
  <c r="BI111" i="2" s="1"/>
  <c r="BM111" i="2" s="1"/>
  <c r="BO111" i="2" s="1"/>
  <c r="AP97" i="2"/>
  <c r="BI82" i="9"/>
  <c r="BM82" i="9" s="1"/>
  <c r="BO82" i="9" s="1"/>
  <c r="BJ25" i="16"/>
  <c r="AP117" i="2"/>
  <c r="AP99" i="2"/>
  <c r="BI99" i="2" s="1"/>
  <c r="BM99" i="2" s="1"/>
  <c r="BO99" i="2" s="1"/>
  <c r="AP103" i="2"/>
  <c r="BI103" i="2" s="1"/>
  <c r="BM103" i="2" s="1"/>
  <c r="BO103" i="2" s="1"/>
  <c r="AP112" i="2"/>
  <c r="BI112" i="2" s="1"/>
  <c r="BM112" i="2" s="1"/>
  <c r="BO112" i="2" s="1"/>
  <c r="AP118" i="2"/>
  <c r="BI118" i="2" s="1"/>
  <c r="BM118" i="2" s="1"/>
  <c r="BO118" i="2" s="1"/>
  <c r="AU131" i="16"/>
  <c r="AU136" i="16" s="1"/>
  <c r="AP114" i="2"/>
  <c r="BI114" i="2" s="1"/>
  <c r="BM114" i="2" s="1"/>
  <c r="BO114" i="2" s="1"/>
  <c r="AP102" i="2"/>
  <c r="BI102" i="2" s="1"/>
  <c r="BM102" i="2" s="1"/>
  <c r="BO102" i="2" s="1"/>
  <c r="AP109" i="2"/>
  <c r="BI109" i="2" s="1"/>
  <c r="BM109" i="2" s="1"/>
  <c r="BO109" i="2" s="1"/>
  <c r="AP124" i="2"/>
  <c r="BI124" i="2" s="1"/>
  <c r="BM124" i="2" s="1"/>
  <c r="BO124" i="2" s="1"/>
  <c r="AP128" i="2"/>
  <c r="BI128" i="2" s="1"/>
  <c r="BM128" i="2" s="1"/>
  <c r="BO128" i="2" s="1"/>
  <c r="BI83" i="9"/>
  <c r="BM83" i="9" s="1"/>
  <c r="BO83" i="9" s="1"/>
  <c r="AP127" i="2"/>
  <c r="BI127" i="2" s="1"/>
  <c r="BM127" i="2" s="1"/>
  <c r="BO127" i="2" s="1"/>
  <c r="AP113" i="2"/>
  <c r="BI113" i="2" s="1"/>
  <c r="BM113" i="2" s="1"/>
  <c r="BO113" i="2" s="1"/>
  <c r="BI84" i="9"/>
  <c r="BM84" i="9" s="1"/>
  <c r="BO84" i="9" s="1"/>
  <c r="BI87" i="9"/>
  <c r="BM87" i="9" s="1"/>
  <c r="BO87" i="9" s="1"/>
  <c r="AP126" i="2"/>
  <c r="BI126" i="2" s="1"/>
  <c r="BM126" i="2" s="1"/>
  <c r="BO126" i="2" s="1"/>
  <c r="I149" i="8"/>
  <c r="H148" i="8"/>
  <c r="I148" i="8" s="1"/>
  <c r="AP105" i="2"/>
  <c r="AP106" i="2"/>
  <c r="BI106" i="2" s="1"/>
  <c r="BM106" i="2" s="1"/>
  <c r="BO106" i="2" s="1"/>
  <c r="AP123" i="2"/>
  <c r="BI123" i="2" s="1"/>
  <c r="BM123" i="2" s="1"/>
  <c r="BO123" i="2" s="1"/>
  <c r="AP125" i="2"/>
  <c r="BI125" i="2" s="1"/>
  <c r="BM125" i="2" s="1"/>
  <c r="BO125" i="2" s="1"/>
  <c r="AP121" i="2"/>
  <c r="BI69" i="8"/>
  <c r="BM69" i="8" s="1"/>
  <c r="BO69" i="8" s="1"/>
  <c r="BI85" i="9"/>
  <c r="BM85" i="9" s="1"/>
  <c r="BO85" i="9" s="1"/>
  <c r="AP107" i="2"/>
  <c r="BI107" i="2" s="1"/>
  <c r="BM107" i="2" s="1"/>
  <c r="BO107" i="2" s="1"/>
  <c r="BI80" i="9"/>
  <c r="BM80" i="9" s="1"/>
  <c r="BO80" i="9" s="1"/>
  <c r="H162" i="2" l="1"/>
  <c r="I162" i="2" s="1"/>
  <c r="BI42" i="22"/>
  <c r="BM48" i="22"/>
  <c r="BI134" i="23"/>
  <c r="BM70" i="23"/>
  <c r="BM134" i="23" s="1"/>
  <c r="J12" i="14" s="1"/>
  <c r="BI133" i="23"/>
  <c r="BM42" i="23"/>
  <c r="BM133" i="23" s="1"/>
  <c r="J11" i="14" s="1"/>
  <c r="BI120" i="21"/>
  <c r="BM120" i="21" s="1"/>
  <c r="BM121" i="21"/>
  <c r="BO121" i="21" s="1"/>
  <c r="BI104" i="21"/>
  <c r="BM104" i="21" s="1"/>
  <c r="BM105" i="21"/>
  <c r="BO105" i="21" s="1"/>
  <c r="BI95" i="21"/>
  <c r="BM97" i="21"/>
  <c r="BO97" i="21" s="1"/>
  <c r="BI115" i="21"/>
  <c r="BM115" i="21" s="1"/>
  <c r="BM117" i="21"/>
  <c r="BO117" i="21" s="1"/>
  <c r="BJ20" i="16"/>
  <c r="BJ136" i="2"/>
  <c r="BI105" i="2"/>
  <c r="BJ136" i="8"/>
  <c r="BI97" i="2"/>
  <c r="H161" i="2"/>
  <c r="I161" i="2" s="1"/>
  <c r="AP135" i="2"/>
  <c r="BI79" i="9"/>
  <c r="BI121" i="2"/>
  <c r="H164" i="2"/>
  <c r="I164" i="2" s="1"/>
  <c r="BI117" i="2"/>
  <c r="H163" i="2"/>
  <c r="I163" i="2" s="1"/>
  <c r="BI133" i="22" l="1"/>
  <c r="BM42" i="22"/>
  <c r="BM133" i="22" s="1"/>
  <c r="J11" i="13" s="1"/>
  <c r="BO133" i="23"/>
  <c r="BR133" i="23" s="1"/>
  <c r="BO134" i="23"/>
  <c r="BR134" i="23" s="1"/>
  <c r="BI94" i="21"/>
  <c r="BM95" i="21"/>
  <c r="BM79" i="9"/>
  <c r="BO79" i="9" s="1"/>
  <c r="BM97" i="2"/>
  <c r="BO97" i="2" s="1"/>
  <c r="BI95" i="2"/>
  <c r="BI104" i="2"/>
  <c r="BM104" i="2" s="1"/>
  <c r="BM105" i="2"/>
  <c r="BO105" i="2" s="1"/>
  <c r="BM117" i="2"/>
  <c r="BO117" i="2" s="1"/>
  <c r="BI115" i="2"/>
  <c r="BM115" i="2" s="1"/>
  <c r="BM121" i="2"/>
  <c r="BO121" i="2" s="1"/>
  <c r="BI120" i="2"/>
  <c r="BM120" i="2" s="1"/>
  <c r="BO133" i="22" l="1"/>
  <c r="BR133" i="22" s="1"/>
  <c r="BI135" i="21"/>
  <c r="BM94" i="21"/>
  <c r="BM135" i="21" s="1"/>
  <c r="N34" i="4" s="1"/>
  <c r="BM95" i="2"/>
  <c r="BI94" i="2"/>
  <c r="BO135" i="21" l="1"/>
  <c r="BR135" i="21" s="1"/>
  <c r="BT135" i="23"/>
  <c r="BI135" i="2"/>
  <c r="BM94" i="2"/>
  <c r="BM135" i="2" s="1"/>
  <c r="BU135" i="9" l="1"/>
  <c r="J11" i="19"/>
  <c r="O34" i="4"/>
  <c r="BO135" i="2"/>
  <c r="P13" i="4"/>
  <c r="Q13" i="4" s="1"/>
  <c r="BN13" i="20" l="1"/>
  <c r="AT13" i="20"/>
  <c r="AT14" i="20" l="1"/>
  <c r="AP21" i="8"/>
  <c r="BI21" i="8" s="1"/>
  <c r="BI20" i="8" s="1"/>
  <c r="AP21" i="9"/>
  <c r="BI21" i="9" s="1"/>
  <c r="BI20" i="9" s="1"/>
  <c r="BN14" i="20"/>
  <c r="AP19" i="9"/>
  <c r="BI19" i="9" s="1"/>
  <c r="AP19" i="8"/>
  <c r="BI19" i="8" s="1"/>
  <c r="H21" i="16" l="1"/>
  <c r="H18" i="16"/>
  <c r="Z13" i="20"/>
  <c r="H19" i="16"/>
  <c r="G44" i="19" l="1"/>
  <c r="AP21" i="2"/>
  <c r="BI21" i="2" s="1"/>
  <c r="BI20" i="2" s="1"/>
  <c r="Z14" i="20"/>
  <c r="F13" i="20"/>
  <c r="AP19" i="2"/>
  <c r="BI19" i="2" s="1"/>
  <c r="H56" i="19"/>
  <c r="J56" i="19" s="1"/>
  <c r="I7" i="11"/>
  <c r="H49" i="19" l="1"/>
  <c r="J49" i="19" s="1"/>
  <c r="F14" i="20"/>
  <c r="AP21" i="16"/>
  <c r="BI21" i="16" s="1"/>
  <c r="BI20" i="16" s="1"/>
  <c r="AP19" i="16"/>
  <c r="H53" i="19" l="1"/>
  <c r="J53" i="19" s="1"/>
  <c r="H50" i="19"/>
  <c r="J50" i="19" s="1"/>
  <c r="H54" i="19"/>
  <c r="J54" i="19" s="1"/>
  <c r="H51" i="19"/>
  <c r="J51" i="19" s="1"/>
  <c r="H52" i="19"/>
  <c r="J52" i="19" s="1"/>
  <c r="BI19" i="16"/>
  <c r="H144" i="3" l="1"/>
  <c r="Y18" i="16"/>
  <c r="AA18" i="3"/>
  <c r="Y18" i="9"/>
  <c r="Y18" i="8"/>
  <c r="X18" i="3"/>
  <c r="X131" i="3" s="1"/>
  <c r="Y18" i="2"/>
  <c r="H136" i="3"/>
  <c r="AK72" i="16"/>
  <c r="AK72" i="8"/>
  <c r="AK72" i="9"/>
  <c r="AK72" i="2"/>
  <c r="X22" i="16"/>
  <c r="X22" i="9"/>
  <c r="X22" i="8"/>
  <c r="W22" i="3"/>
  <c r="X22" i="2"/>
  <c r="X53" i="16"/>
  <c r="X53" i="9"/>
  <c r="X53" i="8"/>
  <c r="W53" i="3"/>
  <c r="X53" i="2"/>
  <c r="AA17" i="3" l="1"/>
  <c r="AC18" i="3"/>
  <c r="Y131" i="2"/>
  <c r="Y136" i="2" s="1"/>
  <c r="BF18" i="2"/>
  <c r="BF131" i="2" s="1"/>
  <c r="AP18" i="2"/>
  <c r="BB72" i="16"/>
  <c r="BE22" i="16"/>
  <c r="BF18" i="8"/>
  <c r="BF131" i="8" s="1"/>
  <c r="Y131" i="8"/>
  <c r="Y136" i="8" s="1"/>
  <c r="AP18" i="8"/>
  <c r="BF18" i="16"/>
  <c r="BF131" i="16" s="1"/>
  <c r="Y131" i="16"/>
  <c r="Y136" i="16" s="1"/>
  <c r="AP18" i="16"/>
  <c r="AO53" i="16"/>
  <c r="BH53" i="16" s="1"/>
  <c r="BM53" i="16" s="1"/>
  <c r="BO53" i="16" s="1"/>
  <c r="BE53" i="16"/>
  <c r="BE22" i="9"/>
  <c r="BB72" i="8"/>
  <c r="AO53" i="8"/>
  <c r="BH53" i="8" s="1"/>
  <c r="BM53" i="8" s="1"/>
  <c r="BO53" i="8" s="1"/>
  <c r="BE53" i="8"/>
  <c r="BE22" i="2"/>
  <c r="BB72" i="2"/>
  <c r="AO53" i="9"/>
  <c r="BH53" i="9" s="1"/>
  <c r="BM53" i="9" s="1"/>
  <c r="BO53" i="9" s="1"/>
  <c r="BE53" i="9"/>
  <c r="AO53" i="2"/>
  <c r="BH53" i="2" s="1"/>
  <c r="BM53" i="2" s="1"/>
  <c r="BO53" i="2" s="1"/>
  <c r="BE53" i="2"/>
  <c r="Z72" i="16"/>
  <c r="Z72" i="9"/>
  <c r="Z72" i="8"/>
  <c r="Z72" i="2"/>
  <c r="BE22" i="8"/>
  <c r="BB72" i="9"/>
  <c r="BF18" i="9"/>
  <c r="BF131" i="9" s="1"/>
  <c r="Y131" i="9"/>
  <c r="Y136" i="9" s="1"/>
  <c r="AP18" i="9"/>
  <c r="I144" i="3"/>
  <c r="AC17" i="3" l="1"/>
  <c r="AA16" i="3"/>
  <c r="AC16" i="3" s="1"/>
  <c r="X24" i="16"/>
  <c r="X24" i="9"/>
  <c r="X24" i="8"/>
  <c r="X24" i="2"/>
  <c r="W24" i="3"/>
  <c r="AH41" i="16"/>
  <c r="AH41" i="8"/>
  <c r="AH41" i="9"/>
  <c r="Q132" i="3"/>
  <c r="AH41" i="2"/>
  <c r="Z76" i="16"/>
  <c r="AA76" i="3"/>
  <c r="AC76" i="3" s="1"/>
  <c r="Z76" i="8"/>
  <c r="Z76" i="9"/>
  <c r="Z76" i="2"/>
  <c r="X76" i="3"/>
  <c r="AK76" i="16"/>
  <c r="BB76" i="16" s="1"/>
  <c r="AK76" i="8"/>
  <c r="BB76" i="8" s="1"/>
  <c r="AK76" i="9"/>
  <c r="BB76" i="9" s="1"/>
  <c r="AK76" i="2"/>
  <c r="BB76" i="2" s="1"/>
  <c r="X40" i="16"/>
  <c r="X40" i="9"/>
  <c r="X40" i="8"/>
  <c r="W40" i="3"/>
  <c r="X40" i="2"/>
  <c r="AI41" i="16"/>
  <c r="AI41" i="9"/>
  <c r="AI41" i="8"/>
  <c r="AI41" i="2"/>
  <c r="R132" i="3"/>
  <c r="AJ49" i="16"/>
  <c r="AJ49" i="9"/>
  <c r="AJ49" i="8"/>
  <c r="AJ49" i="2"/>
  <c r="S133" i="3"/>
  <c r="X33" i="16"/>
  <c r="X33" i="9"/>
  <c r="X33" i="8"/>
  <c r="W33" i="3"/>
  <c r="X33" i="2"/>
  <c r="G132" i="3"/>
  <c r="X41" i="16"/>
  <c r="X41" i="8"/>
  <c r="X41" i="9"/>
  <c r="X41" i="2"/>
  <c r="W41" i="3"/>
  <c r="X72" i="16"/>
  <c r="X72" i="9"/>
  <c r="X72" i="8"/>
  <c r="G134" i="3"/>
  <c r="W72" i="3"/>
  <c r="X72" i="2"/>
  <c r="AK40" i="16"/>
  <c r="AK40" i="8"/>
  <c r="AK40" i="9"/>
  <c r="AK40" i="2"/>
  <c r="T132" i="3"/>
  <c r="AH52" i="16"/>
  <c r="AH52" i="9"/>
  <c r="AH52" i="8"/>
  <c r="Q133" i="3"/>
  <c r="AH52" i="2"/>
  <c r="AK49" i="16"/>
  <c r="AK49" i="8"/>
  <c r="AK49" i="9"/>
  <c r="T133" i="3"/>
  <c r="AK49" i="2"/>
  <c r="X76" i="16"/>
  <c r="X76" i="8"/>
  <c r="X76" i="9"/>
  <c r="W76" i="3"/>
  <c r="X76" i="2"/>
  <c r="AG73" i="16"/>
  <c r="AG73" i="9"/>
  <c r="AG73" i="8"/>
  <c r="P134" i="3"/>
  <c r="AG73" i="2"/>
  <c r="AJ72" i="16"/>
  <c r="AJ72" i="9"/>
  <c r="AJ72" i="8"/>
  <c r="AJ72" i="2"/>
  <c r="S134" i="3"/>
  <c r="BF138" i="9"/>
  <c r="AA131" i="3"/>
  <c r="AC131" i="3"/>
  <c r="BF138" i="8"/>
  <c r="X50" i="16"/>
  <c r="X50" i="9"/>
  <c r="X50" i="8"/>
  <c r="W50" i="3"/>
  <c r="X50" i="2"/>
  <c r="AK50" i="16"/>
  <c r="BB50" i="16" s="1"/>
  <c r="AK50" i="8"/>
  <c r="BB50" i="8" s="1"/>
  <c r="AK50" i="9"/>
  <c r="BB50" i="9" s="1"/>
  <c r="AK50" i="2"/>
  <c r="BB50" i="2" s="1"/>
  <c r="AB73" i="16"/>
  <c r="AB73" i="8"/>
  <c r="AB73" i="9"/>
  <c r="AS73" i="9" s="1"/>
  <c r="AB73" i="2"/>
  <c r="BI18" i="9"/>
  <c r="BI17" i="9" s="1"/>
  <c r="H144" i="9"/>
  <c r="AP131" i="9"/>
  <c r="BI18" i="8"/>
  <c r="BI17" i="8" s="1"/>
  <c r="AP131" i="8"/>
  <c r="H144" i="8"/>
  <c r="BF138" i="2"/>
  <c r="AL24" i="16"/>
  <c r="AL24" i="8"/>
  <c r="AL24" i="9"/>
  <c r="U136" i="3"/>
  <c r="AL24" i="2"/>
  <c r="X18" i="16"/>
  <c r="X18" i="8"/>
  <c r="X18" i="9"/>
  <c r="W18" i="3"/>
  <c r="X18" i="2"/>
  <c r="X35" i="16"/>
  <c r="X35" i="9"/>
  <c r="X35" i="8"/>
  <c r="W35" i="3"/>
  <c r="X35" i="2"/>
  <c r="X49" i="16"/>
  <c r="X49" i="9"/>
  <c r="X49" i="8"/>
  <c r="W49" i="3"/>
  <c r="G133" i="3"/>
  <c r="X49" i="2"/>
  <c r="X73" i="16"/>
  <c r="X73" i="8"/>
  <c r="X73" i="9"/>
  <c r="W73" i="3"/>
  <c r="X73" i="2"/>
  <c r="AI52" i="16"/>
  <c r="AI52" i="8"/>
  <c r="AI52" i="9"/>
  <c r="AI52" i="2"/>
  <c r="R133" i="3"/>
  <c r="AH75" i="16"/>
  <c r="AH75" i="8"/>
  <c r="AH75" i="9"/>
  <c r="Q134" i="3"/>
  <c r="AH75" i="2"/>
  <c r="AK73" i="16"/>
  <c r="AK73" i="9"/>
  <c r="AK73" i="8"/>
  <c r="AK73" i="2"/>
  <c r="T134" i="3"/>
  <c r="AQ72" i="9"/>
  <c r="BF138" i="16"/>
  <c r="BI18" i="2"/>
  <c r="BI17" i="2" s="1"/>
  <c r="H144" i="2"/>
  <c r="AP131" i="2"/>
  <c r="X39" i="16"/>
  <c r="X39" i="8"/>
  <c r="X39" i="9"/>
  <c r="W39" i="3"/>
  <c r="X39" i="2"/>
  <c r="AB50" i="16"/>
  <c r="AB50" i="9"/>
  <c r="AB50" i="8"/>
  <c r="AB50" i="2"/>
  <c r="K133" i="3"/>
  <c r="AI75" i="16"/>
  <c r="AI75" i="9"/>
  <c r="AI75" i="8"/>
  <c r="R134" i="3"/>
  <c r="AI75" i="2"/>
  <c r="X52" i="16"/>
  <c r="X52" i="9"/>
  <c r="X52" i="8"/>
  <c r="W52" i="3"/>
  <c r="X52" i="2"/>
  <c r="AG50" i="16"/>
  <c r="AG50" i="8"/>
  <c r="AG50" i="9"/>
  <c r="P133" i="3"/>
  <c r="AG50" i="2"/>
  <c r="X75" i="16"/>
  <c r="X75" i="8"/>
  <c r="X75" i="9"/>
  <c r="W75" i="3"/>
  <c r="X75" i="2"/>
  <c r="AB76" i="16"/>
  <c r="AB76" i="8"/>
  <c r="AS76" i="8" s="1"/>
  <c r="AB76" i="9"/>
  <c r="AS76" i="9" s="1"/>
  <c r="AB76" i="2"/>
  <c r="AG76" i="16"/>
  <c r="AX76" i="16" s="1"/>
  <c r="AG76" i="9"/>
  <c r="AX76" i="9" s="1"/>
  <c r="AG76" i="8"/>
  <c r="AX76" i="8" s="1"/>
  <c r="AG76" i="2"/>
  <c r="AX76" i="2" s="1"/>
  <c r="BI18" i="16"/>
  <c r="BI17" i="16" s="1"/>
  <c r="H144" i="16"/>
  <c r="AP131" i="16"/>
  <c r="W131" i="3" l="1"/>
  <c r="BI16" i="9"/>
  <c r="BI131" i="9" s="1"/>
  <c r="BI138" i="9" s="1"/>
  <c r="BI16" i="8"/>
  <c r="BI131" i="8" s="1"/>
  <c r="BI138" i="8" s="1"/>
  <c r="BI16" i="2"/>
  <c r="BI131" i="2" s="1"/>
  <c r="BI138" i="2" s="1"/>
  <c r="BI16" i="16"/>
  <c r="BI131" i="16" s="1"/>
  <c r="BI138" i="16" s="1"/>
  <c r="P136" i="3"/>
  <c r="BK76" i="16"/>
  <c r="BK76" i="2"/>
  <c r="BK76" i="9"/>
  <c r="W133" i="3"/>
  <c r="BE52" i="8"/>
  <c r="BE35" i="9"/>
  <c r="AO76" i="16"/>
  <c r="BH76" i="16" s="1"/>
  <c r="BE76" i="16"/>
  <c r="AY52" i="2"/>
  <c r="AH133" i="2"/>
  <c r="BB40" i="9"/>
  <c r="AK132" i="9"/>
  <c r="BE41" i="2"/>
  <c r="BE33" i="8"/>
  <c r="X132" i="8"/>
  <c r="AZ41" i="8"/>
  <c r="AZ132" i="8" s="1"/>
  <c r="AI132" i="8"/>
  <c r="AH132" i="9"/>
  <c r="AY41" i="9"/>
  <c r="BK76" i="8"/>
  <c r="BE75" i="8"/>
  <c r="AG133" i="16"/>
  <c r="AX50" i="16"/>
  <c r="AI134" i="2"/>
  <c r="AZ75" i="2"/>
  <c r="AZ134" i="2" s="1"/>
  <c r="AB133" i="8"/>
  <c r="AS50" i="8"/>
  <c r="AS133" i="8" s="1"/>
  <c r="BE39" i="2"/>
  <c r="BE39" i="16"/>
  <c r="BE75" i="2"/>
  <c r="AX50" i="9"/>
  <c r="AG133" i="9"/>
  <c r="BE52" i="2"/>
  <c r="AI134" i="16"/>
  <c r="AZ75" i="16"/>
  <c r="AB133" i="9"/>
  <c r="AS50" i="9"/>
  <c r="BB73" i="8"/>
  <c r="AK134" i="8"/>
  <c r="AH134" i="2"/>
  <c r="AY75" i="2"/>
  <c r="AZ52" i="9"/>
  <c r="AZ133" i="9" s="1"/>
  <c r="AI133" i="9"/>
  <c r="AO73" i="9"/>
  <c r="BE73" i="9"/>
  <c r="BE49" i="2"/>
  <c r="AO49" i="2"/>
  <c r="X133" i="2"/>
  <c r="AO49" i="9"/>
  <c r="BE49" i="9"/>
  <c r="X133" i="9"/>
  <c r="BE35" i="16"/>
  <c r="BE18" i="9"/>
  <c r="X131" i="9"/>
  <c r="BC24" i="2"/>
  <c r="AL131" i="2"/>
  <c r="AL136" i="2" s="1"/>
  <c r="AO50" i="8"/>
  <c r="BE50" i="8"/>
  <c r="BA72" i="8"/>
  <c r="AJ134" i="8"/>
  <c r="AG134" i="2"/>
  <c r="AX73" i="2"/>
  <c r="AO76" i="9"/>
  <c r="BH76" i="9" s="1"/>
  <c r="BE76" i="9"/>
  <c r="BB49" i="2"/>
  <c r="BB133" i="2" s="1"/>
  <c r="AK133" i="2"/>
  <c r="AY52" i="8"/>
  <c r="AH133" i="8"/>
  <c r="T136" i="3"/>
  <c r="BE72" i="16"/>
  <c r="X134" i="16"/>
  <c r="AO72" i="16"/>
  <c r="BE41" i="8"/>
  <c r="X132" i="2"/>
  <c r="BE33" i="2"/>
  <c r="BA49" i="8"/>
  <c r="AJ133" i="8"/>
  <c r="R136" i="3"/>
  <c r="BE40" i="8"/>
  <c r="BF76" i="8"/>
  <c r="AQ76" i="8"/>
  <c r="BI76" i="8" s="1"/>
  <c r="AY41" i="2"/>
  <c r="AH132" i="2"/>
  <c r="BE24" i="8"/>
  <c r="BE75" i="9"/>
  <c r="AI134" i="9"/>
  <c r="AZ75" i="9"/>
  <c r="AB133" i="16"/>
  <c r="BE50" i="2"/>
  <c r="AO50" i="2"/>
  <c r="BE76" i="2"/>
  <c r="AO76" i="2"/>
  <c r="BH76" i="2" s="1"/>
  <c r="AO72" i="9"/>
  <c r="X134" i="9"/>
  <c r="BE72" i="9"/>
  <c r="S136" i="3"/>
  <c r="BE40" i="2"/>
  <c r="BE75" i="16"/>
  <c r="AX50" i="8"/>
  <c r="AG133" i="8"/>
  <c r="BE52" i="16"/>
  <c r="AI134" i="8"/>
  <c r="AZ75" i="8"/>
  <c r="AZ134" i="8" s="1"/>
  <c r="BE39" i="9"/>
  <c r="BB73" i="9"/>
  <c r="BB134" i="9" s="1"/>
  <c r="AK134" i="9"/>
  <c r="AH134" i="16"/>
  <c r="AY75" i="16"/>
  <c r="AY134" i="16" s="1"/>
  <c r="AA73" i="3"/>
  <c r="AC73" i="3" s="1"/>
  <c r="Z73" i="16"/>
  <c r="Z73" i="8"/>
  <c r="Z73" i="9"/>
  <c r="Z73" i="2"/>
  <c r="X73" i="3"/>
  <c r="I134" i="3"/>
  <c r="AZ52" i="8"/>
  <c r="AZ133" i="8" s="1"/>
  <c r="AI133" i="8"/>
  <c r="AA50" i="3"/>
  <c r="Z50" i="16"/>
  <c r="Z50" i="9"/>
  <c r="Z50" i="8"/>
  <c r="I133" i="3"/>
  <c r="Z50" i="2"/>
  <c r="X50" i="3"/>
  <c r="AO73" i="8"/>
  <c r="BE73" i="8"/>
  <c r="BE35" i="8"/>
  <c r="G136" i="3"/>
  <c r="X131" i="8"/>
  <c r="BE18" i="8"/>
  <c r="AL131" i="16"/>
  <c r="AL136" i="16" s="1"/>
  <c r="BC24" i="16"/>
  <c r="AO50" i="9"/>
  <c r="BE50" i="9"/>
  <c r="BA72" i="9"/>
  <c r="AJ134" i="9"/>
  <c r="AG134" i="16"/>
  <c r="AX73" i="16"/>
  <c r="AX134" i="16" s="1"/>
  <c r="AO76" i="8"/>
  <c r="BH76" i="8" s="1"/>
  <c r="BE76" i="8"/>
  <c r="BB49" i="16"/>
  <c r="BB133" i="16" s="1"/>
  <c r="AK133" i="16"/>
  <c r="AY52" i="9"/>
  <c r="AH133" i="9"/>
  <c r="BB40" i="2"/>
  <c r="AK132" i="2"/>
  <c r="AK132" i="16"/>
  <c r="BB40" i="16"/>
  <c r="AO72" i="8"/>
  <c r="X134" i="8"/>
  <c r="BE72" i="8"/>
  <c r="W132" i="3"/>
  <c r="BE33" i="16"/>
  <c r="X132" i="16"/>
  <c r="BA49" i="9"/>
  <c r="AJ133" i="9"/>
  <c r="AZ41" i="2"/>
  <c r="AZ132" i="2" s="1"/>
  <c r="AI132" i="2"/>
  <c r="AZ41" i="16"/>
  <c r="AZ132" i="16" s="1"/>
  <c r="AI132" i="16"/>
  <c r="BE40" i="9"/>
  <c r="Q136" i="3"/>
  <c r="AY41" i="16"/>
  <c r="AH132" i="16"/>
  <c r="BE24" i="9"/>
  <c r="AX50" i="2"/>
  <c r="AG133" i="2"/>
  <c r="AB133" i="2"/>
  <c r="BE39" i="8"/>
  <c r="AH134" i="9"/>
  <c r="AY75" i="9"/>
  <c r="AY134" i="9" s="1"/>
  <c r="BE73" i="2"/>
  <c r="AO73" i="2"/>
  <c r="BE49" i="16"/>
  <c r="X133" i="16"/>
  <c r="AO49" i="16"/>
  <c r="X131" i="2"/>
  <c r="BE18" i="2"/>
  <c r="AL131" i="9"/>
  <c r="AL136" i="9" s="1"/>
  <c r="BC24" i="9"/>
  <c r="AG134" i="8"/>
  <c r="AX73" i="8"/>
  <c r="AX134" i="8" s="1"/>
  <c r="BB49" i="9"/>
  <c r="BB133" i="9" s="1"/>
  <c r="AK133" i="9"/>
  <c r="AO72" i="2"/>
  <c r="BE72" i="2"/>
  <c r="X134" i="2"/>
  <c r="BE41" i="16"/>
  <c r="BF76" i="2"/>
  <c r="BE52" i="9"/>
  <c r="BB73" i="2"/>
  <c r="BB134" i="2" s="1"/>
  <c r="AK134" i="2"/>
  <c r="BB73" i="16"/>
  <c r="AK134" i="16"/>
  <c r="AH134" i="8"/>
  <c r="AY75" i="8"/>
  <c r="AB72" i="16"/>
  <c r="AB72" i="9"/>
  <c r="AB72" i="8"/>
  <c r="AB72" i="2"/>
  <c r="K134" i="3"/>
  <c r="K136" i="3" s="1"/>
  <c r="X72" i="3"/>
  <c r="AA72" i="3"/>
  <c r="AC72" i="3" s="1"/>
  <c r="AZ52" i="2"/>
  <c r="AZ133" i="2" s="1"/>
  <c r="AI133" i="2"/>
  <c r="AI133" i="16"/>
  <c r="AZ52" i="16"/>
  <c r="AZ133" i="16" s="1"/>
  <c r="AO73" i="16"/>
  <c r="BE73" i="16"/>
  <c r="AO49" i="8"/>
  <c r="BE49" i="8"/>
  <c r="X133" i="8"/>
  <c r="BE35" i="2"/>
  <c r="BE18" i="16"/>
  <c r="X131" i="16"/>
  <c r="AL131" i="8"/>
  <c r="AL136" i="8" s="1"/>
  <c r="BC24" i="8"/>
  <c r="AO50" i="16"/>
  <c r="BE50" i="16"/>
  <c r="BA72" i="2"/>
  <c r="AJ134" i="2"/>
  <c r="BA72" i="16"/>
  <c r="AJ134" i="16"/>
  <c r="AG134" i="9"/>
  <c r="AX73" i="9"/>
  <c r="BB49" i="8"/>
  <c r="BB133" i="8" s="1"/>
  <c r="AK133" i="8"/>
  <c r="AY52" i="16"/>
  <c r="AH133" i="16"/>
  <c r="BB40" i="8"/>
  <c r="AK132" i="8"/>
  <c r="W134" i="3"/>
  <c r="BE41" i="9"/>
  <c r="BE33" i="9"/>
  <c r="X132" i="9"/>
  <c r="BA49" i="2"/>
  <c r="AJ133" i="2"/>
  <c r="AJ133" i="16"/>
  <c r="BA49" i="16"/>
  <c r="AZ41" i="9"/>
  <c r="AZ132" i="9" s="1"/>
  <c r="AI132" i="9"/>
  <c r="BE40" i="16"/>
  <c r="BF76" i="9"/>
  <c r="AQ76" i="9"/>
  <c r="BI76" i="9" s="1"/>
  <c r="BF76" i="16"/>
  <c r="AY41" i="8"/>
  <c r="AH132" i="8"/>
  <c r="BE24" i="2"/>
  <c r="BE24" i="16"/>
  <c r="G156" i="16" l="1"/>
  <c r="G155" i="8"/>
  <c r="I155" i="8" s="1"/>
  <c r="G156" i="8"/>
  <c r="G158" i="8"/>
  <c r="G156" i="9"/>
  <c r="G155" i="9"/>
  <c r="I155" i="9" s="1"/>
  <c r="G155" i="16"/>
  <c r="G159" i="8"/>
  <c r="G158" i="9"/>
  <c r="G159" i="9"/>
  <c r="G158" i="16"/>
  <c r="G159" i="16"/>
  <c r="G156" i="2"/>
  <c r="G155" i="2"/>
  <c r="AA48" i="3"/>
  <c r="AC48" i="3" s="1"/>
  <c r="AC50" i="3"/>
  <c r="BE133" i="8"/>
  <c r="AA71" i="3"/>
  <c r="AC71" i="3" s="1"/>
  <c r="BM76" i="9"/>
  <c r="BO76" i="9" s="1"/>
  <c r="AG136" i="2"/>
  <c r="BE133" i="16"/>
  <c r="AG136" i="16"/>
  <c r="BE132" i="9"/>
  <c r="BE131" i="8"/>
  <c r="BE132" i="8"/>
  <c r="AH136" i="2"/>
  <c r="AH136" i="16"/>
  <c r="AJ136" i="8"/>
  <c r="AJ136" i="16"/>
  <c r="I136" i="3"/>
  <c r="W136" i="3"/>
  <c r="AK136" i="2"/>
  <c r="AK136" i="9"/>
  <c r="X136" i="9"/>
  <c r="BH50" i="8"/>
  <c r="BH73" i="9"/>
  <c r="BK73" i="8"/>
  <c r="BB134" i="8"/>
  <c r="BK50" i="9"/>
  <c r="AX133" i="9"/>
  <c r="AH136" i="9"/>
  <c r="AH136" i="8"/>
  <c r="AI136" i="9"/>
  <c r="AJ136" i="2"/>
  <c r="BK40" i="8"/>
  <c r="BB132" i="8"/>
  <c r="BA134" i="2"/>
  <c r="BK72" i="2"/>
  <c r="X136" i="16"/>
  <c r="BH73" i="16"/>
  <c r="BE134" i="2"/>
  <c r="BL24" i="9"/>
  <c r="BC131" i="9"/>
  <c r="BC136" i="9" s="1"/>
  <c r="AX133" i="2"/>
  <c r="BK50" i="2"/>
  <c r="AY132" i="16"/>
  <c r="BK41" i="16"/>
  <c r="AI136" i="2"/>
  <c r="BH72" i="8"/>
  <c r="BK40" i="2"/>
  <c r="BB132" i="2"/>
  <c r="BB136" i="2" s="1"/>
  <c r="Z133" i="2"/>
  <c r="BF50" i="2"/>
  <c r="BF133" i="2" s="1"/>
  <c r="BF73" i="2"/>
  <c r="Z134" i="2"/>
  <c r="BF73" i="16"/>
  <c r="Z134" i="16"/>
  <c r="AZ136" i="8"/>
  <c r="AG136" i="8"/>
  <c r="BH50" i="2"/>
  <c r="BE131" i="9"/>
  <c r="BH49" i="2"/>
  <c r="BK75" i="2"/>
  <c r="AY134" i="2"/>
  <c r="BK75" i="16"/>
  <c r="AZ134" i="16"/>
  <c r="AZ136" i="16" s="1"/>
  <c r="AZ136" i="2"/>
  <c r="AI136" i="8"/>
  <c r="BB132" i="9"/>
  <c r="BB136" i="9" s="1"/>
  <c r="BK40" i="9"/>
  <c r="BK73" i="9"/>
  <c r="AX134" i="9"/>
  <c r="BH50" i="16"/>
  <c r="X133" i="3"/>
  <c r="BH72" i="9"/>
  <c r="BH72" i="16"/>
  <c r="BK49" i="2"/>
  <c r="BA133" i="2"/>
  <c r="BE131" i="16"/>
  <c r="AB134" i="2"/>
  <c r="AB136" i="2" s="1"/>
  <c r="BF72" i="2"/>
  <c r="BK73" i="16"/>
  <c r="BB134" i="16"/>
  <c r="BH72" i="2"/>
  <c r="G158" i="2"/>
  <c r="BH49" i="16"/>
  <c r="BH50" i="9"/>
  <c r="X136" i="8"/>
  <c r="BF50" i="16"/>
  <c r="BF133" i="16" s="1"/>
  <c r="Z133" i="16"/>
  <c r="AQ73" i="9"/>
  <c r="H159" i="9" s="1"/>
  <c r="BF73" i="9"/>
  <c r="Z134" i="9"/>
  <c r="BK50" i="8"/>
  <c r="AX133" i="8"/>
  <c r="AX136" i="8" s="1"/>
  <c r="BE134" i="9"/>
  <c r="BK41" i="2"/>
  <c r="AY132" i="2"/>
  <c r="BE134" i="16"/>
  <c r="BE133" i="9"/>
  <c r="BE133" i="2"/>
  <c r="AK136" i="8"/>
  <c r="AB134" i="9"/>
  <c r="AB136" i="9" s="1"/>
  <c r="AS72" i="9"/>
  <c r="H158" i="9" s="1"/>
  <c r="BF72" i="9"/>
  <c r="X136" i="2"/>
  <c r="BA133" i="9"/>
  <c r="BK49" i="9"/>
  <c r="AQ50" i="9"/>
  <c r="H156" i="9" s="1"/>
  <c r="Z133" i="9"/>
  <c r="BF50" i="9"/>
  <c r="BF133" i="9" s="1"/>
  <c r="H165" i="3"/>
  <c r="BK73" i="2"/>
  <c r="AX134" i="2"/>
  <c r="BK41" i="8"/>
  <c r="AY132" i="8"/>
  <c r="AB134" i="16"/>
  <c r="AB136" i="16" s="1"/>
  <c r="BF72" i="16"/>
  <c r="BK40" i="16"/>
  <c r="BB132" i="16"/>
  <c r="BK49" i="16"/>
  <c r="BA133" i="16"/>
  <c r="AY133" i="16"/>
  <c r="BK52" i="16"/>
  <c r="BK72" i="16"/>
  <c r="BA134" i="16"/>
  <c r="BL24" i="8"/>
  <c r="BC131" i="8"/>
  <c r="BC136" i="8" s="1"/>
  <c r="BH49" i="8"/>
  <c r="X134" i="3"/>
  <c r="AB134" i="8"/>
  <c r="AB136" i="8" s="1"/>
  <c r="BF72" i="8"/>
  <c r="AY134" i="8"/>
  <c r="BK75" i="8"/>
  <c r="BE131" i="2"/>
  <c r="BH73" i="2"/>
  <c r="G159" i="2"/>
  <c r="AI136" i="16"/>
  <c r="AJ136" i="9"/>
  <c r="BE132" i="16"/>
  <c r="BE134" i="8"/>
  <c r="AK136" i="16"/>
  <c r="BK52" i="9"/>
  <c r="AY133" i="9"/>
  <c r="BK72" i="9"/>
  <c r="BA134" i="9"/>
  <c r="BL24" i="16"/>
  <c r="BC131" i="16"/>
  <c r="BC136" i="16" s="1"/>
  <c r="BH73" i="8"/>
  <c r="AQ50" i="8"/>
  <c r="H156" i="8" s="1"/>
  <c r="BF50" i="8"/>
  <c r="BF133" i="8" s="1"/>
  <c r="Z133" i="8"/>
  <c r="AA42" i="3"/>
  <c r="AC42" i="3" s="1"/>
  <c r="BF73" i="8"/>
  <c r="Z134" i="8"/>
  <c r="BK75" i="9"/>
  <c r="AZ134" i="9"/>
  <c r="AZ136" i="9" s="1"/>
  <c r="BM76" i="8"/>
  <c r="BO76" i="8" s="1"/>
  <c r="BA133" i="8"/>
  <c r="BK49" i="8"/>
  <c r="BE132" i="2"/>
  <c r="BK52" i="8"/>
  <c r="AY133" i="8"/>
  <c r="BA134" i="8"/>
  <c r="BK72" i="8"/>
  <c r="BL24" i="2"/>
  <c r="BC131" i="2"/>
  <c r="BC136" i="2" s="1"/>
  <c r="BH49" i="9"/>
  <c r="AG136" i="9"/>
  <c r="AX133" i="16"/>
  <c r="AX136" i="16" s="1"/>
  <c r="BK50" i="16"/>
  <c r="BK41" i="9"/>
  <c r="AY132" i="9"/>
  <c r="AY133" i="2"/>
  <c r="BK52" i="2"/>
  <c r="BL20" i="9" l="1"/>
  <c r="BL16" i="9" s="1"/>
  <c r="BL131" i="9" s="1"/>
  <c r="BL20" i="8"/>
  <c r="BL16" i="8" s="1"/>
  <c r="BL131" i="8" s="1"/>
  <c r="BL20" i="16"/>
  <c r="BL16" i="16" s="1"/>
  <c r="BL131" i="16" s="1"/>
  <c r="BL20" i="2"/>
  <c r="BL16" i="2" s="1"/>
  <c r="BL131" i="2" s="1"/>
  <c r="BF134" i="9"/>
  <c r="BF136" i="9" s="1"/>
  <c r="AA70" i="3"/>
  <c r="AA134" i="3" s="1"/>
  <c r="BF134" i="2"/>
  <c r="BF136" i="2" s="1"/>
  <c r="BK38" i="16"/>
  <c r="BK28" i="16" s="1"/>
  <c r="BK132" i="16" s="1"/>
  <c r="Z136" i="9"/>
  <c r="BF134" i="16"/>
  <c r="BF136" i="16" s="1"/>
  <c r="BK71" i="8"/>
  <c r="BK70" i="8" s="1"/>
  <c r="BK134" i="8" s="1"/>
  <c r="BK48" i="8"/>
  <c r="BK42" i="8" s="1"/>
  <c r="BK133" i="8" s="1"/>
  <c r="BF134" i="8"/>
  <c r="BF136" i="8" s="1"/>
  <c r="BK71" i="2"/>
  <c r="BK70" i="2" s="1"/>
  <c r="BK134" i="2" s="1"/>
  <c r="BE136" i="8"/>
  <c r="BK71" i="16"/>
  <c r="BK70" i="16" s="1"/>
  <c r="BK134" i="16" s="1"/>
  <c r="BK48" i="2"/>
  <c r="BK42" i="2" s="1"/>
  <c r="BK133" i="2" s="1"/>
  <c r="BB136" i="8"/>
  <c r="AY136" i="9"/>
  <c r="AY136" i="16"/>
  <c r="BA136" i="2"/>
  <c r="Z136" i="16"/>
  <c r="Z136" i="8"/>
  <c r="BA136" i="16"/>
  <c r="I165" i="3"/>
  <c r="AX136" i="2"/>
  <c r="AX136" i="9"/>
  <c r="BK48" i="9"/>
  <c r="BK42" i="9" s="1"/>
  <c r="BK133" i="9" s="1"/>
  <c r="BA136" i="8"/>
  <c r="AA133" i="3"/>
  <c r="AC133" i="3"/>
  <c r="BE136" i="2"/>
  <c r="BK48" i="16"/>
  <c r="BK42" i="16" s="1"/>
  <c r="BK133" i="16" s="1"/>
  <c r="BA136" i="9"/>
  <c r="BK71" i="9"/>
  <c r="BK70" i="9" s="1"/>
  <c r="BK134" i="9" s="1"/>
  <c r="BI50" i="9"/>
  <c r="BB136" i="16"/>
  <c r="AY136" i="2"/>
  <c r="BK38" i="2"/>
  <c r="BK28" i="2" s="1"/>
  <c r="BK132" i="2" s="1"/>
  <c r="BI50" i="8"/>
  <c r="AQ133" i="8"/>
  <c r="BM49" i="9"/>
  <c r="BO49" i="9" s="1"/>
  <c r="AY136" i="8"/>
  <c r="BM49" i="8"/>
  <c r="BO49" i="8" s="1"/>
  <c r="BI72" i="9"/>
  <c r="AS134" i="9"/>
  <c r="I158" i="9"/>
  <c r="BI73" i="9"/>
  <c r="BM73" i="9" s="1"/>
  <c r="BO73" i="9" s="1"/>
  <c r="I159" i="9"/>
  <c r="AQ134" i="9"/>
  <c r="BE136" i="16"/>
  <c r="X136" i="3"/>
  <c r="I166" i="3" s="1"/>
  <c r="BK38" i="9"/>
  <c r="BK28" i="9" s="1"/>
  <c r="BK132" i="9" s="1"/>
  <c r="BE136" i="9"/>
  <c r="Z136" i="2"/>
  <c r="BK38" i="8"/>
  <c r="BK28" i="8" s="1"/>
  <c r="BK132" i="8" s="1"/>
  <c r="BL136" i="9" l="1"/>
  <c r="BL138" i="9"/>
  <c r="BL138" i="8"/>
  <c r="BL136" i="8"/>
  <c r="BL138" i="2"/>
  <c r="BL136" i="2"/>
  <c r="BL138" i="16"/>
  <c r="BL136" i="16"/>
  <c r="AC70" i="3"/>
  <c r="AC134" i="3" s="1"/>
  <c r="AC136" i="3" s="1"/>
  <c r="BK136" i="8"/>
  <c r="BK136" i="16"/>
  <c r="BK136" i="2"/>
  <c r="BM72" i="9"/>
  <c r="BO72" i="9" s="1"/>
  <c r="I167" i="3"/>
  <c r="AA136" i="3"/>
  <c r="BM50" i="9"/>
  <c r="BO50" i="9" s="1"/>
  <c r="BM50" i="8"/>
  <c r="BO50" i="8" s="1"/>
  <c r="I156" i="9"/>
  <c r="I156" i="8"/>
  <c r="BK136" i="9"/>
  <c r="O138" i="3" l="1"/>
  <c r="P138" i="3"/>
  <c r="J138" i="3"/>
  <c r="N138" i="3"/>
  <c r="M138" i="3"/>
  <c r="U138" i="3"/>
  <c r="V138" i="3"/>
  <c r="K138" i="3" l="1"/>
  <c r="L138" i="3" l="1"/>
  <c r="S138" i="3" l="1"/>
  <c r="T138" i="3"/>
  <c r="Q138" i="3" l="1"/>
  <c r="R138" i="3"/>
  <c r="G12" i="19" l="1"/>
  <c r="G28" i="19"/>
  <c r="H24" i="19" l="1"/>
  <c r="H11" i="19"/>
  <c r="H27" i="19"/>
  <c r="H23" i="19"/>
  <c r="H25" i="19"/>
  <c r="H9" i="19"/>
  <c r="H8" i="19"/>
  <c r="H7" i="19"/>
  <c r="H26" i="19"/>
  <c r="H10" i="19"/>
  <c r="H28" i="19" l="1"/>
  <c r="H12" i="19"/>
  <c r="G301" i="17" l="1"/>
  <c r="S301" i="17" s="1"/>
  <c r="H110" i="8" s="1"/>
  <c r="G255" i="17"/>
  <c r="G315" i="17"/>
  <c r="G266" i="17"/>
  <c r="G213" i="17"/>
  <c r="S213" i="17" s="1"/>
  <c r="H97" i="8" s="1"/>
  <c r="G248" i="17"/>
  <c r="S248" i="17" s="1"/>
  <c r="H102" i="8" s="1"/>
  <c r="G329" i="17"/>
  <c r="G227" i="17"/>
  <c r="G287" i="17"/>
  <c r="G322" i="17"/>
  <c r="AP96" i="8"/>
  <c r="G308" i="17"/>
  <c r="G234" i="17"/>
  <c r="S234" i="17" s="1"/>
  <c r="H100" i="8" s="1"/>
  <c r="G280" i="17"/>
  <c r="G220" i="17"/>
  <c r="S220" i="17" s="1"/>
  <c r="H98" i="8" s="1"/>
  <c r="AT69" i="20"/>
  <c r="G294" i="17"/>
  <c r="S294" i="17" s="1"/>
  <c r="H109" i="8" s="1"/>
  <c r="G273" i="17"/>
  <c r="G393" i="17"/>
  <c r="G365" i="17"/>
  <c r="G386" i="17"/>
  <c r="G421" i="17"/>
  <c r="G400" i="17"/>
  <c r="G407" i="17"/>
  <c r="G354" i="17"/>
  <c r="S354" i="17" s="1"/>
  <c r="H119" i="8" s="1"/>
  <c r="G372" i="17"/>
  <c r="AP116" i="8"/>
  <c r="G379" i="17"/>
  <c r="G347" i="17"/>
  <c r="S347" i="17" s="1"/>
  <c r="H118" i="8" s="1"/>
  <c r="G414" i="17"/>
  <c r="AT89" i="20"/>
  <c r="G340" i="17"/>
  <c r="S340" i="17" s="1"/>
  <c r="H117" i="8" s="1"/>
  <c r="AT75" i="20" l="1"/>
  <c r="AP98" i="22"/>
  <c r="BI98" i="22" s="1"/>
  <c r="BM98" i="22" s="1"/>
  <c r="BO98" i="22" s="1"/>
  <c r="AP102" i="22"/>
  <c r="BI102" i="22" s="1"/>
  <c r="BM102" i="22" s="1"/>
  <c r="BO102" i="22" s="1"/>
  <c r="AT91" i="20"/>
  <c r="AP118" i="22"/>
  <c r="BI118" i="22" s="1"/>
  <c r="BM118" i="22" s="1"/>
  <c r="BO118" i="22" s="1"/>
  <c r="AP97" i="22"/>
  <c r="AP100" i="22"/>
  <c r="BI100" i="22" s="1"/>
  <c r="BM100" i="22" s="1"/>
  <c r="BO100" i="22" s="1"/>
  <c r="AP119" i="22"/>
  <c r="BI119" i="22" s="1"/>
  <c r="BM119" i="22" s="1"/>
  <c r="BO119" i="22" s="1"/>
  <c r="AT90" i="20"/>
  <c r="AP117" i="22"/>
  <c r="AT82" i="20"/>
  <c r="AP109" i="22"/>
  <c r="BI109" i="22" s="1"/>
  <c r="BM109" i="22" s="1"/>
  <c r="BO109" i="22" s="1"/>
  <c r="AP110" i="22"/>
  <c r="BI110" i="22" s="1"/>
  <c r="BM110" i="22" s="1"/>
  <c r="BO110" i="22" s="1"/>
  <c r="K414" i="17"/>
  <c r="M414" i="17" s="1"/>
  <c r="K372" i="17"/>
  <c r="M372" i="17" s="1"/>
  <c r="K393" i="17"/>
  <c r="M393" i="17" s="1"/>
  <c r="AT71" i="20"/>
  <c r="AP98" i="8"/>
  <c r="BI98" i="8" s="1"/>
  <c r="BM98" i="8" s="1"/>
  <c r="BO98" i="8" s="1"/>
  <c r="BI96" i="8"/>
  <c r="K266" i="17"/>
  <c r="M266" i="17" s="1"/>
  <c r="AP118" i="8"/>
  <c r="BI118" i="8" s="1"/>
  <c r="BM118" i="8" s="1"/>
  <c r="BO118" i="8" s="1"/>
  <c r="AT92" i="20"/>
  <c r="AP119" i="8"/>
  <c r="BI119" i="8" s="1"/>
  <c r="BM119" i="8" s="1"/>
  <c r="BO119" i="8" s="1"/>
  <c r="K273" i="17"/>
  <c r="M273" i="17" s="1"/>
  <c r="K280" i="17"/>
  <c r="M280" i="17" s="1"/>
  <c r="K322" i="17"/>
  <c r="M322" i="17" s="1"/>
  <c r="K315" i="17"/>
  <c r="M315" i="17" s="1"/>
  <c r="AP117" i="8"/>
  <c r="BI117" i="8" s="1"/>
  <c r="BM117" i="8" s="1"/>
  <c r="BV117" i="8" s="1"/>
  <c r="K379" i="17"/>
  <c r="M379" i="17" s="1"/>
  <c r="K407" i="17"/>
  <c r="M407" i="17" s="1"/>
  <c r="AP109" i="8"/>
  <c r="BI109" i="8" s="1"/>
  <c r="BM109" i="8" s="1"/>
  <c r="AT73" i="20"/>
  <c r="AP100" i="8"/>
  <c r="BI100" i="8" s="1"/>
  <c r="BM100" i="8" s="1"/>
  <c r="BV100" i="8" s="1"/>
  <c r="AP102" i="8"/>
  <c r="BI102" i="8" s="1"/>
  <c r="BM102" i="8" s="1"/>
  <c r="BO102" i="8" s="1"/>
  <c r="K255" i="17"/>
  <c r="M255" i="17" s="1"/>
  <c r="BI116" i="8"/>
  <c r="K400" i="17"/>
  <c r="M400" i="17" s="1"/>
  <c r="K365" i="17"/>
  <c r="M365" i="17" s="1"/>
  <c r="K287" i="17"/>
  <c r="M287" i="17" s="1"/>
  <c r="AT70" i="20"/>
  <c r="AP97" i="8"/>
  <c r="AT83" i="20"/>
  <c r="AP110" i="8"/>
  <c r="BI110" i="8" s="1"/>
  <c r="BM110" i="8" s="1"/>
  <c r="BO110" i="8" s="1"/>
  <c r="BO109" i="8" l="1"/>
  <c r="BV119" i="8"/>
  <c r="BW119" i="8" s="1"/>
  <c r="BV102" i="8"/>
  <c r="BW102" i="8" s="1"/>
  <c r="BO117" i="8"/>
  <c r="BW117" i="8"/>
  <c r="BO100" i="8"/>
  <c r="BW100" i="8"/>
  <c r="BV110" i="8"/>
  <c r="BW110" i="8" s="1"/>
  <c r="BV98" i="8"/>
  <c r="BW98" i="8" s="1"/>
  <c r="BI97" i="8"/>
  <c r="BM97" i="8" s="1"/>
  <c r="BV109" i="8"/>
  <c r="BW109" i="8" s="1"/>
  <c r="BV118" i="8"/>
  <c r="BW118" i="8" s="1"/>
  <c r="BI97" i="22"/>
  <c r="BI117" i="22"/>
  <c r="H163" i="22"/>
  <c r="I163" i="22" s="1"/>
  <c r="S379" i="17"/>
  <c r="H123" i="8" s="1"/>
  <c r="BV123" i="8" s="1"/>
  <c r="S273" i="17"/>
  <c r="H106" i="8" s="1"/>
  <c r="BV106" i="8" s="1"/>
  <c r="S227" i="17"/>
  <c r="H99" i="8" s="1"/>
  <c r="S255" i="17"/>
  <c r="H103" i="8" s="1"/>
  <c r="S414" i="17"/>
  <c r="H128" i="8" s="1"/>
  <c r="BV128" i="8" s="1"/>
  <c r="S315" i="17"/>
  <c r="H112" i="8" s="1"/>
  <c r="BV112" i="8" s="1"/>
  <c r="S407" i="17"/>
  <c r="H127" i="8" s="1"/>
  <c r="BV127" i="8" s="1"/>
  <c r="S308" i="17"/>
  <c r="H111" i="8" s="1"/>
  <c r="S287" i="17"/>
  <c r="H108" i="8" s="1"/>
  <c r="BV108" i="8" s="1"/>
  <c r="S365" i="17"/>
  <c r="H121" i="8" s="1"/>
  <c r="BV121" i="8" s="1"/>
  <c r="S322" i="17"/>
  <c r="H113" i="8" s="1"/>
  <c r="BV113" i="8" s="1"/>
  <c r="S400" i="17"/>
  <c r="H126" i="8" s="1"/>
  <c r="BV126" i="8" s="1"/>
  <c r="H163" i="8"/>
  <c r="I163" i="8" s="1"/>
  <c r="S329" i="17"/>
  <c r="H114" i="8" s="1"/>
  <c r="S280" i="17"/>
  <c r="H107" i="8" s="1"/>
  <c r="BV107" i="8" s="1"/>
  <c r="S386" i="17"/>
  <c r="H124" i="8" s="1"/>
  <c r="S421" i="17"/>
  <c r="BM116" i="8"/>
  <c r="BI115" i="8"/>
  <c r="BM115" i="8" s="1"/>
  <c r="S393" i="17"/>
  <c r="H125" i="8" s="1"/>
  <c r="BV125" i="8" s="1"/>
  <c r="S372" i="17"/>
  <c r="H122" i="8" s="1"/>
  <c r="BV122" i="8" s="1"/>
  <c r="BM96" i="8"/>
  <c r="S266" i="17"/>
  <c r="H105" i="8" s="1"/>
  <c r="BV105" i="8" s="1"/>
  <c r="BV96" i="8" l="1"/>
  <c r="BW96" i="8" s="1"/>
  <c r="BV116" i="8"/>
  <c r="BW116" i="8" s="1"/>
  <c r="AT76" i="20"/>
  <c r="BV103" i="8"/>
  <c r="BO97" i="8"/>
  <c r="BV97" i="8"/>
  <c r="BW97" i="8" s="1"/>
  <c r="AP113" i="8"/>
  <c r="BI113" i="8" s="1"/>
  <c r="BM113" i="8" s="1"/>
  <c r="AP113" i="22"/>
  <c r="BI113" i="22" s="1"/>
  <c r="BM113" i="22" s="1"/>
  <c r="BO113" i="22" s="1"/>
  <c r="AP99" i="22"/>
  <c r="AT79" i="20"/>
  <c r="AP106" i="22"/>
  <c r="BI106" i="22" s="1"/>
  <c r="BM106" i="22" s="1"/>
  <c r="BO106" i="22" s="1"/>
  <c r="AP105" i="22"/>
  <c r="AT81" i="20"/>
  <c r="AP108" i="22"/>
  <c r="BI108" i="22" s="1"/>
  <c r="BM108" i="22" s="1"/>
  <c r="BO108" i="22" s="1"/>
  <c r="AP123" i="8"/>
  <c r="BI123" i="8" s="1"/>
  <c r="BM123" i="8" s="1"/>
  <c r="BO123" i="8" s="1"/>
  <c r="AP123" i="22"/>
  <c r="BI123" i="22" s="1"/>
  <c r="BM123" i="22" s="1"/>
  <c r="BO123" i="22" s="1"/>
  <c r="AP111" i="8"/>
  <c r="BI111" i="8" s="1"/>
  <c r="BM111" i="8" s="1"/>
  <c r="BO111" i="8" s="1"/>
  <c r="AP111" i="22"/>
  <c r="BI111" i="22" s="1"/>
  <c r="BM111" i="22" s="1"/>
  <c r="BO111" i="22" s="1"/>
  <c r="AT80" i="20"/>
  <c r="AP107" i="22"/>
  <c r="BI107" i="22" s="1"/>
  <c r="BM107" i="22" s="1"/>
  <c r="BO107" i="22" s="1"/>
  <c r="AP127" i="22"/>
  <c r="BI127" i="22" s="1"/>
  <c r="BM127" i="22" s="1"/>
  <c r="BO127" i="22" s="1"/>
  <c r="BI115" i="22"/>
  <c r="BM115" i="22" s="1"/>
  <c r="BM117" i="22"/>
  <c r="BO117" i="22" s="1"/>
  <c r="AP129" i="8"/>
  <c r="BI129" i="8" s="1"/>
  <c r="BM129" i="8" s="1"/>
  <c r="BO129" i="8" s="1"/>
  <c r="AP129" i="22"/>
  <c r="BI129" i="22" s="1"/>
  <c r="BM129" i="22" s="1"/>
  <c r="BO129" i="22" s="1"/>
  <c r="AP114" i="8"/>
  <c r="BI114" i="8" s="1"/>
  <c r="BM114" i="8" s="1"/>
  <c r="BO114" i="8" s="1"/>
  <c r="AP114" i="22"/>
  <c r="BI114" i="22" s="1"/>
  <c r="BM114" i="22" s="1"/>
  <c r="BO114" i="22" s="1"/>
  <c r="AT85" i="20"/>
  <c r="AP112" i="22"/>
  <c r="BI112" i="22" s="1"/>
  <c r="BM112" i="22" s="1"/>
  <c r="BO112" i="22" s="1"/>
  <c r="AT94" i="20"/>
  <c r="AP121" i="22"/>
  <c r="AT101" i="20"/>
  <c r="AP128" i="22"/>
  <c r="BI128" i="22" s="1"/>
  <c r="BM128" i="22" s="1"/>
  <c r="BO128" i="22" s="1"/>
  <c r="AT97" i="20"/>
  <c r="AP124" i="22"/>
  <c r="BI124" i="22" s="1"/>
  <c r="BM124" i="22" s="1"/>
  <c r="BO124" i="22" s="1"/>
  <c r="AP122" i="22"/>
  <c r="BI122" i="22" s="1"/>
  <c r="BM122" i="22" s="1"/>
  <c r="BO122" i="22" s="1"/>
  <c r="AP125" i="8"/>
  <c r="BI125" i="8" s="1"/>
  <c r="BM125" i="8" s="1"/>
  <c r="BO125" i="8" s="1"/>
  <c r="AP125" i="22"/>
  <c r="BI125" i="22" s="1"/>
  <c r="BM125" i="22" s="1"/>
  <c r="BO125" i="22" s="1"/>
  <c r="AT99" i="20"/>
  <c r="AP126" i="22"/>
  <c r="BI126" i="22" s="1"/>
  <c r="BM126" i="22" s="1"/>
  <c r="BO126" i="22" s="1"/>
  <c r="AP103" i="8"/>
  <c r="BI103" i="8" s="1"/>
  <c r="BM103" i="8" s="1"/>
  <c r="BO103" i="8" s="1"/>
  <c r="AP103" i="22"/>
  <c r="BI103" i="22" s="1"/>
  <c r="BM103" i="22" s="1"/>
  <c r="BO103" i="22" s="1"/>
  <c r="BM97" i="22"/>
  <c r="BO97" i="22" s="1"/>
  <c r="AT96" i="20"/>
  <c r="AT86" i="20"/>
  <c r="AP112" i="8"/>
  <c r="BI112" i="8" s="1"/>
  <c r="BM112" i="8" s="1"/>
  <c r="AP108" i="8"/>
  <c r="BI108" i="8" s="1"/>
  <c r="BM108" i="8" s="1"/>
  <c r="AP106" i="8"/>
  <c r="BI106" i="8" s="1"/>
  <c r="BM106" i="8" s="1"/>
  <c r="BO106" i="8" s="1"/>
  <c r="AT84" i="20"/>
  <c r="AP107" i="8"/>
  <c r="BI107" i="8" s="1"/>
  <c r="BM107" i="8" s="1"/>
  <c r="BO107" i="8" s="1"/>
  <c r="AP121" i="8"/>
  <c r="BI121" i="8" s="1"/>
  <c r="AT78" i="20"/>
  <c r="AP105" i="8"/>
  <c r="AT95" i="20"/>
  <c r="AP122" i="8"/>
  <c r="BI122" i="8" s="1"/>
  <c r="BM122" i="8" s="1"/>
  <c r="BO122" i="8" s="1"/>
  <c r="AT98" i="20"/>
  <c r="H162" i="22" l="1"/>
  <c r="H161" i="22"/>
  <c r="I161" i="22" s="1"/>
  <c r="BW123" i="8"/>
  <c r="BW106" i="8"/>
  <c r="H162" i="8"/>
  <c r="I162" i="8" s="1"/>
  <c r="BW103" i="8"/>
  <c r="BW107" i="8"/>
  <c r="BV114" i="8"/>
  <c r="BW114" i="8" s="1"/>
  <c r="BW125" i="8"/>
  <c r="BW122" i="8"/>
  <c r="BO108" i="8"/>
  <c r="BW108" i="8"/>
  <c r="BO113" i="8"/>
  <c r="BW113" i="8"/>
  <c r="BO112" i="8"/>
  <c r="BW112" i="8"/>
  <c r="BV111" i="8"/>
  <c r="BW111" i="8" s="1"/>
  <c r="AP126" i="8"/>
  <c r="BI126" i="8" s="1"/>
  <c r="BM126" i="8" s="1"/>
  <c r="AT87" i="20"/>
  <c r="AP124" i="8"/>
  <c r="BI124" i="8" s="1"/>
  <c r="BM124" i="8" s="1"/>
  <c r="BI105" i="22"/>
  <c r="I162" i="22"/>
  <c r="H164" i="22"/>
  <c r="I164" i="22" s="1"/>
  <c r="BI121" i="22"/>
  <c r="BI99" i="22"/>
  <c r="AP135" i="22"/>
  <c r="AP136" i="22" s="1"/>
  <c r="AP128" i="8"/>
  <c r="BI128" i="8" s="1"/>
  <c r="BM128" i="8" s="1"/>
  <c r="AP99" i="8"/>
  <c r="H161" i="8" s="1"/>
  <c r="AT72" i="20"/>
  <c r="AP127" i="8"/>
  <c r="BI127" i="8" s="1"/>
  <c r="BM127" i="8" s="1"/>
  <c r="AT100" i="20"/>
  <c r="BM121" i="8"/>
  <c r="BI105" i="8"/>
  <c r="BO128" i="8" l="1"/>
  <c r="BW128" i="8"/>
  <c r="BO124" i="8"/>
  <c r="BV124" i="8"/>
  <c r="BW124" i="8" s="1"/>
  <c r="BO121" i="8"/>
  <c r="BW121" i="8"/>
  <c r="BO126" i="8"/>
  <c r="BW126" i="8"/>
  <c r="BO127" i="8"/>
  <c r="BW127" i="8"/>
  <c r="AP135" i="8"/>
  <c r="H164" i="8"/>
  <c r="I164" i="8" s="1"/>
  <c r="BM99" i="22"/>
  <c r="BO99" i="22" s="1"/>
  <c r="BI95" i="22"/>
  <c r="BI120" i="22"/>
  <c r="BM120" i="22" s="1"/>
  <c r="BM121" i="22"/>
  <c r="BO121" i="22" s="1"/>
  <c r="BI120" i="8"/>
  <c r="BM120" i="8" s="1"/>
  <c r="BI99" i="8"/>
  <c r="I161" i="8"/>
  <c r="BI104" i="22"/>
  <c r="BM104" i="22" s="1"/>
  <c r="BM105" i="22"/>
  <c r="BO105" i="22" s="1"/>
  <c r="BM105" i="8"/>
  <c r="BI104" i="8"/>
  <c r="BO105" i="8" l="1"/>
  <c r="BW105" i="8"/>
  <c r="BM99" i="8"/>
  <c r="BI95" i="8"/>
  <c r="BM95" i="8" s="1"/>
  <c r="BI94" i="22"/>
  <c r="BM95" i="22"/>
  <c r="BM104" i="8"/>
  <c r="BO99" i="8" l="1"/>
  <c r="BV99" i="8"/>
  <c r="BI94" i="8"/>
  <c r="BI135" i="8" s="1"/>
  <c r="BI135" i="22"/>
  <c r="BM94" i="22"/>
  <c r="BM135" i="22" s="1"/>
  <c r="J13" i="13" s="1"/>
  <c r="BW99" i="8" l="1"/>
  <c r="BW135" i="8" s="1"/>
  <c r="BV135" i="8"/>
  <c r="BM94" i="8"/>
  <c r="BM135" i="8" s="1"/>
  <c r="BO135" i="22"/>
  <c r="BR135" i="22" s="1"/>
  <c r="BW137" i="8" l="1"/>
  <c r="BV137" i="8"/>
  <c r="J19" i="19"/>
  <c r="K13" i="13"/>
  <c r="L13" i="13" s="1"/>
  <c r="BO135" i="8"/>
  <c r="AW60" i="20"/>
  <c r="AS73" i="8"/>
  <c r="G194" i="17"/>
  <c r="G178" i="17"/>
  <c r="G138" i="17"/>
  <c r="G154" i="17"/>
  <c r="G170" i="17"/>
  <c r="G146" i="17"/>
  <c r="G202" i="17"/>
  <c r="G162" i="17"/>
  <c r="AW59" i="20"/>
  <c r="G186" i="17"/>
  <c r="AS72" i="8"/>
  <c r="M138" i="17" l="1"/>
  <c r="S138" i="17"/>
  <c r="AS79" i="22" s="1"/>
  <c r="K186" i="17"/>
  <c r="M186" i="17" s="1"/>
  <c r="S162" i="17"/>
  <c r="AS82" i="22" s="1"/>
  <c r="AU60" i="20"/>
  <c r="AQ73" i="8"/>
  <c r="H159" i="8" s="1"/>
  <c r="G177" i="17"/>
  <c r="G137" i="17"/>
  <c r="G193" i="17"/>
  <c r="G153" i="17"/>
  <c r="G169" i="17"/>
  <c r="G145" i="17"/>
  <c r="AU59" i="20"/>
  <c r="G201" i="17"/>
  <c r="G161" i="17"/>
  <c r="G185" i="17"/>
  <c r="AQ72" i="8"/>
  <c r="S154" i="17"/>
  <c r="S194" i="17"/>
  <c r="AS86" i="22" l="1"/>
  <c r="K86" i="8"/>
  <c r="AS81" i="22"/>
  <c r="K81" i="8"/>
  <c r="AW64" i="20" s="1"/>
  <c r="S178" i="17"/>
  <c r="AS84" i="22" s="1"/>
  <c r="S186" i="17"/>
  <c r="K85" i="8" s="1"/>
  <c r="K185" i="17"/>
  <c r="M185" i="17" s="1"/>
  <c r="S193" i="17"/>
  <c r="BI73" i="8"/>
  <c r="BM73" i="8" s="1"/>
  <c r="BO73" i="8" s="1"/>
  <c r="I159" i="8"/>
  <c r="M137" i="17"/>
  <c r="S137" i="17"/>
  <c r="AQ79" i="22" s="1"/>
  <c r="S202" i="17"/>
  <c r="AS87" i="22" s="1"/>
  <c r="BI72" i="8"/>
  <c r="S153" i="17"/>
  <c r="S170" i="17"/>
  <c r="AS83" i="22" s="1"/>
  <c r="S146" i="17"/>
  <c r="AS80" i="22" s="1"/>
  <c r="AQ86" i="22" l="1"/>
  <c r="BI86" i="22" s="1"/>
  <c r="BM86" i="22" s="1"/>
  <c r="BO86" i="22" s="1"/>
  <c r="I86" i="8"/>
  <c r="AQ81" i="22"/>
  <c r="BI81" i="22" s="1"/>
  <c r="BM81" i="22" s="1"/>
  <c r="BO81" i="22" s="1"/>
  <c r="I81" i="8"/>
  <c r="AU64" i="20" s="1"/>
  <c r="BI79" i="22"/>
  <c r="AS85" i="22"/>
  <c r="AS134" i="22" s="1"/>
  <c r="AS136" i="22" s="1"/>
  <c r="S201" i="17"/>
  <c r="AQ87" i="22" s="1"/>
  <c r="BI87" i="22" s="1"/>
  <c r="BM87" i="22" s="1"/>
  <c r="BO87" i="22" s="1"/>
  <c r="S145" i="17"/>
  <c r="S169" i="17"/>
  <c r="BM72" i="8"/>
  <c r="BO72" i="8" s="1"/>
  <c r="S177" i="17"/>
  <c r="AQ84" i="22" s="1"/>
  <c r="BI84" i="22" s="1"/>
  <c r="BM84" i="22" s="1"/>
  <c r="BO84" i="22" s="1"/>
  <c r="AS82" i="8"/>
  <c r="AS81" i="8"/>
  <c r="AS79" i="8"/>
  <c r="AW65" i="20"/>
  <c r="AS85" i="8"/>
  <c r="S161" i="17"/>
  <c r="AQ82" i="22" s="1"/>
  <c r="BI82" i="22" s="1"/>
  <c r="BM82" i="22" s="1"/>
  <c r="BO82" i="22" s="1"/>
  <c r="AS84" i="8"/>
  <c r="S185" i="17"/>
  <c r="AW66" i="20"/>
  <c r="AS86" i="8"/>
  <c r="AQ85" i="22" l="1"/>
  <c r="BI85" i="22" s="1"/>
  <c r="BM85" i="22" s="1"/>
  <c r="BO85" i="22" s="1"/>
  <c r="I85" i="8"/>
  <c r="AQ83" i="22"/>
  <c r="BI83" i="22" s="1"/>
  <c r="BM83" i="22" s="1"/>
  <c r="BO83" i="22" s="1"/>
  <c r="AQ80" i="22"/>
  <c r="H158" i="22" s="1"/>
  <c r="BM79" i="22"/>
  <c r="BO79" i="22" s="1"/>
  <c r="AS87" i="8"/>
  <c r="AS83" i="8"/>
  <c r="AQ79" i="8"/>
  <c r="AQ86" i="8"/>
  <c r="BI86" i="8" s="1"/>
  <c r="BM86" i="8" s="1"/>
  <c r="BO86" i="8" s="1"/>
  <c r="AU66" i="20"/>
  <c r="AS80" i="8"/>
  <c r="AQ81" i="8"/>
  <c r="AQ80" i="8"/>
  <c r="AQ83" i="8"/>
  <c r="BI81" i="8" l="1"/>
  <c r="BM81" i="8" s="1"/>
  <c r="BO81" i="8" s="1"/>
  <c r="AQ87" i="8"/>
  <c r="BI87" i="8" s="1"/>
  <c r="BM87" i="8" s="1"/>
  <c r="BO87" i="8" s="1"/>
  <c r="AS134" i="8"/>
  <c r="AS136" i="8" s="1"/>
  <c r="BI80" i="22"/>
  <c r="AQ134" i="22"/>
  <c r="AQ136" i="22" s="1"/>
  <c r="BI80" i="8"/>
  <c r="BM80" i="8" s="1"/>
  <c r="BO80" i="8" s="1"/>
  <c r="AU65" i="20"/>
  <c r="AQ85" i="8"/>
  <c r="BI85" i="8" s="1"/>
  <c r="BM85" i="8" s="1"/>
  <c r="BO85" i="8" s="1"/>
  <c r="BI83" i="8"/>
  <c r="BM83" i="8" s="1"/>
  <c r="BO83" i="8" s="1"/>
  <c r="AQ82" i="8"/>
  <c r="BI82" i="8" s="1"/>
  <c r="BM82" i="8" s="1"/>
  <c r="BO82" i="8" s="1"/>
  <c r="AQ84" i="8"/>
  <c r="BI84" i="8" s="1"/>
  <c r="BM84" i="8" s="1"/>
  <c r="BO84" i="8" s="1"/>
  <c r="BI79" i="8"/>
  <c r="H158" i="8" l="1"/>
  <c r="I158" i="8" s="1"/>
  <c r="I158" i="22"/>
  <c r="I165" i="22" s="1"/>
  <c r="H165" i="22"/>
  <c r="BM80" i="22"/>
  <c r="BO80" i="22" s="1"/>
  <c r="BI70" i="22"/>
  <c r="BM79" i="8"/>
  <c r="BO79" i="8" s="1"/>
  <c r="AQ134" i="8"/>
  <c r="AQ136" i="8" s="1"/>
  <c r="BI134" i="22" l="1"/>
  <c r="BI136" i="22" s="1"/>
  <c r="BM70" i="22"/>
  <c r="BM134" i="22" s="1"/>
  <c r="J12" i="13" s="1"/>
  <c r="J14" i="13" s="1"/>
  <c r="BO134" i="22" l="1"/>
  <c r="BR134" i="22" s="1"/>
  <c r="BM136" i="22"/>
  <c r="BN134" i="22" l="1"/>
  <c r="BN132" i="22"/>
  <c r="BO136" i="22"/>
  <c r="BR136" i="22" s="1"/>
  <c r="I166" i="22"/>
  <c r="I167" i="22" s="1"/>
  <c r="BN136" i="22"/>
  <c r="BN139" i="22"/>
  <c r="BN131" i="22"/>
  <c r="BN138" i="22"/>
  <c r="BN133" i="22"/>
  <c r="BN135" i="22"/>
  <c r="BN20" i="20" l="1"/>
  <c r="AP30" i="9"/>
  <c r="H44" i="16"/>
  <c r="BN32" i="20"/>
  <c r="I82" i="11"/>
  <c r="AP44" i="9"/>
  <c r="H30" i="16"/>
  <c r="Z20" i="20" l="1"/>
  <c r="G79" i="19" s="1"/>
  <c r="H79" i="19" s="1"/>
  <c r="J79" i="19" s="1"/>
  <c r="I52" i="11"/>
  <c r="AP30" i="2"/>
  <c r="K39" i="16"/>
  <c r="AS39" i="9"/>
  <c r="I37" i="11"/>
  <c r="BQ27" i="20"/>
  <c r="H45" i="16"/>
  <c r="AP45" i="16" s="1"/>
  <c r="BI45" i="16" s="1"/>
  <c r="AP45" i="9"/>
  <c r="BI45" i="9" s="1"/>
  <c r="BN23" i="20"/>
  <c r="AP33" i="9"/>
  <c r="I28" i="11"/>
  <c r="H33" i="16"/>
  <c r="F20" i="20"/>
  <c r="AP30" i="16"/>
  <c r="J39" i="16"/>
  <c r="BP27" i="20"/>
  <c r="I36" i="11"/>
  <c r="AR39" i="9"/>
  <c r="J40" i="16"/>
  <c r="I42" i="11"/>
  <c r="AR40" i="9"/>
  <c r="BP28" i="20"/>
  <c r="K40" i="16"/>
  <c r="BQ28" i="20"/>
  <c r="I43" i="11"/>
  <c r="AS40" i="9"/>
  <c r="BI44" i="9"/>
  <c r="F32" i="20"/>
  <c r="G117" i="19" s="1"/>
  <c r="AP44" i="16"/>
  <c r="I40" i="16"/>
  <c r="BO28" i="20"/>
  <c r="I41" i="11"/>
  <c r="AQ40" i="9"/>
  <c r="BI30" i="9"/>
  <c r="BN21" i="20"/>
  <c r="H31" i="16"/>
  <c r="AP31" i="9"/>
  <c r="BI31" i="9" s="1"/>
  <c r="BM31" i="9" s="1"/>
  <c r="BO31" i="9" s="1"/>
  <c r="AR132" i="9" l="1"/>
  <c r="AR136" i="9" s="1"/>
  <c r="Z21" i="20"/>
  <c r="AP31" i="2"/>
  <c r="BI31" i="2" s="1"/>
  <c r="BM31" i="2" s="1"/>
  <c r="BO31" i="2" s="1"/>
  <c r="BI30" i="2"/>
  <c r="I39" i="16"/>
  <c r="I35" i="11"/>
  <c r="AQ39" i="9"/>
  <c r="BO27" i="20"/>
  <c r="I46" i="16"/>
  <c r="BO33" i="20"/>
  <c r="I85" i="11"/>
  <c r="AQ46" i="9"/>
  <c r="F21" i="20"/>
  <c r="AP31" i="16"/>
  <c r="BI31" i="16" s="1"/>
  <c r="BM31" i="16" s="1"/>
  <c r="BO31" i="16" s="1"/>
  <c r="BI29" i="9"/>
  <c r="BM30" i="9"/>
  <c r="BO30" i="9" s="1"/>
  <c r="AQ40" i="16"/>
  <c r="G28" i="20"/>
  <c r="G75" i="19" s="1"/>
  <c r="AP34" i="9"/>
  <c r="BI34" i="9" s="1"/>
  <c r="H34" i="16"/>
  <c r="AP34" i="16" s="1"/>
  <c r="BI34" i="16" s="1"/>
  <c r="BO24" i="20"/>
  <c r="I31" i="11"/>
  <c r="I35" i="16"/>
  <c r="AQ35" i="9"/>
  <c r="BI40" i="9"/>
  <c r="H153" i="9"/>
  <c r="BI44" i="16"/>
  <c r="AP33" i="16"/>
  <c r="F23" i="20"/>
  <c r="G62" i="19" s="1"/>
  <c r="G68" i="19" s="1"/>
  <c r="H117" i="19" s="1"/>
  <c r="J117" i="19" s="1"/>
  <c r="K46" i="16"/>
  <c r="BQ33" i="20"/>
  <c r="I86" i="11"/>
  <c r="AS46" i="9"/>
  <c r="AS40" i="16"/>
  <c r="I28" i="20"/>
  <c r="G77" i="19" s="1"/>
  <c r="AR40" i="16"/>
  <c r="H28" i="20"/>
  <c r="G76" i="19" s="1"/>
  <c r="AR39" i="16"/>
  <c r="H27" i="20"/>
  <c r="G73" i="19" s="1"/>
  <c r="K35" i="16"/>
  <c r="AS35" i="9"/>
  <c r="I32" i="11"/>
  <c r="BQ24" i="20"/>
  <c r="H150" i="9"/>
  <c r="I150" i="9" s="1"/>
  <c r="BI30" i="16"/>
  <c r="BI33" i="9"/>
  <c r="AS39" i="16"/>
  <c r="I27" i="20"/>
  <c r="G74" i="19" s="1"/>
  <c r="H77" i="19" l="1"/>
  <c r="J77" i="19" s="1"/>
  <c r="H73" i="19"/>
  <c r="J73" i="19" s="1"/>
  <c r="H74" i="19"/>
  <c r="J74" i="19" s="1"/>
  <c r="AR132" i="16"/>
  <c r="AR136" i="16" s="1"/>
  <c r="H150" i="2"/>
  <c r="I150" i="2" s="1"/>
  <c r="H150" i="16"/>
  <c r="I150" i="16" s="1"/>
  <c r="BI29" i="2"/>
  <c r="BM30" i="2"/>
  <c r="BO30" i="2" s="1"/>
  <c r="K47" i="16"/>
  <c r="AS47" i="16" s="1"/>
  <c r="AS47" i="9"/>
  <c r="AS133" i="9" s="1"/>
  <c r="I33" i="20"/>
  <c r="G119" i="19" s="1"/>
  <c r="AS46" i="16"/>
  <c r="AQ35" i="16"/>
  <c r="G24" i="20"/>
  <c r="G69" i="19" s="1"/>
  <c r="BM29" i="9"/>
  <c r="I47" i="16"/>
  <c r="AQ47" i="16" s="1"/>
  <c r="AQ47" i="9"/>
  <c r="BI39" i="9"/>
  <c r="H152" i="9"/>
  <c r="BI29" i="16"/>
  <c r="BM30" i="16"/>
  <c r="BO30" i="16" s="1"/>
  <c r="AS36" i="9"/>
  <c r="AS132" i="9" s="1"/>
  <c r="K36" i="16"/>
  <c r="AS36" i="16" s="1"/>
  <c r="BI33" i="16"/>
  <c r="AQ36" i="9"/>
  <c r="AQ132" i="9" s="1"/>
  <c r="I36" i="16"/>
  <c r="AQ36" i="16" s="1"/>
  <c r="BI40" i="16"/>
  <c r="H153" i="16"/>
  <c r="AS35" i="16"/>
  <c r="I24" i="20"/>
  <c r="G70" i="19" s="1"/>
  <c r="H76" i="19"/>
  <c r="J76" i="19" s="1"/>
  <c r="BI35" i="9"/>
  <c r="BI46" i="9"/>
  <c r="G33" i="20"/>
  <c r="G118" i="19" s="1"/>
  <c r="AQ46" i="16"/>
  <c r="AQ39" i="16"/>
  <c r="G27" i="20"/>
  <c r="G72" i="19" s="1"/>
  <c r="H72" i="19" s="1"/>
  <c r="J72" i="19" s="1"/>
  <c r="BI47" i="9" l="1"/>
  <c r="AQ133" i="9"/>
  <c r="AQ136" i="9" s="1"/>
  <c r="BI47" i="16"/>
  <c r="H118" i="19"/>
  <c r="J118" i="19" s="1"/>
  <c r="BI36" i="16"/>
  <c r="AS136" i="9"/>
  <c r="AS132" i="16"/>
  <c r="BI36" i="9"/>
  <c r="BM29" i="2"/>
  <c r="G71" i="19"/>
  <c r="H71" i="19" s="1"/>
  <c r="J71" i="19" s="1"/>
  <c r="H70" i="19"/>
  <c r="J70" i="19" s="1"/>
  <c r="BI35" i="16"/>
  <c r="AQ132" i="16"/>
  <c r="H151" i="16"/>
  <c r="BM29" i="16"/>
  <c r="H119" i="19"/>
  <c r="J119" i="19" s="1"/>
  <c r="H152" i="16"/>
  <c r="BI39" i="16"/>
  <c r="BI46" i="16"/>
  <c r="H75" i="19"/>
  <c r="J75" i="19" s="1"/>
  <c r="H68" i="19"/>
  <c r="J68" i="19" s="1"/>
  <c r="H69" i="19"/>
  <c r="J69" i="19" s="1"/>
  <c r="H151" i="9"/>
  <c r="BI43" i="9" l="1"/>
  <c r="BI32" i="9"/>
  <c r="BI32" i="16"/>
  <c r="BI43" i="16"/>
  <c r="H116" i="16" l="1"/>
  <c r="H379" i="17"/>
  <c r="H347" i="17"/>
  <c r="H414" i="17"/>
  <c r="H386" i="17"/>
  <c r="H354" i="17"/>
  <c r="AP116" i="9"/>
  <c r="H400" i="17"/>
  <c r="H372" i="17"/>
  <c r="H340" i="17"/>
  <c r="H407" i="17"/>
  <c r="BN89" i="20"/>
  <c r="H393" i="17"/>
  <c r="H365" i="17"/>
  <c r="I142" i="11"/>
  <c r="H421" i="17"/>
  <c r="AP96" i="9"/>
  <c r="H329" i="17"/>
  <c r="H315" i="17"/>
  <c r="H266" i="17"/>
  <c r="BN69" i="20"/>
  <c r="H308" i="17"/>
  <c r="H248" i="17"/>
  <c r="H287" i="17"/>
  <c r="H213" i="17"/>
  <c r="H294" i="17"/>
  <c r="H227" i="17"/>
  <c r="H234" i="17"/>
  <c r="H280" i="17"/>
  <c r="I137" i="11"/>
  <c r="H255" i="17"/>
  <c r="H96" i="16"/>
  <c r="H301" i="17"/>
  <c r="H220" i="17"/>
  <c r="H322" i="17"/>
  <c r="H273" i="17"/>
  <c r="T273" i="17" l="1"/>
  <c r="I273" i="17"/>
  <c r="T234" i="17"/>
  <c r="I234" i="17"/>
  <c r="T266" i="17"/>
  <c r="I266" i="17"/>
  <c r="T421" i="17"/>
  <c r="I421" i="17"/>
  <c r="T400" i="17"/>
  <c r="I400" i="17"/>
  <c r="T322" i="17"/>
  <c r="I322" i="17"/>
  <c r="T248" i="17"/>
  <c r="I248" i="17"/>
  <c r="BI116" i="9"/>
  <c r="T220" i="17"/>
  <c r="I220" i="17"/>
  <c r="T294" i="17"/>
  <c r="I294" i="17"/>
  <c r="T308" i="17"/>
  <c r="I308" i="17"/>
  <c r="T329" i="17"/>
  <c r="I329" i="17"/>
  <c r="T365" i="17"/>
  <c r="I365" i="17"/>
  <c r="T340" i="17"/>
  <c r="I340" i="17"/>
  <c r="T354" i="17"/>
  <c r="I354" i="17"/>
  <c r="T379" i="17"/>
  <c r="I379" i="17"/>
  <c r="AP96" i="16"/>
  <c r="F69" i="20"/>
  <c r="T287" i="17"/>
  <c r="I287" i="17"/>
  <c r="T414" i="17"/>
  <c r="I414" i="17"/>
  <c r="T255" i="17"/>
  <c r="I255" i="17"/>
  <c r="T227" i="17"/>
  <c r="I227" i="17"/>
  <c r="T315" i="17"/>
  <c r="I315" i="17"/>
  <c r="T407" i="17"/>
  <c r="I407" i="17"/>
  <c r="T347" i="17"/>
  <c r="I347" i="17"/>
  <c r="T301" i="17"/>
  <c r="I301" i="17"/>
  <c r="T280" i="17"/>
  <c r="I280" i="17"/>
  <c r="T213" i="17"/>
  <c r="I213" i="17"/>
  <c r="BI96" i="9"/>
  <c r="T393" i="17"/>
  <c r="I393" i="17"/>
  <c r="T372" i="17"/>
  <c r="I372" i="17"/>
  <c r="T386" i="17"/>
  <c r="I386" i="17"/>
  <c r="AP116" i="16"/>
  <c r="F89" i="20"/>
  <c r="H125" i="9" l="1"/>
  <c r="AP99" i="23"/>
  <c r="BI99" i="23" s="1"/>
  <c r="BM99" i="23" s="1"/>
  <c r="BO99" i="23" s="1"/>
  <c r="H99" i="9"/>
  <c r="AP118" i="23"/>
  <c r="BI118" i="23" s="1"/>
  <c r="BM118" i="23" s="1"/>
  <c r="BO118" i="23" s="1"/>
  <c r="H118" i="9"/>
  <c r="AP103" i="23"/>
  <c r="BI103" i="23" s="1"/>
  <c r="BM103" i="23" s="1"/>
  <c r="BO103" i="23" s="1"/>
  <c r="H103" i="9"/>
  <c r="BN76" i="20" s="1"/>
  <c r="H123" i="9"/>
  <c r="H114" i="9"/>
  <c r="AP102" i="23"/>
  <c r="BI102" i="23" s="1"/>
  <c r="BM102" i="23" s="1"/>
  <c r="BO102" i="23" s="1"/>
  <c r="H102" i="9"/>
  <c r="BN75" i="20" s="1"/>
  <c r="AP105" i="23"/>
  <c r="H105" i="9"/>
  <c r="H121" i="9"/>
  <c r="H128" i="9"/>
  <c r="AP119" i="23"/>
  <c r="BI119" i="23" s="1"/>
  <c r="BM119" i="23" s="1"/>
  <c r="BO119" i="23" s="1"/>
  <c r="H119" i="9"/>
  <c r="AP111" i="23"/>
  <c r="BI111" i="23" s="1"/>
  <c r="BM111" i="23" s="1"/>
  <c r="BO111" i="23" s="1"/>
  <c r="H111" i="9"/>
  <c r="H110" i="9"/>
  <c r="AP124" i="23"/>
  <c r="BI124" i="23" s="1"/>
  <c r="BM124" i="23" s="1"/>
  <c r="BO124" i="23" s="1"/>
  <c r="H124" i="9"/>
  <c r="H113" i="24"/>
  <c r="AP113" i="24" s="1"/>
  <c r="BI113" i="24" s="1"/>
  <c r="BM113" i="24" s="1"/>
  <c r="BO113" i="24" s="1"/>
  <c r="H113" i="9"/>
  <c r="AP100" i="23"/>
  <c r="BI100" i="23" s="1"/>
  <c r="BM100" i="23" s="1"/>
  <c r="BO100" i="23" s="1"/>
  <c r="H100" i="9"/>
  <c r="H98" i="9"/>
  <c r="H97" i="24"/>
  <c r="AP97" i="24" s="1"/>
  <c r="H97" i="9"/>
  <c r="AP107" i="23"/>
  <c r="BI107" i="23" s="1"/>
  <c r="BM107" i="23" s="1"/>
  <c r="BO107" i="23" s="1"/>
  <c r="H107" i="9"/>
  <c r="AP112" i="23"/>
  <c r="BI112" i="23" s="1"/>
  <c r="BM112" i="23" s="1"/>
  <c r="BO112" i="23" s="1"/>
  <c r="H112" i="9"/>
  <c r="H108" i="9"/>
  <c r="H117" i="24"/>
  <c r="AP117" i="24" s="1"/>
  <c r="H117" i="9"/>
  <c r="AP109" i="23"/>
  <c r="BI109" i="23" s="1"/>
  <c r="BM109" i="23" s="1"/>
  <c r="BO109" i="23" s="1"/>
  <c r="H109" i="9"/>
  <c r="AP127" i="23"/>
  <c r="BI127" i="23" s="1"/>
  <c r="BM127" i="23" s="1"/>
  <c r="BO127" i="23" s="1"/>
  <c r="H127" i="9"/>
  <c r="H122" i="9"/>
  <c r="AP126" i="23"/>
  <c r="BI126" i="23" s="1"/>
  <c r="BM126" i="23" s="1"/>
  <c r="BO126" i="23" s="1"/>
  <c r="H126" i="9"/>
  <c r="AP106" i="23"/>
  <c r="BI106" i="23" s="1"/>
  <c r="BM106" i="23" s="1"/>
  <c r="BO106" i="23" s="1"/>
  <c r="H106" i="9"/>
  <c r="AP110" i="23"/>
  <c r="BI110" i="23" s="1"/>
  <c r="BM110" i="23" s="1"/>
  <c r="BO110" i="23" s="1"/>
  <c r="H110" i="24"/>
  <c r="AP110" i="24" s="1"/>
  <c r="BI110" i="24" s="1"/>
  <c r="BM110" i="24" s="1"/>
  <c r="BO110" i="24" s="1"/>
  <c r="H99" i="24"/>
  <c r="AP99" i="24" s="1"/>
  <c r="BI99" i="24" s="1"/>
  <c r="BM99" i="24" s="1"/>
  <c r="BO99" i="24" s="1"/>
  <c r="AP121" i="23"/>
  <c r="H121" i="24"/>
  <c r="AP121" i="24" s="1"/>
  <c r="AP98" i="23"/>
  <c r="BI98" i="23" s="1"/>
  <c r="BM98" i="23" s="1"/>
  <c r="BO98" i="23" s="1"/>
  <c r="H98" i="24"/>
  <c r="AP98" i="24" s="1"/>
  <c r="BI98" i="24" s="1"/>
  <c r="BM98" i="24" s="1"/>
  <c r="BO98" i="24" s="1"/>
  <c r="AP125" i="23"/>
  <c r="BI125" i="23" s="1"/>
  <c r="BM125" i="23" s="1"/>
  <c r="BO125" i="23" s="1"/>
  <c r="H125" i="24"/>
  <c r="AP125" i="24" s="1"/>
  <c r="BI125" i="24" s="1"/>
  <c r="BM125" i="24" s="1"/>
  <c r="BO125" i="24" s="1"/>
  <c r="AP129" i="23"/>
  <c r="BI129" i="23" s="1"/>
  <c r="BM129" i="23" s="1"/>
  <c r="BO129" i="23" s="1"/>
  <c r="H129" i="24"/>
  <c r="AP129" i="24" s="1"/>
  <c r="BI129" i="24" s="1"/>
  <c r="BM129" i="24" s="1"/>
  <c r="BO129" i="24" s="1"/>
  <c r="AP123" i="23"/>
  <c r="BI123" i="23" s="1"/>
  <c r="BM123" i="23" s="1"/>
  <c r="BO123" i="23" s="1"/>
  <c r="H123" i="24"/>
  <c r="AP123" i="24" s="1"/>
  <c r="BI123" i="24" s="1"/>
  <c r="BM123" i="24" s="1"/>
  <c r="BO123" i="24" s="1"/>
  <c r="AP114" i="23"/>
  <c r="BI114" i="23" s="1"/>
  <c r="BM114" i="23" s="1"/>
  <c r="BO114" i="23" s="1"/>
  <c r="H114" i="24"/>
  <c r="AP114" i="24" s="1"/>
  <c r="BI114" i="24" s="1"/>
  <c r="BM114" i="24" s="1"/>
  <c r="BO114" i="24" s="1"/>
  <c r="AP128" i="23"/>
  <c r="BI128" i="23" s="1"/>
  <c r="BM128" i="23" s="1"/>
  <c r="BO128" i="23" s="1"/>
  <c r="H128" i="24"/>
  <c r="AP128" i="24" s="1"/>
  <c r="BI128" i="24" s="1"/>
  <c r="BM128" i="24" s="1"/>
  <c r="BO128" i="24" s="1"/>
  <c r="H124" i="24"/>
  <c r="AP124" i="24" s="1"/>
  <c r="BI124" i="24" s="1"/>
  <c r="BM124" i="24" s="1"/>
  <c r="BO124" i="24" s="1"/>
  <c r="AP108" i="23"/>
  <c r="BI108" i="23" s="1"/>
  <c r="BM108" i="23" s="1"/>
  <c r="BO108" i="23" s="1"/>
  <c r="H108" i="24"/>
  <c r="AP108" i="24" s="1"/>
  <c r="BI108" i="24" s="1"/>
  <c r="BM108" i="24" s="1"/>
  <c r="BO108" i="24" s="1"/>
  <c r="AP117" i="23"/>
  <c r="AP122" i="23"/>
  <c r="BI122" i="23" s="1"/>
  <c r="BM122" i="23" s="1"/>
  <c r="BO122" i="23" s="1"/>
  <c r="H122" i="24"/>
  <c r="AP122" i="24" s="1"/>
  <c r="BI122" i="24" s="1"/>
  <c r="BM122" i="24" s="1"/>
  <c r="BO122" i="24" s="1"/>
  <c r="BI116" i="16"/>
  <c r="BM96" i="9"/>
  <c r="U347" i="17"/>
  <c r="U287" i="17"/>
  <c r="U340" i="17"/>
  <c r="U329" i="17"/>
  <c r="BM116" i="9"/>
  <c r="U421" i="17"/>
  <c r="U386" i="17"/>
  <c r="U393" i="17"/>
  <c r="U372" i="17"/>
  <c r="U280" i="17"/>
  <c r="U315" i="17"/>
  <c r="U255" i="17"/>
  <c r="U379" i="17"/>
  <c r="U294" i="17"/>
  <c r="U322" i="17"/>
  <c r="U234" i="17"/>
  <c r="U213" i="17"/>
  <c r="U301" i="17"/>
  <c r="U407" i="17"/>
  <c r="U227" i="17"/>
  <c r="U414" i="17"/>
  <c r="BI96" i="16"/>
  <c r="U354" i="17"/>
  <c r="U365" i="17"/>
  <c r="U308" i="17"/>
  <c r="U220" i="17"/>
  <c r="U248" i="17"/>
  <c r="U400" i="17"/>
  <c r="U266" i="17"/>
  <c r="U273" i="17"/>
  <c r="H126" i="24" l="1"/>
  <c r="AP126" i="24" s="1"/>
  <c r="BI126" i="24" s="1"/>
  <c r="BM126" i="24" s="1"/>
  <c r="BO126" i="24" s="1"/>
  <c r="AP97" i="23"/>
  <c r="H161" i="23" s="1"/>
  <c r="H112" i="24"/>
  <c r="AP112" i="24" s="1"/>
  <c r="BI112" i="24" s="1"/>
  <c r="BM112" i="24" s="1"/>
  <c r="BO112" i="24" s="1"/>
  <c r="H111" i="24"/>
  <c r="AP111" i="24" s="1"/>
  <c r="BI111" i="24" s="1"/>
  <c r="BM111" i="24" s="1"/>
  <c r="BO111" i="24" s="1"/>
  <c r="H107" i="24"/>
  <c r="AP107" i="24" s="1"/>
  <c r="BI107" i="24" s="1"/>
  <c r="BM107" i="24" s="1"/>
  <c r="BO107" i="24" s="1"/>
  <c r="AP113" i="23"/>
  <c r="BI113" i="23" s="1"/>
  <c r="BM113" i="23" s="1"/>
  <c r="BO113" i="23" s="1"/>
  <c r="H109" i="24"/>
  <c r="AP109" i="24" s="1"/>
  <c r="BI109" i="24" s="1"/>
  <c r="BM109" i="24" s="1"/>
  <c r="BO109" i="24" s="1"/>
  <c r="H100" i="24"/>
  <c r="AP100" i="24" s="1"/>
  <c r="BI100" i="24" s="1"/>
  <c r="BM100" i="24" s="1"/>
  <c r="BO100" i="24" s="1"/>
  <c r="H127" i="24"/>
  <c r="AP127" i="24" s="1"/>
  <c r="BI127" i="24" s="1"/>
  <c r="BM127" i="24" s="1"/>
  <c r="BO127" i="24" s="1"/>
  <c r="H103" i="24"/>
  <c r="AP103" i="24" s="1"/>
  <c r="BI103" i="24" s="1"/>
  <c r="BM103" i="24" s="1"/>
  <c r="BO103" i="24" s="1"/>
  <c r="H106" i="24"/>
  <c r="AP106" i="24" s="1"/>
  <c r="BI106" i="24" s="1"/>
  <c r="BM106" i="24" s="1"/>
  <c r="BO106" i="24" s="1"/>
  <c r="H105" i="24"/>
  <c r="AP105" i="24" s="1"/>
  <c r="BI105" i="24" s="1"/>
  <c r="H119" i="24"/>
  <c r="AP119" i="24" s="1"/>
  <c r="BI119" i="24" s="1"/>
  <c r="BM119" i="24" s="1"/>
  <c r="BO119" i="24" s="1"/>
  <c r="H102" i="24"/>
  <c r="AP102" i="24" s="1"/>
  <c r="BI102" i="24" s="1"/>
  <c r="BM102" i="24" s="1"/>
  <c r="BO102" i="24" s="1"/>
  <c r="H118" i="24"/>
  <c r="AP118" i="24" s="1"/>
  <c r="BI118" i="24" s="1"/>
  <c r="BM118" i="24" s="1"/>
  <c r="BO118" i="24" s="1"/>
  <c r="BI105" i="23"/>
  <c r="BI121" i="24"/>
  <c r="BI117" i="24"/>
  <c r="BI117" i="23"/>
  <c r="H163" i="23"/>
  <c r="I163" i="23" s="1"/>
  <c r="BI121" i="23"/>
  <c r="H164" i="23"/>
  <c r="I164" i="23" s="1"/>
  <c r="BI97" i="24"/>
  <c r="BI97" i="23"/>
  <c r="BN83" i="20"/>
  <c r="AP110" i="9"/>
  <c r="BI110" i="9" s="1"/>
  <c r="BM110" i="9" s="1"/>
  <c r="BO110" i="9" s="1"/>
  <c r="H110" i="16"/>
  <c r="BN79" i="20"/>
  <c r="AP106" i="9"/>
  <c r="BI106" i="9" s="1"/>
  <c r="BM106" i="9" s="1"/>
  <c r="BO106" i="9" s="1"/>
  <c r="H106" i="16"/>
  <c r="BN99" i="20"/>
  <c r="AP126" i="9"/>
  <c r="BI126" i="9" s="1"/>
  <c r="BM126" i="9" s="1"/>
  <c r="BO126" i="9" s="1"/>
  <c r="H126" i="16"/>
  <c r="BN71" i="20"/>
  <c r="AP98" i="9"/>
  <c r="BI98" i="9" s="1"/>
  <c r="BM98" i="9" s="1"/>
  <c r="BO98" i="9" s="1"/>
  <c r="H98" i="16"/>
  <c r="BN94" i="20"/>
  <c r="AP121" i="9"/>
  <c r="H121" i="16"/>
  <c r="BM96" i="16"/>
  <c r="BN72" i="20"/>
  <c r="AP99" i="9"/>
  <c r="BI99" i="9" s="1"/>
  <c r="BM99" i="9" s="1"/>
  <c r="BO99" i="9" s="1"/>
  <c r="H99" i="16"/>
  <c r="BN82" i="20"/>
  <c r="AP109" i="9"/>
  <c r="BI109" i="9" s="1"/>
  <c r="BM109" i="9" s="1"/>
  <c r="BO109" i="9" s="1"/>
  <c r="H109" i="16"/>
  <c r="AP103" i="9"/>
  <c r="BI103" i="9" s="1"/>
  <c r="BM103" i="9" s="1"/>
  <c r="BO103" i="9" s="1"/>
  <c r="H103" i="16"/>
  <c r="F76" i="20" s="1"/>
  <c r="BN80" i="20"/>
  <c r="AP107" i="9"/>
  <c r="BI107" i="9" s="1"/>
  <c r="BM107" i="9" s="1"/>
  <c r="BO107" i="9" s="1"/>
  <c r="H107" i="16"/>
  <c r="BN98" i="20"/>
  <c r="AP125" i="9"/>
  <c r="BI125" i="9" s="1"/>
  <c r="BM125" i="9" s="1"/>
  <c r="BO125" i="9" s="1"/>
  <c r="H125" i="16"/>
  <c r="AP129" i="9"/>
  <c r="BI129" i="9" s="1"/>
  <c r="BM129" i="9" s="1"/>
  <c r="BO129" i="9" s="1"/>
  <c r="H129" i="16"/>
  <c r="BN87" i="20"/>
  <c r="AP114" i="9"/>
  <c r="BI114" i="9" s="1"/>
  <c r="BM114" i="9" s="1"/>
  <c r="BO114" i="9" s="1"/>
  <c r="H114" i="16"/>
  <c r="BN81" i="20"/>
  <c r="AP108" i="9"/>
  <c r="BI108" i="9" s="1"/>
  <c r="BM108" i="9" s="1"/>
  <c r="BO108" i="9" s="1"/>
  <c r="H108" i="16"/>
  <c r="BN78" i="20"/>
  <c r="AP105" i="9"/>
  <c r="H105" i="16"/>
  <c r="AP102" i="9"/>
  <c r="BI102" i="9" s="1"/>
  <c r="BM102" i="9" s="1"/>
  <c r="BO102" i="9" s="1"/>
  <c r="H102" i="16"/>
  <c r="F75" i="20" s="1"/>
  <c r="BN84" i="20"/>
  <c r="AP111" i="9"/>
  <c r="BI111" i="9" s="1"/>
  <c r="BM111" i="9" s="1"/>
  <c r="BO111" i="9" s="1"/>
  <c r="H111" i="16"/>
  <c r="BN92" i="20"/>
  <c r="AP119" i="9"/>
  <c r="BI119" i="9" s="1"/>
  <c r="BM119" i="9" s="1"/>
  <c r="BO119" i="9" s="1"/>
  <c r="H119" i="16"/>
  <c r="BN73" i="20"/>
  <c r="AP100" i="9"/>
  <c r="BI100" i="9" s="1"/>
  <c r="BM100" i="9" s="1"/>
  <c r="BO100" i="9" s="1"/>
  <c r="H100" i="16"/>
  <c r="BN101" i="20"/>
  <c r="AP128" i="9"/>
  <c r="BI128" i="9" s="1"/>
  <c r="BM128" i="9" s="1"/>
  <c r="BO128" i="9" s="1"/>
  <c r="H128" i="16"/>
  <c r="BN100" i="20"/>
  <c r="AP127" i="9"/>
  <c r="BI127" i="9" s="1"/>
  <c r="BM127" i="9" s="1"/>
  <c r="BO127" i="9" s="1"/>
  <c r="H127" i="16"/>
  <c r="BN70" i="20"/>
  <c r="AP97" i="9"/>
  <c r="H97" i="16"/>
  <c r="BN86" i="20"/>
  <c r="AP113" i="9"/>
  <c r="BI113" i="9" s="1"/>
  <c r="BM113" i="9" s="1"/>
  <c r="BO113" i="9" s="1"/>
  <c r="H113" i="16"/>
  <c r="BN96" i="20"/>
  <c r="AP123" i="9"/>
  <c r="BI123" i="9" s="1"/>
  <c r="BM123" i="9" s="1"/>
  <c r="BO123" i="9" s="1"/>
  <c r="H123" i="16"/>
  <c r="BN85" i="20"/>
  <c r="AP112" i="9"/>
  <c r="BI112" i="9" s="1"/>
  <c r="BM112" i="9" s="1"/>
  <c r="BO112" i="9" s="1"/>
  <c r="H112" i="16"/>
  <c r="BN95" i="20"/>
  <c r="AP122" i="9"/>
  <c r="BI122" i="9" s="1"/>
  <c r="BM122" i="9" s="1"/>
  <c r="BO122" i="9" s="1"/>
  <c r="H122" i="16"/>
  <c r="BN97" i="20"/>
  <c r="AP124" i="9"/>
  <c r="BI124" i="9" s="1"/>
  <c r="BM124" i="9" s="1"/>
  <c r="BO124" i="9" s="1"/>
  <c r="H124" i="16"/>
  <c r="BN90" i="20"/>
  <c r="AP117" i="9"/>
  <c r="H117" i="16"/>
  <c r="BN91" i="20"/>
  <c r="AP118" i="9"/>
  <c r="BI118" i="9" s="1"/>
  <c r="BM118" i="9" s="1"/>
  <c r="BO118" i="9" s="1"/>
  <c r="H118" i="16"/>
  <c r="BM116" i="16"/>
  <c r="H161" i="9" l="1"/>
  <c r="H162" i="9"/>
  <c r="H162" i="23"/>
  <c r="I162" i="23" s="1"/>
  <c r="AP135" i="23"/>
  <c r="AP136" i="23" s="1"/>
  <c r="H164" i="24"/>
  <c r="I164" i="24" s="1"/>
  <c r="H162" i="24"/>
  <c r="I162" i="24" s="1"/>
  <c r="AP135" i="24"/>
  <c r="AP136" i="24" s="1"/>
  <c r="H163" i="24"/>
  <c r="I163" i="24" s="1"/>
  <c r="H161" i="24"/>
  <c r="I161" i="24" s="1"/>
  <c r="BI95" i="23"/>
  <c r="BM97" i="23"/>
  <c r="BO97" i="23" s="1"/>
  <c r="BI115" i="24"/>
  <c r="BM115" i="24" s="1"/>
  <c r="BM117" i="24"/>
  <c r="BO117" i="24" s="1"/>
  <c r="BI95" i="24"/>
  <c r="BM97" i="24"/>
  <c r="BO97" i="24" s="1"/>
  <c r="BI120" i="24"/>
  <c r="BM120" i="24" s="1"/>
  <c r="BM121" i="24"/>
  <c r="BO121" i="24" s="1"/>
  <c r="BI120" i="23"/>
  <c r="BM120" i="23" s="1"/>
  <c r="BM121" i="23"/>
  <c r="BO121" i="23" s="1"/>
  <c r="BI104" i="23"/>
  <c r="BM104" i="23" s="1"/>
  <c r="BM105" i="23"/>
  <c r="BO105" i="23" s="1"/>
  <c r="I161" i="23"/>
  <c r="BM117" i="23"/>
  <c r="BO117" i="23" s="1"/>
  <c r="BI115" i="23"/>
  <c r="BM115" i="23" s="1"/>
  <c r="BM105" i="24"/>
  <c r="BO105" i="24" s="1"/>
  <c r="BI104" i="24"/>
  <c r="BM104" i="24" s="1"/>
  <c r="AP117" i="16"/>
  <c r="F90" i="20"/>
  <c r="I162" i="9"/>
  <c r="BI105" i="9"/>
  <c r="AP129" i="16"/>
  <c r="BI129" i="16" s="1"/>
  <c r="BM129" i="16" s="1"/>
  <c r="BO129" i="16" s="1"/>
  <c r="AP109" i="16"/>
  <c r="BI109" i="16" s="1"/>
  <c r="BM109" i="16" s="1"/>
  <c r="BO109" i="16" s="1"/>
  <c r="F82" i="20"/>
  <c r="F94" i="20"/>
  <c r="AP121" i="16"/>
  <c r="F83" i="20"/>
  <c r="AP110" i="16"/>
  <c r="BI110" i="16" s="1"/>
  <c r="BM110" i="16" s="1"/>
  <c r="BO110" i="16" s="1"/>
  <c r="F91" i="20"/>
  <c r="AP118" i="16"/>
  <c r="BI118" i="16" s="1"/>
  <c r="BM118" i="16" s="1"/>
  <c r="BO118" i="16" s="1"/>
  <c r="BI121" i="9"/>
  <c r="H164" i="9"/>
  <c r="I164" i="9" s="1"/>
  <c r="F79" i="20"/>
  <c r="AP106" i="16"/>
  <c r="BI106" i="16" s="1"/>
  <c r="BM106" i="16" s="1"/>
  <c r="BO106" i="16" s="1"/>
  <c r="AP124" i="16"/>
  <c r="BI124" i="16" s="1"/>
  <c r="BM124" i="16" s="1"/>
  <c r="BO124" i="16" s="1"/>
  <c r="F97" i="20"/>
  <c r="AP113" i="16"/>
  <c r="BI113" i="16" s="1"/>
  <c r="BM113" i="16" s="1"/>
  <c r="BO113" i="16" s="1"/>
  <c r="F86" i="20"/>
  <c r="BI97" i="9"/>
  <c r="AP135" i="9"/>
  <c r="F73" i="20"/>
  <c r="AP100" i="16"/>
  <c r="BI100" i="16" s="1"/>
  <c r="BM100" i="16" s="1"/>
  <c r="BO100" i="16" s="1"/>
  <c r="AP105" i="16"/>
  <c r="F78" i="20"/>
  <c r="AP125" i="16"/>
  <c r="BI125" i="16" s="1"/>
  <c r="BM125" i="16" s="1"/>
  <c r="BO125" i="16" s="1"/>
  <c r="F98" i="20"/>
  <c r="AP99" i="16"/>
  <c r="BI99" i="16" s="1"/>
  <c r="BM99" i="16" s="1"/>
  <c r="BO99" i="16" s="1"/>
  <c r="F72" i="20"/>
  <c r="F71" i="20"/>
  <c r="AP98" i="16"/>
  <c r="BI98" i="16" s="1"/>
  <c r="BM98" i="16" s="1"/>
  <c r="BO98" i="16" s="1"/>
  <c r="F96" i="20"/>
  <c r="AP123" i="16"/>
  <c r="BI123" i="16" s="1"/>
  <c r="BM123" i="16" s="1"/>
  <c r="BO123" i="16" s="1"/>
  <c r="F101" i="20"/>
  <c r="AP128" i="16"/>
  <c r="BI128" i="16" s="1"/>
  <c r="BM128" i="16" s="1"/>
  <c r="BO128" i="16" s="1"/>
  <c r="AP102" i="16"/>
  <c r="BI102" i="16" s="1"/>
  <c r="BM102" i="16" s="1"/>
  <c r="BO102" i="16" s="1"/>
  <c r="BI117" i="9"/>
  <c r="H163" i="9"/>
  <c r="I163" i="9" s="1"/>
  <c r="AP112" i="16"/>
  <c r="BI112" i="16" s="1"/>
  <c r="BM112" i="16" s="1"/>
  <c r="BO112" i="16" s="1"/>
  <c r="F85" i="20"/>
  <c r="F100" i="20"/>
  <c r="AP127" i="16"/>
  <c r="BI127" i="16" s="1"/>
  <c r="BM127" i="16" s="1"/>
  <c r="BO127" i="16" s="1"/>
  <c r="AP111" i="16"/>
  <c r="BI111" i="16" s="1"/>
  <c r="BM111" i="16" s="1"/>
  <c r="BO111" i="16" s="1"/>
  <c r="F84" i="20"/>
  <c r="AP114" i="16"/>
  <c r="BI114" i="16" s="1"/>
  <c r="BM114" i="16" s="1"/>
  <c r="BO114" i="16" s="1"/>
  <c r="F87" i="20"/>
  <c r="AP103" i="16"/>
  <c r="BI103" i="16" s="1"/>
  <c r="BM103" i="16" s="1"/>
  <c r="BO103" i="16" s="1"/>
  <c r="F95" i="20"/>
  <c r="AP122" i="16"/>
  <c r="BI122" i="16" s="1"/>
  <c r="BM122" i="16" s="1"/>
  <c r="BO122" i="16" s="1"/>
  <c r="F70" i="20"/>
  <c r="AP97" i="16"/>
  <c r="F92" i="20"/>
  <c r="AP119" i="16"/>
  <c r="BI119" i="16" s="1"/>
  <c r="BM119" i="16" s="1"/>
  <c r="BO119" i="16" s="1"/>
  <c r="AP108" i="16"/>
  <c r="BI108" i="16" s="1"/>
  <c r="BM108" i="16" s="1"/>
  <c r="BO108" i="16" s="1"/>
  <c r="F81" i="20"/>
  <c r="AP107" i="16"/>
  <c r="BI107" i="16" s="1"/>
  <c r="BM107" i="16" s="1"/>
  <c r="BO107" i="16" s="1"/>
  <c r="F80" i="20"/>
  <c r="F99" i="20"/>
  <c r="AP126" i="16"/>
  <c r="BI126" i="16" s="1"/>
  <c r="BM126" i="16" s="1"/>
  <c r="BO126" i="16" s="1"/>
  <c r="H161" i="16" l="1"/>
  <c r="H162" i="16"/>
  <c r="BM95" i="24"/>
  <c r="BI94" i="24"/>
  <c r="BI94" i="23"/>
  <c r="BM95" i="23"/>
  <c r="I162" i="16"/>
  <c r="BI105" i="16"/>
  <c r="I161" i="9"/>
  <c r="BM105" i="9"/>
  <c r="BO105" i="9" s="1"/>
  <c r="BI104" i="9"/>
  <c r="BM104" i="9" s="1"/>
  <c r="BM97" i="9"/>
  <c r="BO97" i="9" s="1"/>
  <c r="BI95" i="9"/>
  <c r="BM121" i="9"/>
  <c r="BO121" i="9" s="1"/>
  <c r="BI120" i="9"/>
  <c r="BM120" i="9" s="1"/>
  <c r="BM117" i="9"/>
  <c r="BO117" i="9" s="1"/>
  <c r="BI115" i="9"/>
  <c r="BM115" i="9" s="1"/>
  <c r="H164" i="16"/>
  <c r="I164" i="16" s="1"/>
  <c r="BI121" i="16"/>
  <c r="BI97" i="16"/>
  <c r="AP135" i="16"/>
  <c r="BI117" i="16"/>
  <c r="H163" i="16"/>
  <c r="I163" i="16" s="1"/>
  <c r="BI135" i="23" l="1"/>
  <c r="BI136" i="23" s="1"/>
  <c r="BM94" i="23"/>
  <c r="BM135" i="23" s="1"/>
  <c r="J13" i="14" s="1"/>
  <c r="BI135" i="24"/>
  <c r="BM94" i="24"/>
  <c r="BM135" i="24" s="1"/>
  <c r="I161" i="16"/>
  <c r="BM97" i="16"/>
  <c r="BO97" i="16" s="1"/>
  <c r="BI95" i="16"/>
  <c r="BM117" i="16"/>
  <c r="BO117" i="16" s="1"/>
  <c r="BI115" i="16"/>
  <c r="BM115" i="16" s="1"/>
  <c r="BM121" i="16"/>
  <c r="BO121" i="16" s="1"/>
  <c r="BI120" i="16"/>
  <c r="BM120" i="16" s="1"/>
  <c r="BI104" i="16"/>
  <c r="BM104" i="16" s="1"/>
  <c r="BM105" i="16"/>
  <c r="BO105" i="16" s="1"/>
  <c r="BI94" i="9"/>
  <c r="BM95" i="9"/>
  <c r="BO135" i="24" l="1"/>
  <c r="BR135" i="24" s="1"/>
  <c r="N44" i="4"/>
  <c r="BO135" i="23"/>
  <c r="BR135" i="23" s="1"/>
  <c r="BU135" i="23"/>
  <c r="F86" i="17"/>
  <c r="F94" i="17"/>
  <c r="I68" i="11"/>
  <c r="F110" i="17"/>
  <c r="AC35" i="20"/>
  <c r="F54" i="17"/>
  <c r="F62" i="17"/>
  <c r="F78" i="17"/>
  <c r="AS49" i="2"/>
  <c r="F118" i="17"/>
  <c r="K49" i="16"/>
  <c r="F30" i="17"/>
  <c r="F38" i="17"/>
  <c r="F46" i="17"/>
  <c r="F22" i="17"/>
  <c r="BM95" i="16"/>
  <c r="BI94" i="16"/>
  <c r="BM94" i="9"/>
  <c r="BM135" i="9" s="1"/>
  <c r="BI135" i="9"/>
  <c r="F126" i="17" l="1"/>
  <c r="AC36" i="20"/>
  <c r="I74" i="11"/>
  <c r="K50" i="16"/>
  <c r="AS50" i="2"/>
  <c r="F109" i="17"/>
  <c r="F61" i="17"/>
  <c r="F53" i="17"/>
  <c r="F77" i="17"/>
  <c r="F85" i="17"/>
  <c r="F37" i="17"/>
  <c r="F29" i="17"/>
  <c r="F117" i="17"/>
  <c r="AQ49" i="2"/>
  <c r="AA35" i="20"/>
  <c r="F21" i="17"/>
  <c r="F93" i="17"/>
  <c r="I67" i="11"/>
  <c r="F45" i="17"/>
  <c r="I49" i="16"/>
  <c r="AC62" i="20"/>
  <c r="K76" i="16"/>
  <c r="I120" i="11"/>
  <c r="AS76" i="2"/>
  <c r="I30" i="17"/>
  <c r="R30" i="17"/>
  <c r="R78" i="17"/>
  <c r="I78" i="17"/>
  <c r="I110" i="17"/>
  <c r="R110" i="17"/>
  <c r="AS49" i="16"/>
  <c r="I35" i="20"/>
  <c r="H150" i="19" s="1"/>
  <c r="R62" i="17"/>
  <c r="I62" i="17"/>
  <c r="I22" i="17"/>
  <c r="R22" i="17"/>
  <c r="R46" i="17"/>
  <c r="I46" i="17"/>
  <c r="I118" i="17"/>
  <c r="R118" i="17"/>
  <c r="I54" i="17"/>
  <c r="R54" i="17"/>
  <c r="I94" i="17"/>
  <c r="R94" i="17"/>
  <c r="R38" i="17"/>
  <c r="I38" i="17"/>
  <c r="R86" i="17"/>
  <c r="I86" i="17"/>
  <c r="J27" i="19"/>
  <c r="K13" i="14"/>
  <c r="BO135" i="9"/>
  <c r="BV135" i="9"/>
  <c r="BI135" i="16"/>
  <c r="BM94" i="16"/>
  <c r="BM135" i="16" s="1"/>
  <c r="BM146" i="2" s="1"/>
  <c r="K68" i="24" l="1"/>
  <c r="AS68" i="24" s="1"/>
  <c r="AS68" i="21"/>
  <c r="K64" i="24"/>
  <c r="AS64" i="24" s="1"/>
  <c r="K67" i="24"/>
  <c r="AS67" i="24" s="1"/>
  <c r="AS67" i="21"/>
  <c r="K58" i="24"/>
  <c r="AS58" i="24" s="1"/>
  <c r="K59" i="24"/>
  <c r="AS59" i="24" s="1"/>
  <c r="K56" i="24"/>
  <c r="AS56" i="24" s="1"/>
  <c r="K63" i="24"/>
  <c r="AS63" i="24" s="1"/>
  <c r="K60" i="24"/>
  <c r="AS60" i="24" s="1"/>
  <c r="K57" i="24"/>
  <c r="AS57" i="24" s="1"/>
  <c r="K65" i="24"/>
  <c r="AS65" i="24" s="1"/>
  <c r="K61" i="24"/>
  <c r="AS61" i="24" s="1"/>
  <c r="K64" i="2"/>
  <c r="AS64" i="2" s="1"/>
  <c r="U86" i="17"/>
  <c r="K65" i="16"/>
  <c r="AS65" i="16" s="1"/>
  <c r="U94" i="17"/>
  <c r="U118" i="17"/>
  <c r="K68" i="2"/>
  <c r="AC50" i="20" s="1"/>
  <c r="K56" i="2"/>
  <c r="AS56" i="2" s="1"/>
  <c r="U22" i="17"/>
  <c r="AQ49" i="16"/>
  <c r="G35" i="20"/>
  <c r="H149" i="19" s="1"/>
  <c r="R21" i="17"/>
  <c r="I21" i="17"/>
  <c r="R29" i="17"/>
  <c r="I29" i="17"/>
  <c r="R53" i="17"/>
  <c r="I53" i="17"/>
  <c r="I36" i="20"/>
  <c r="AS50" i="16"/>
  <c r="U78" i="17"/>
  <c r="K63" i="2"/>
  <c r="AS63" i="2" s="1"/>
  <c r="R45" i="17"/>
  <c r="I45" i="17"/>
  <c r="R37" i="17"/>
  <c r="I37" i="17"/>
  <c r="R61" i="17"/>
  <c r="I61" i="17"/>
  <c r="I119" i="11"/>
  <c r="AA62" i="20"/>
  <c r="I76" i="16"/>
  <c r="AQ76" i="2"/>
  <c r="U54" i="17"/>
  <c r="K60" i="2"/>
  <c r="AS60" i="2" s="1"/>
  <c r="K67" i="2"/>
  <c r="AS67" i="2" s="1"/>
  <c r="U110" i="17"/>
  <c r="U30" i="17"/>
  <c r="K57" i="16"/>
  <c r="AS57" i="16" s="1"/>
  <c r="I62" i="20"/>
  <c r="AS76" i="16"/>
  <c r="BI49" i="2"/>
  <c r="BM49" i="2" s="1"/>
  <c r="BO49" i="2" s="1"/>
  <c r="R85" i="17"/>
  <c r="I85" i="17"/>
  <c r="R109" i="17"/>
  <c r="I109" i="17"/>
  <c r="F125" i="17"/>
  <c r="AA36" i="20"/>
  <c r="I50" i="16"/>
  <c r="I73" i="11"/>
  <c r="AQ50" i="2"/>
  <c r="U38" i="17"/>
  <c r="K58" i="2"/>
  <c r="AS58" i="2" s="1"/>
  <c r="U46" i="17"/>
  <c r="K59" i="2"/>
  <c r="AS59" i="2" s="1"/>
  <c r="U62" i="17"/>
  <c r="K61" i="2"/>
  <c r="AS61" i="2" s="1"/>
  <c r="R93" i="17"/>
  <c r="I93" i="17"/>
  <c r="R117" i="17"/>
  <c r="I117" i="17"/>
  <c r="R77" i="17"/>
  <c r="I77" i="17"/>
  <c r="I126" i="17"/>
  <c r="R126" i="17"/>
  <c r="L13" i="14"/>
  <c r="O44" i="4"/>
  <c r="J35" i="19"/>
  <c r="BO135" i="16"/>
  <c r="K58" i="16" l="1"/>
  <c r="AC41" i="20"/>
  <c r="K64" i="16"/>
  <c r="AC47" i="20"/>
  <c r="K67" i="16"/>
  <c r="AC49" i="20"/>
  <c r="K60" i="16"/>
  <c r="AC43" i="20"/>
  <c r="K56" i="16"/>
  <c r="AC40" i="20"/>
  <c r="K61" i="16"/>
  <c r="AC44" i="20"/>
  <c r="K59" i="16"/>
  <c r="AC42" i="20"/>
  <c r="K63" i="16"/>
  <c r="AC46" i="20"/>
  <c r="I63" i="24"/>
  <c r="AQ63" i="24" s="1"/>
  <c r="BI63" i="24" s="1"/>
  <c r="BM63" i="24" s="1"/>
  <c r="BO63" i="24" s="1"/>
  <c r="I67" i="24"/>
  <c r="AQ67" i="24" s="1"/>
  <c r="BI67" i="24" s="1"/>
  <c r="BM67" i="24" s="1"/>
  <c r="BO67" i="24" s="1"/>
  <c r="AQ67" i="21"/>
  <c r="I61" i="24"/>
  <c r="AQ61" i="24" s="1"/>
  <c r="BI61" i="24" s="1"/>
  <c r="BM61" i="24" s="1"/>
  <c r="BO61" i="24" s="1"/>
  <c r="I64" i="24"/>
  <c r="AQ64" i="24" s="1"/>
  <c r="BI64" i="24" s="1"/>
  <c r="BM64" i="24" s="1"/>
  <c r="BO64" i="24" s="1"/>
  <c r="I58" i="24"/>
  <c r="AQ58" i="24" s="1"/>
  <c r="BI58" i="24" s="1"/>
  <c r="BM58" i="24" s="1"/>
  <c r="BO58" i="24" s="1"/>
  <c r="I60" i="24"/>
  <c r="AQ60" i="24" s="1"/>
  <c r="BI60" i="24" s="1"/>
  <c r="BM60" i="24" s="1"/>
  <c r="BO60" i="24" s="1"/>
  <c r="K69" i="24"/>
  <c r="AS69" i="24" s="1"/>
  <c r="AS133" i="24" s="1"/>
  <c r="AS69" i="21"/>
  <c r="AS133" i="21" s="1"/>
  <c r="I57" i="24"/>
  <c r="AQ57" i="24" s="1"/>
  <c r="BI57" i="24" s="1"/>
  <c r="BM57" i="24" s="1"/>
  <c r="I68" i="24"/>
  <c r="AQ68" i="24" s="1"/>
  <c r="BI68" i="24" s="1"/>
  <c r="BM68" i="24" s="1"/>
  <c r="BO68" i="24" s="1"/>
  <c r="AQ68" i="21"/>
  <c r="BI68" i="21" s="1"/>
  <c r="BM68" i="21" s="1"/>
  <c r="BO68" i="21" s="1"/>
  <c r="I59" i="24"/>
  <c r="AQ59" i="24" s="1"/>
  <c r="BI59" i="24" s="1"/>
  <c r="BM59" i="24" s="1"/>
  <c r="BO59" i="24" s="1"/>
  <c r="I65" i="24"/>
  <c r="AQ65" i="24" s="1"/>
  <c r="BI65" i="24" s="1"/>
  <c r="BM65" i="24" s="1"/>
  <c r="I56" i="24"/>
  <c r="AQ56" i="24" s="1"/>
  <c r="BI56" i="24" s="1"/>
  <c r="BM56" i="24" s="1"/>
  <c r="BO56" i="24" s="1"/>
  <c r="I63" i="2"/>
  <c r="AQ63" i="2" s="1"/>
  <c r="BI63" i="2" s="1"/>
  <c r="BM63" i="2" s="1"/>
  <c r="BO63" i="2" s="1"/>
  <c r="U77" i="17"/>
  <c r="I65" i="16"/>
  <c r="AQ65" i="16" s="1"/>
  <c r="BI65" i="16" s="1"/>
  <c r="BM65" i="16" s="1"/>
  <c r="U93" i="17"/>
  <c r="BI76" i="2"/>
  <c r="I60" i="2"/>
  <c r="AQ60" i="2" s="1"/>
  <c r="BI60" i="2" s="1"/>
  <c r="BM60" i="2" s="1"/>
  <c r="BO60" i="2" s="1"/>
  <c r="U53" i="17"/>
  <c r="I56" i="2"/>
  <c r="AQ56" i="2" s="1"/>
  <c r="U21" i="17"/>
  <c r="K69" i="2"/>
  <c r="AC51" i="20" s="1"/>
  <c r="U126" i="17"/>
  <c r="G36" i="20"/>
  <c r="AQ50" i="16"/>
  <c r="U109" i="17"/>
  <c r="I67" i="2"/>
  <c r="AQ67" i="2" s="1"/>
  <c r="BI67" i="2" s="1"/>
  <c r="BM67" i="2" s="1"/>
  <c r="BO67" i="2" s="1"/>
  <c r="G62" i="20"/>
  <c r="AQ76" i="16"/>
  <c r="U61" i="17"/>
  <c r="I61" i="2"/>
  <c r="AQ61" i="2" s="1"/>
  <c r="BI61" i="2" s="1"/>
  <c r="BM61" i="2" s="1"/>
  <c r="BO61" i="2" s="1"/>
  <c r="I59" i="2"/>
  <c r="AQ59" i="2" s="1"/>
  <c r="BI59" i="2" s="1"/>
  <c r="BM59" i="2" s="1"/>
  <c r="BO59" i="2" s="1"/>
  <c r="U45" i="17"/>
  <c r="U117" i="17"/>
  <c r="I68" i="2"/>
  <c r="AA50" i="20" s="1"/>
  <c r="G126" i="19"/>
  <c r="G150" i="19"/>
  <c r="J150" i="19" s="1"/>
  <c r="U29" i="17"/>
  <c r="I57" i="16"/>
  <c r="AQ57" i="16" s="1"/>
  <c r="BI57" i="16" s="1"/>
  <c r="BM57" i="16" s="1"/>
  <c r="BI49" i="16"/>
  <c r="K68" i="16"/>
  <c r="AS68" i="2"/>
  <c r="BI50" i="2"/>
  <c r="R125" i="17"/>
  <c r="I125" i="17"/>
  <c r="I64" i="2"/>
  <c r="AQ64" i="2" s="1"/>
  <c r="BI64" i="2" s="1"/>
  <c r="BM64" i="2" s="1"/>
  <c r="BO64" i="2" s="1"/>
  <c r="U85" i="17"/>
  <c r="U37" i="17"/>
  <c r="I58" i="2"/>
  <c r="AQ58" i="2" s="1"/>
  <c r="BI58" i="2" s="1"/>
  <c r="BM58" i="2" s="1"/>
  <c r="BO58" i="2" s="1"/>
  <c r="BI67" i="21" l="1"/>
  <c r="BM67" i="21" s="1"/>
  <c r="BO67" i="21" s="1"/>
  <c r="H155" i="21"/>
  <c r="BI56" i="2"/>
  <c r="BM56" i="2" s="1"/>
  <c r="BO56" i="2" s="1"/>
  <c r="I46" i="20"/>
  <c r="AS63" i="16"/>
  <c r="I43" i="20"/>
  <c r="AS60" i="16"/>
  <c r="I42" i="20"/>
  <c r="AS59" i="16"/>
  <c r="I49" i="20"/>
  <c r="AS67" i="16"/>
  <c r="I50" i="20"/>
  <c r="AS68" i="16"/>
  <c r="I44" i="20"/>
  <c r="AS61" i="16"/>
  <c r="I47" i="20"/>
  <c r="AS64" i="16"/>
  <c r="I40" i="20"/>
  <c r="AS56" i="16"/>
  <c r="I41" i="20"/>
  <c r="AS58" i="16"/>
  <c r="I61" i="16"/>
  <c r="AA44" i="20"/>
  <c r="I60" i="16"/>
  <c r="AA43" i="20"/>
  <c r="I64" i="16"/>
  <c r="AA47" i="20"/>
  <c r="I58" i="16"/>
  <c r="AA41" i="20"/>
  <c r="I67" i="16"/>
  <c r="AA49" i="20"/>
  <c r="I59" i="16"/>
  <c r="AA42" i="20"/>
  <c r="I56" i="16"/>
  <c r="AA40" i="20"/>
  <c r="I63" i="16"/>
  <c r="AA46" i="20"/>
  <c r="I69" i="24"/>
  <c r="AQ69" i="24" s="1"/>
  <c r="BI69" i="24" s="1"/>
  <c r="BM69" i="24" s="1"/>
  <c r="BO69" i="24" s="1"/>
  <c r="AQ69" i="21"/>
  <c r="AQ133" i="21"/>
  <c r="I69" i="2"/>
  <c r="AA51" i="20" s="1"/>
  <c r="U125" i="17"/>
  <c r="BI76" i="16"/>
  <c r="BM50" i="2"/>
  <c r="BO50" i="2" s="1"/>
  <c r="BI50" i="16"/>
  <c r="BM50" i="16" s="1"/>
  <c r="BO50" i="16" s="1"/>
  <c r="BM76" i="2"/>
  <c r="BO76" i="2" s="1"/>
  <c r="BM49" i="16"/>
  <c r="BO49" i="16" s="1"/>
  <c r="I68" i="16"/>
  <c r="AQ68" i="2"/>
  <c r="BI68" i="2" s="1"/>
  <c r="BM68" i="2" s="1"/>
  <c r="BO68" i="2" s="1"/>
  <c r="G125" i="19"/>
  <c r="G149" i="19"/>
  <c r="J149" i="19" s="1"/>
  <c r="K69" i="16"/>
  <c r="I51" i="20" s="1"/>
  <c r="AS69" i="2"/>
  <c r="AS133" i="2" s="1"/>
  <c r="BI69" i="21" l="1"/>
  <c r="BM69" i="21" s="1"/>
  <c r="BO69" i="21" s="1"/>
  <c r="H156" i="21"/>
  <c r="I156" i="21" s="1"/>
  <c r="H155" i="2"/>
  <c r="G50" i="20"/>
  <c r="AQ68" i="16"/>
  <c r="BI68" i="16" s="1"/>
  <c r="BM68" i="16" s="1"/>
  <c r="BO68" i="16" s="1"/>
  <c r="G40" i="20"/>
  <c r="AQ56" i="16"/>
  <c r="G47" i="20"/>
  <c r="AQ64" i="16"/>
  <c r="BI64" i="16" s="1"/>
  <c r="BM64" i="16" s="1"/>
  <c r="BO64" i="16" s="1"/>
  <c r="G42" i="20"/>
  <c r="AQ59" i="16"/>
  <c r="BI59" i="16" s="1"/>
  <c r="BM59" i="16" s="1"/>
  <c r="BO59" i="16" s="1"/>
  <c r="G43" i="20"/>
  <c r="AQ60" i="16"/>
  <c r="BI60" i="16" s="1"/>
  <c r="BM60" i="16" s="1"/>
  <c r="BO60" i="16" s="1"/>
  <c r="G49" i="20"/>
  <c r="AQ67" i="16"/>
  <c r="BI67" i="16" s="1"/>
  <c r="BM67" i="16" s="1"/>
  <c r="BO67" i="16" s="1"/>
  <c r="G44" i="20"/>
  <c r="AQ61" i="16"/>
  <c r="BI61" i="16" s="1"/>
  <c r="BM61" i="16" s="1"/>
  <c r="BO61" i="16" s="1"/>
  <c r="G46" i="20"/>
  <c r="AQ63" i="16"/>
  <c r="BI63" i="16" s="1"/>
  <c r="BM63" i="16" s="1"/>
  <c r="BO63" i="16" s="1"/>
  <c r="G41" i="20"/>
  <c r="AQ58" i="16"/>
  <c r="BI58" i="16" s="1"/>
  <c r="BM58" i="16" s="1"/>
  <c r="BO58" i="16" s="1"/>
  <c r="H155" i="24"/>
  <c r="I155" i="24" s="1"/>
  <c r="AQ133" i="24"/>
  <c r="BI48" i="24"/>
  <c r="BI48" i="21"/>
  <c r="I155" i="21"/>
  <c r="AS69" i="16"/>
  <c r="AS133" i="16" s="1"/>
  <c r="G131" i="19"/>
  <c r="H131" i="19"/>
  <c r="J131" i="19" s="1"/>
  <c r="G127" i="19"/>
  <c r="BM76" i="16"/>
  <c r="BO76" i="16" s="1"/>
  <c r="I69" i="16"/>
  <c r="G51" i="20" s="1"/>
  <c r="AQ69" i="2"/>
  <c r="BI56" i="16" l="1"/>
  <c r="BM56" i="16" s="1"/>
  <c r="BO56" i="16" s="1"/>
  <c r="H155" i="16"/>
  <c r="BI69" i="2"/>
  <c r="BM69" i="2" s="1"/>
  <c r="BO69" i="2" s="1"/>
  <c r="H156" i="2"/>
  <c r="I156" i="2" s="1"/>
  <c r="BI42" i="21"/>
  <c r="BM48" i="21"/>
  <c r="BI42" i="24"/>
  <c r="BM48" i="24"/>
  <c r="AQ133" i="2"/>
  <c r="AQ69" i="16"/>
  <c r="BI69" i="16" l="1"/>
  <c r="BM69" i="16" s="1"/>
  <c r="BO69" i="16" s="1"/>
  <c r="H156" i="16"/>
  <c r="I156" i="16" s="1"/>
  <c r="BI133" i="24"/>
  <c r="BM42" i="24"/>
  <c r="BM133" i="24" s="1"/>
  <c r="N42" i="4" s="1"/>
  <c r="I155" i="16"/>
  <c r="BI133" i="21"/>
  <c r="BM42" i="21"/>
  <c r="BM133" i="21" s="1"/>
  <c r="N32" i="4" s="1"/>
  <c r="AQ133" i="16"/>
  <c r="I155" i="2"/>
  <c r="BO133" i="21" l="1"/>
  <c r="BR133" i="21" s="1"/>
  <c r="BT133" i="23"/>
  <c r="BO133" i="24"/>
  <c r="BR133" i="24" s="1"/>
  <c r="BU133" i="23" l="1"/>
  <c r="F193" i="17" l="1"/>
  <c r="F177" i="17"/>
  <c r="F137" i="17"/>
  <c r="F153" i="17"/>
  <c r="F169" i="17"/>
  <c r="I107" i="11"/>
  <c r="F201" i="17"/>
  <c r="F161" i="17"/>
  <c r="AA59" i="20"/>
  <c r="F185" i="17"/>
  <c r="F145" i="17"/>
  <c r="AQ72" i="2"/>
  <c r="I72" i="16"/>
  <c r="F194" i="17"/>
  <c r="F202" i="17"/>
  <c r="F162" i="17"/>
  <c r="F186" i="17"/>
  <c r="F138" i="17"/>
  <c r="AC59" i="20"/>
  <c r="F154" i="17"/>
  <c r="F170" i="17"/>
  <c r="I108" i="11"/>
  <c r="F146" i="17"/>
  <c r="F178" i="17"/>
  <c r="AS72" i="2"/>
  <c r="K72" i="16"/>
  <c r="R146" i="17" l="1"/>
  <c r="I146" i="17"/>
  <c r="R201" i="17"/>
  <c r="I201" i="17"/>
  <c r="AA60" i="20"/>
  <c r="I113" i="11"/>
  <c r="AQ73" i="2"/>
  <c r="I73" i="16"/>
  <c r="I114" i="11"/>
  <c r="AC60" i="20"/>
  <c r="AS73" i="2"/>
  <c r="K73" i="16"/>
  <c r="R178" i="17"/>
  <c r="I178" i="17"/>
  <c r="R154" i="17"/>
  <c r="I154" i="17"/>
  <c r="R162" i="17"/>
  <c r="I162" i="17"/>
  <c r="BI72" i="2"/>
  <c r="R161" i="17"/>
  <c r="I161" i="17"/>
  <c r="R153" i="17"/>
  <c r="I153" i="17"/>
  <c r="R202" i="17"/>
  <c r="I202" i="17"/>
  <c r="R145" i="17"/>
  <c r="I145" i="17"/>
  <c r="R137" i="17"/>
  <c r="I137" i="17"/>
  <c r="AS72" i="16"/>
  <c r="I59" i="20"/>
  <c r="H155" i="19" s="1"/>
  <c r="R138" i="17"/>
  <c r="I138" i="17"/>
  <c r="R194" i="17"/>
  <c r="I194" i="17"/>
  <c r="R185" i="17"/>
  <c r="I185" i="17"/>
  <c r="R177" i="17"/>
  <c r="I177" i="17"/>
  <c r="R170" i="17"/>
  <c r="I170" i="17"/>
  <c r="R186" i="17"/>
  <c r="I186" i="17"/>
  <c r="AQ72" i="16"/>
  <c r="G59" i="20"/>
  <c r="H154" i="19" s="1"/>
  <c r="R169" i="17"/>
  <c r="I169" i="17"/>
  <c r="R193" i="17"/>
  <c r="I193" i="17"/>
  <c r="K83" i="24" l="1"/>
  <c r="AS83" i="24" s="1"/>
  <c r="AS83" i="21"/>
  <c r="K87" i="24"/>
  <c r="AS87" i="24" s="1"/>
  <c r="AS87" i="21"/>
  <c r="K81" i="24"/>
  <c r="AS81" i="24" s="1"/>
  <c r="AS81" i="21"/>
  <c r="I84" i="24"/>
  <c r="AQ84" i="24" s="1"/>
  <c r="AQ84" i="21"/>
  <c r="I81" i="24"/>
  <c r="AQ81" i="24" s="1"/>
  <c r="AQ81" i="21"/>
  <c r="I83" i="24"/>
  <c r="AQ83" i="24" s="1"/>
  <c r="AQ83" i="21"/>
  <c r="BI83" i="21" s="1"/>
  <c r="BM83" i="21" s="1"/>
  <c r="BO83" i="21" s="1"/>
  <c r="K84" i="24"/>
  <c r="AS84" i="24" s="1"/>
  <c r="AS84" i="21"/>
  <c r="K79" i="24"/>
  <c r="AS79" i="24" s="1"/>
  <c r="AS79" i="21"/>
  <c r="AQ79" i="21"/>
  <c r="I79" i="24"/>
  <c r="AQ79" i="24" s="1"/>
  <c r="I82" i="24"/>
  <c r="AQ82" i="24" s="1"/>
  <c r="AQ82" i="21"/>
  <c r="I85" i="24"/>
  <c r="AQ85" i="24" s="1"/>
  <c r="AQ85" i="21"/>
  <c r="I87" i="24"/>
  <c r="AQ87" i="24" s="1"/>
  <c r="AQ87" i="21"/>
  <c r="BI87" i="21" s="1"/>
  <c r="BM87" i="21" s="1"/>
  <c r="BO87" i="21" s="1"/>
  <c r="K85" i="24"/>
  <c r="AS85" i="24" s="1"/>
  <c r="AS85" i="21"/>
  <c r="K86" i="24"/>
  <c r="AS86" i="24" s="1"/>
  <c r="AS86" i="21"/>
  <c r="I80" i="24"/>
  <c r="AQ80" i="24" s="1"/>
  <c r="AQ80" i="21"/>
  <c r="I86" i="24"/>
  <c r="AQ86" i="24" s="1"/>
  <c r="AQ86" i="21"/>
  <c r="K82" i="24"/>
  <c r="AS82" i="24" s="1"/>
  <c r="AS82" i="21"/>
  <c r="AS80" i="21"/>
  <c r="K80" i="24"/>
  <c r="AS80" i="24" s="1"/>
  <c r="I85" i="2"/>
  <c r="U185" i="17"/>
  <c r="K81" i="2"/>
  <c r="AC64" i="20" s="1"/>
  <c r="U154" i="17"/>
  <c r="BI73" i="2"/>
  <c r="BM73" i="2" s="1"/>
  <c r="BO73" i="2" s="1"/>
  <c r="H159" i="2"/>
  <c r="I159" i="2" s="1"/>
  <c r="I86" i="2"/>
  <c r="U193" i="17"/>
  <c r="BI72" i="16"/>
  <c r="U170" i="17"/>
  <c r="U145" i="17"/>
  <c r="I81" i="2"/>
  <c r="AA64" i="20" s="1"/>
  <c r="U153" i="17"/>
  <c r="AS73" i="16"/>
  <c r="I60" i="20"/>
  <c r="G60" i="20"/>
  <c r="AQ73" i="16"/>
  <c r="U169" i="17"/>
  <c r="K85" i="2"/>
  <c r="U186" i="17"/>
  <c r="U137" i="17"/>
  <c r="U202" i="17"/>
  <c r="U161" i="17"/>
  <c r="U138" i="17"/>
  <c r="BM72" i="2"/>
  <c r="BO72" i="2" s="1"/>
  <c r="U201" i="17"/>
  <c r="U177" i="17"/>
  <c r="K86" i="2"/>
  <c r="U194" i="17"/>
  <c r="U162" i="17"/>
  <c r="U178" i="17"/>
  <c r="U146" i="17"/>
  <c r="H159" i="16" l="1"/>
  <c r="H158" i="21"/>
  <c r="BI87" i="24"/>
  <c r="BM87" i="24" s="1"/>
  <c r="BO87" i="24" s="1"/>
  <c r="BI85" i="24"/>
  <c r="BM85" i="24" s="1"/>
  <c r="BO85" i="24" s="1"/>
  <c r="BI83" i="24"/>
  <c r="BM83" i="24" s="1"/>
  <c r="BO83" i="24" s="1"/>
  <c r="BI80" i="24"/>
  <c r="BM80" i="24" s="1"/>
  <c r="BO80" i="24" s="1"/>
  <c r="BI86" i="24"/>
  <c r="BM86" i="24" s="1"/>
  <c r="BO86" i="24" s="1"/>
  <c r="BI84" i="21"/>
  <c r="BM84" i="21" s="1"/>
  <c r="BO84" i="21" s="1"/>
  <c r="BI84" i="24"/>
  <c r="BM84" i="24" s="1"/>
  <c r="BO84" i="24" s="1"/>
  <c r="BI81" i="24"/>
  <c r="BM81" i="24" s="1"/>
  <c r="BO81" i="24" s="1"/>
  <c r="AS134" i="21"/>
  <c r="AS136" i="21" s="1"/>
  <c r="AS134" i="24"/>
  <c r="AS136" i="24" s="1"/>
  <c r="BI80" i="21"/>
  <c r="BM80" i="21" s="1"/>
  <c r="BO80" i="21" s="1"/>
  <c r="BI85" i="21"/>
  <c r="BM85" i="21" s="1"/>
  <c r="BO85" i="21" s="1"/>
  <c r="BI86" i="21"/>
  <c r="BM86" i="21" s="1"/>
  <c r="BO86" i="21" s="1"/>
  <c r="BI82" i="21"/>
  <c r="BM82" i="21" s="1"/>
  <c r="BO82" i="21" s="1"/>
  <c r="BI82" i="24"/>
  <c r="BM82" i="24" s="1"/>
  <c r="BO82" i="24" s="1"/>
  <c r="BI79" i="24"/>
  <c r="H158" i="24"/>
  <c r="AQ134" i="24"/>
  <c r="AQ136" i="24" s="1"/>
  <c r="BI81" i="21"/>
  <c r="BM81" i="21" s="1"/>
  <c r="BO81" i="21" s="1"/>
  <c r="AQ134" i="21"/>
  <c r="AQ136" i="21" s="1"/>
  <c r="BI79" i="21"/>
  <c r="AS84" i="2"/>
  <c r="K84" i="16"/>
  <c r="AS80" i="2"/>
  <c r="K80" i="16"/>
  <c r="AS82" i="2"/>
  <c r="K82" i="16"/>
  <c r="H126" i="19"/>
  <c r="G155" i="19"/>
  <c r="J155" i="19" s="1"/>
  <c r="AQ81" i="2"/>
  <c r="I81" i="16"/>
  <c r="AS83" i="2"/>
  <c r="K83" i="16"/>
  <c r="AQ84" i="2"/>
  <c r="I84" i="16"/>
  <c r="AQ82" i="2"/>
  <c r="I82" i="16"/>
  <c r="AQ79" i="2"/>
  <c r="I79" i="16"/>
  <c r="AQ83" i="2"/>
  <c r="I83" i="16"/>
  <c r="AA66" i="20"/>
  <c r="AQ86" i="2"/>
  <c r="I86" i="16"/>
  <c r="AS81" i="2"/>
  <c r="K81" i="16"/>
  <c r="BI73" i="16"/>
  <c r="BM73" i="16" s="1"/>
  <c r="BO73" i="16" s="1"/>
  <c r="I159" i="16"/>
  <c r="AQ80" i="2"/>
  <c r="I80" i="16"/>
  <c r="AC66" i="20"/>
  <c r="AS86" i="2"/>
  <c r="K86" i="16"/>
  <c r="AQ87" i="2"/>
  <c r="I87" i="16"/>
  <c r="AS79" i="2"/>
  <c r="K79" i="16"/>
  <c r="AS87" i="2"/>
  <c r="K87" i="16"/>
  <c r="AS85" i="2"/>
  <c r="AC65" i="20"/>
  <c r="K85" i="16"/>
  <c r="H125" i="19"/>
  <c r="G132" i="19" s="1"/>
  <c r="G154" i="19"/>
  <c r="J154" i="19" s="1"/>
  <c r="BM72" i="16"/>
  <c r="BO72" i="16" s="1"/>
  <c r="AA65" i="20"/>
  <c r="AQ85" i="2"/>
  <c r="I85" i="16"/>
  <c r="BI70" i="24" l="1"/>
  <c r="BM79" i="24"/>
  <c r="BO79" i="24" s="1"/>
  <c r="BI70" i="21"/>
  <c r="BM79" i="21"/>
  <c r="BO79" i="21" s="1"/>
  <c r="I158" i="21"/>
  <c r="H165" i="21"/>
  <c r="I158" i="24"/>
  <c r="BI81" i="2"/>
  <c r="BM81" i="2" s="1"/>
  <c r="BO81" i="2" s="1"/>
  <c r="AQ81" i="16"/>
  <c r="G64" i="20"/>
  <c r="AS81" i="16"/>
  <c r="I64" i="20"/>
  <c r="BI86" i="2"/>
  <c r="BM86" i="2" s="1"/>
  <c r="BO86" i="2" s="1"/>
  <c r="BI85" i="2"/>
  <c r="BM85" i="2" s="1"/>
  <c r="BO85" i="2" s="1"/>
  <c r="BI84" i="2"/>
  <c r="BM84" i="2" s="1"/>
  <c r="BO84" i="2" s="1"/>
  <c r="AS80" i="16"/>
  <c r="I65" i="20"/>
  <c r="AS85" i="16"/>
  <c r="BI87" i="2"/>
  <c r="BM87" i="2" s="1"/>
  <c r="BO87" i="2" s="1"/>
  <c r="AS86" i="16"/>
  <c r="I66" i="20"/>
  <c r="AQ80" i="16"/>
  <c r="AQ82" i="16"/>
  <c r="BI83" i="2"/>
  <c r="BM83" i="2" s="1"/>
  <c r="BO83" i="2" s="1"/>
  <c r="BI82" i="2"/>
  <c r="BM82" i="2" s="1"/>
  <c r="BO82" i="2" s="1"/>
  <c r="G65" i="20"/>
  <c r="AQ85" i="16"/>
  <c r="AQ87" i="16"/>
  <c r="AQ79" i="16"/>
  <c r="AS84" i="16"/>
  <c r="AS79" i="16"/>
  <c r="AQ83" i="16"/>
  <c r="AS83" i="16"/>
  <c r="H127" i="19"/>
  <c r="H132" i="19"/>
  <c r="J132" i="19" s="1"/>
  <c r="AS87" i="16"/>
  <c r="AS134" i="2"/>
  <c r="AS136" i="2" s="1"/>
  <c r="G66" i="20"/>
  <c r="AQ86" i="16"/>
  <c r="BI79" i="2"/>
  <c r="H158" i="2"/>
  <c r="AQ134" i="2"/>
  <c r="AQ136" i="2" s="1"/>
  <c r="AQ84" i="16"/>
  <c r="AS82" i="16"/>
  <c r="BI80" i="2"/>
  <c r="BM80" i="2" s="1"/>
  <c r="BO80" i="2" s="1"/>
  <c r="H158" i="16" l="1"/>
  <c r="BI81" i="16"/>
  <c r="BM81" i="16" s="1"/>
  <c r="BO81" i="16" s="1"/>
  <c r="BI134" i="21"/>
  <c r="BI136" i="21" s="1"/>
  <c r="BM70" i="21"/>
  <c r="BM134" i="21" s="1"/>
  <c r="N33" i="4" s="1"/>
  <c r="BI134" i="24"/>
  <c r="BI136" i="24" s="1"/>
  <c r="BM70" i="24"/>
  <c r="BM134" i="24" s="1"/>
  <c r="N43" i="4" s="1"/>
  <c r="BI80" i="16"/>
  <c r="BM80" i="16" s="1"/>
  <c r="BO80" i="16" s="1"/>
  <c r="BI85" i="16"/>
  <c r="BM85" i="16" s="1"/>
  <c r="BO85" i="16" s="1"/>
  <c r="BI83" i="16"/>
  <c r="BM83" i="16" s="1"/>
  <c r="BO83" i="16" s="1"/>
  <c r="BI87" i="16"/>
  <c r="BM87" i="16" s="1"/>
  <c r="BO87" i="16" s="1"/>
  <c r="I158" i="2"/>
  <c r="BI84" i="16"/>
  <c r="BM84" i="16" s="1"/>
  <c r="BO84" i="16" s="1"/>
  <c r="BM79" i="2"/>
  <c r="BO79" i="2" s="1"/>
  <c r="AS134" i="16"/>
  <c r="AS136" i="16" s="1"/>
  <c r="BI86" i="16"/>
  <c r="BM86" i="16" s="1"/>
  <c r="BO86" i="16" s="1"/>
  <c r="BI79" i="16"/>
  <c r="AQ134" i="16"/>
  <c r="AQ136" i="16" s="1"/>
  <c r="BI82" i="16"/>
  <c r="BM82" i="16" s="1"/>
  <c r="BO82" i="16" s="1"/>
  <c r="BO134" i="24" l="1"/>
  <c r="BR134" i="24" s="1"/>
  <c r="BT134" i="23"/>
  <c r="BO134" i="21"/>
  <c r="BR134" i="21" s="1"/>
  <c r="BM79" i="16"/>
  <c r="BO79" i="16" s="1"/>
  <c r="I158" i="16"/>
  <c r="BU134" i="23" l="1"/>
  <c r="BT136" i="23"/>
  <c r="BU136" i="23" s="1"/>
  <c r="BV132" i="23" l="1"/>
  <c r="BV133" i="23"/>
  <c r="BW133" i="23" s="1"/>
  <c r="BV135" i="23"/>
  <c r="BW135" i="23" s="1"/>
  <c r="BV134" i="23"/>
  <c r="BW134" i="23" s="1"/>
  <c r="BW132" i="23" l="1"/>
  <c r="BV136" i="23"/>
  <c r="G36" i="19" l="1"/>
  <c r="H31" i="19" l="1"/>
  <c r="H32" i="19"/>
  <c r="H33" i="19"/>
  <c r="H35" i="19"/>
  <c r="H34" i="19"/>
  <c r="H36" i="19" l="1"/>
  <c r="E14" i="13" l="1"/>
  <c r="E13" i="13" s="1"/>
  <c r="H53" i="18" l="1"/>
  <c r="I50" i="18"/>
  <c r="I53" i="18" s="1"/>
  <c r="E18" i="13"/>
  <c r="E25" i="13"/>
  <c r="E26" i="13" s="1"/>
  <c r="H14" i="4" l="1"/>
  <c r="H34" i="18" s="1"/>
  <c r="H36" i="18" s="1"/>
  <c r="H43" i="18" l="1"/>
  <c r="H37" i="18"/>
  <c r="H28" i="4"/>
  <c r="H21" i="4"/>
  <c r="G36" i="18"/>
  <c r="G37" i="18" l="1"/>
  <c r="G43" i="18"/>
  <c r="H37" i="4"/>
  <c r="H29" i="4"/>
  <c r="H39" i="4" l="1"/>
  <c r="H45" i="4"/>
  <c r="F40" i="14" l="1"/>
  <c r="F15" i="14" s="1"/>
  <c r="F13" i="14" s="1"/>
  <c r="E40" i="14"/>
  <c r="E15" i="14" s="1"/>
  <c r="E13" i="14" s="1"/>
  <c r="I69" i="18" l="1"/>
  <c r="E18" i="14"/>
  <c r="E25" i="14"/>
  <c r="H69" i="18"/>
  <c r="E26" i="14" l="1"/>
  <c r="BO75" i="16" l="1"/>
  <c r="BO75" i="8"/>
  <c r="BO75" i="9"/>
  <c r="BO75" i="2"/>
  <c r="I14" i="11"/>
  <c r="I9" i="11"/>
  <c r="I39" i="11"/>
  <c r="I34" i="11"/>
  <c r="I27" i="11"/>
  <c r="I45" i="11"/>
  <c r="I30" i="11"/>
  <c r="I48" i="11"/>
  <c r="I79" i="11"/>
  <c r="I76" i="11"/>
  <c r="I122" i="11"/>
  <c r="I125" i="11"/>
  <c r="BO37" i="16" l="1"/>
  <c r="BO37" i="9"/>
  <c r="AO26" i="23" l="1"/>
  <c r="G147" i="23" l="1"/>
  <c r="I147" i="23" s="1"/>
  <c r="BH26" i="23"/>
  <c r="BM26" i="23" s="1"/>
  <c r="G18" i="24" l="1"/>
  <c r="AO18" i="24" s="1"/>
  <c r="AO18" i="23"/>
  <c r="BH18" i="23" l="1"/>
  <c r="AO21" i="23"/>
  <c r="BH21" i="23" s="1"/>
  <c r="G21" i="24"/>
  <c r="AO21" i="24" s="1"/>
  <c r="BH21" i="24" s="1"/>
  <c r="BH18" i="24"/>
  <c r="G19" i="24"/>
  <c r="AO19" i="24" s="1"/>
  <c r="BH19" i="24" s="1"/>
  <c r="AO19" i="23"/>
  <c r="BH19" i="23" s="1"/>
  <c r="AO131" i="23" l="1"/>
  <c r="AO136" i="23" s="1"/>
  <c r="AO131" i="24"/>
  <c r="AO136" i="24" s="1"/>
  <c r="BH17" i="23"/>
  <c r="BM18" i="23"/>
  <c r="BO18" i="23" s="1"/>
  <c r="BM21" i="24"/>
  <c r="BM21" i="23"/>
  <c r="BH20" i="23"/>
  <c r="BM20" i="23" s="1"/>
  <c r="BM18" i="24"/>
  <c r="BO18" i="24" s="1"/>
  <c r="BH17" i="24"/>
  <c r="G144" i="23"/>
  <c r="G144" i="24"/>
  <c r="I144" i="24" l="1"/>
  <c r="BH16" i="23"/>
  <c r="I144" i="23"/>
  <c r="G165" i="23"/>
  <c r="BH131" i="23" l="1"/>
  <c r="BH138" i="23" l="1"/>
  <c r="BM138" i="23" s="1"/>
  <c r="BH136" i="23"/>
  <c r="BO138" i="23" l="1"/>
  <c r="BR138" i="23" s="1"/>
  <c r="P34" i="4" l="1"/>
  <c r="P44" i="4" l="1"/>
  <c r="L20" i="11" l="1"/>
  <c r="L50" i="11" s="1"/>
  <c r="M50" i="11" s="1"/>
  <c r="L37" i="9"/>
  <c r="AT37" i="9" s="1"/>
  <c r="BJ37" i="9" s="1"/>
  <c r="BM37" i="9" s="1"/>
  <c r="BY13" i="20"/>
  <c r="L47" i="9"/>
  <c r="L47" i="16" s="1"/>
  <c r="AT19" i="9"/>
  <c r="AT131" i="9" s="1"/>
  <c r="L36" i="9"/>
  <c r="AT36" i="9" s="1"/>
  <c r="BJ36" i="9" s="1"/>
  <c r="L34" i="9"/>
  <c r="AT34" i="9" s="1"/>
  <c r="L45" i="9"/>
  <c r="AT45" i="9" s="1"/>
  <c r="L19" i="16"/>
  <c r="AT19" i="16" s="1"/>
  <c r="BY25" i="20" l="1"/>
  <c r="M20" i="11"/>
  <c r="BJ19" i="9"/>
  <c r="BY33" i="20"/>
  <c r="BJ45" i="9"/>
  <c r="BJ34" i="9"/>
  <c r="AT132" i="9"/>
  <c r="Q33" i="20"/>
  <c r="AT47" i="16"/>
  <c r="BJ47" i="16" s="1"/>
  <c r="AT131" i="16"/>
  <c r="BJ19" i="16"/>
  <c r="BY24" i="20"/>
  <c r="Q13" i="20"/>
  <c r="BY32" i="20"/>
  <c r="BY23" i="20"/>
  <c r="AT47" i="9"/>
  <c r="BJ47" i="9" s="1"/>
  <c r="L45" i="16"/>
  <c r="L34" i="16"/>
  <c r="L37" i="16"/>
  <c r="L36" i="16"/>
  <c r="BJ17" i="9" l="1"/>
  <c r="AT19" i="23"/>
  <c r="L19" i="24"/>
  <c r="AT19" i="24" s="1"/>
  <c r="AT37" i="16"/>
  <c r="BJ37" i="16" s="1"/>
  <c r="BM37" i="16" s="1"/>
  <c r="Q25" i="20"/>
  <c r="BJ17" i="16"/>
  <c r="Q32" i="20"/>
  <c r="AT45" i="16"/>
  <c r="Q23" i="20"/>
  <c r="AT34" i="16"/>
  <c r="BJ32" i="9"/>
  <c r="H148" i="9"/>
  <c r="AT133" i="9"/>
  <c r="AT136" i="9" s="1"/>
  <c r="AT36" i="16"/>
  <c r="BJ36" i="16" s="1"/>
  <c r="Q24" i="20"/>
  <c r="BJ43" i="9"/>
  <c r="BJ16" i="9" l="1"/>
  <c r="H148" i="24"/>
  <c r="AT131" i="24"/>
  <c r="AT136" i="24" s="1"/>
  <c r="BJ19" i="24"/>
  <c r="AT131" i="23"/>
  <c r="AT136" i="23" s="1"/>
  <c r="BJ19" i="23"/>
  <c r="H148" i="23"/>
  <c r="BJ16" i="16"/>
  <c r="BJ45" i="16"/>
  <c r="AT133" i="16"/>
  <c r="BJ42" i="9"/>
  <c r="I148" i="9"/>
  <c r="BJ28" i="9"/>
  <c r="BJ34" i="16"/>
  <c r="AT132" i="16"/>
  <c r="H148" i="16"/>
  <c r="BJ131" i="9" l="1"/>
  <c r="BJ139" i="9" s="1"/>
  <c r="BM139" i="9" s="1"/>
  <c r="BO139" i="9" s="1"/>
  <c r="AT136" i="16"/>
  <c r="I148" i="23"/>
  <c r="I165" i="23" s="1"/>
  <c r="H165" i="23"/>
  <c r="BJ17" i="23"/>
  <c r="BM19" i="23"/>
  <c r="BO19" i="23" s="1"/>
  <c r="BJ17" i="24"/>
  <c r="BM19" i="24"/>
  <c r="BO19" i="24" s="1"/>
  <c r="I148" i="24"/>
  <c r="H165" i="24"/>
  <c r="BJ43" i="16"/>
  <c r="I148" i="16"/>
  <c r="BJ131" i="16"/>
  <c r="BJ32" i="16"/>
  <c r="BJ133" i="9"/>
  <c r="BJ132" i="9"/>
  <c r="BJ16" i="24" l="1"/>
  <c r="BM17" i="24"/>
  <c r="BM17" i="23"/>
  <c r="BJ16" i="23"/>
  <c r="BJ42" i="16"/>
  <c r="BJ28" i="16"/>
  <c r="BJ136" i="9"/>
  <c r="BJ139" i="16"/>
  <c r="BM139" i="16" s="1"/>
  <c r="BJ131" i="23" l="1"/>
  <c r="BM16" i="23"/>
  <c r="BM131" i="23" s="1"/>
  <c r="J9" i="14" s="1"/>
  <c r="J14" i="14" s="1"/>
  <c r="BJ131" i="24"/>
  <c r="BJ132" i="16"/>
  <c r="BJ133" i="16"/>
  <c r="BO139" i="16"/>
  <c r="BJ136" i="24" l="1"/>
  <c r="BJ139" i="24"/>
  <c r="BM139" i="24" s="1"/>
  <c r="BM136" i="23"/>
  <c r="BO131" i="23"/>
  <c r="BR131" i="23" s="1"/>
  <c r="BJ136" i="23"/>
  <c r="BJ139" i="23"/>
  <c r="BM139" i="23" s="1"/>
  <c r="BJ136" i="16"/>
  <c r="BW136" i="23" l="1"/>
  <c r="BN133" i="23"/>
  <c r="BN138" i="23"/>
  <c r="BN136" i="23"/>
  <c r="BN131" i="23"/>
  <c r="BO136" i="23"/>
  <c r="BR136" i="23" s="1"/>
  <c r="BN132" i="23"/>
  <c r="I166" i="23"/>
  <c r="I167" i="23" s="1"/>
  <c r="BN134" i="23"/>
  <c r="BN135" i="23"/>
  <c r="BO139" i="24"/>
  <c r="BR139" i="24" s="1"/>
  <c r="BN139" i="23"/>
  <c r="BO139" i="23"/>
  <c r="BR139" i="23" s="1"/>
  <c r="H75" i="9" l="1"/>
  <c r="H75" i="8"/>
  <c r="H75" i="2"/>
  <c r="G75" i="9"/>
  <c r="G75" i="8"/>
  <c r="G75" i="2"/>
  <c r="H52" i="9"/>
  <c r="H52" i="8"/>
  <c r="H52" i="2"/>
  <c r="G52" i="9"/>
  <c r="G52" i="8"/>
  <c r="G52" i="2"/>
  <c r="H41" i="9"/>
  <c r="H41" i="8"/>
  <c r="H41" i="2"/>
  <c r="G41" i="9"/>
  <c r="G41" i="8"/>
  <c r="G41" i="2"/>
  <c r="G33" i="9"/>
  <c r="G33" i="8"/>
  <c r="G33" i="2"/>
  <c r="L125" i="11" l="1"/>
  <c r="AP75" i="9"/>
  <c r="BN61" i="20"/>
  <c r="J45" i="11"/>
  <c r="Y29" i="20"/>
  <c r="G41" i="16"/>
  <c r="AO41" i="2"/>
  <c r="G34" i="8"/>
  <c r="AS23" i="20"/>
  <c r="G35" i="8"/>
  <c r="K27" i="11"/>
  <c r="G40" i="8"/>
  <c r="AO33" i="8"/>
  <c r="G36" i="8"/>
  <c r="G39" i="8"/>
  <c r="G44" i="8"/>
  <c r="BM37" i="20"/>
  <c r="L76" i="11"/>
  <c r="AO52" i="9"/>
  <c r="AP52" i="8"/>
  <c r="K79" i="11"/>
  <c r="AT37" i="20"/>
  <c r="G34" i="9"/>
  <c r="AO33" i="9"/>
  <c r="G36" i="9"/>
  <c r="L27" i="11"/>
  <c r="G44" i="9"/>
  <c r="G35" i="9"/>
  <c r="BM23" i="20"/>
  <c r="G40" i="9"/>
  <c r="G39" i="9"/>
  <c r="BN37" i="20"/>
  <c r="L79" i="11"/>
  <c r="AP52" i="9"/>
  <c r="AO41" i="8"/>
  <c r="AS29" i="20"/>
  <c r="K45" i="11"/>
  <c r="Z29" i="20"/>
  <c r="H41" i="16"/>
  <c r="AP41" i="2"/>
  <c r="J48" i="11"/>
  <c r="BM29" i="20"/>
  <c r="AO41" i="9"/>
  <c r="L45" i="11"/>
  <c r="AT29" i="20"/>
  <c r="K48" i="11"/>
  <c r="AP41" i="8"/>
  <c r="BN29" i="20"/>
  <c r="AP41" i="9"/>
  <c r="L48" i="11"/>
  <c r="Y61" i="20"/>
  <c r="J122" i="11"/>
  <c r="AO75" i="2"/>
  <c r="G75" i="16"/>
  <c r="J76" i="11"/>
  <c r="Y37" i="20"/>
  <c r="AO52" i="2"/>
  <c r="G52" i="16"/>
  <c r="K122" i="11"/>
  <c r="AS61" i="20"/>
  <c r="AO75" i="8"/>
  <c r="H75" i="16"/>
  <c r="J125" i="11"/>
  <c r="Z61" i="20"/>
  <c r="AP75" i="2"/>
  <c r="J27" i="11"/>
  <c r="M27" i="11" s="1"/>
  <c r="Y23" i="20"/>
  <c r="G39" i="2"/>
  <c r="AO33" i="2"/>
  <c r="G36" i="2"/>
  <c r="G34" i="2"/>
  <c r="G40" i="2"/>
  <c r="G33" i="16"/>
  <c r="G35" i="2"/>
  <c r="G44" i="2"/>
  <c r="AS37" i="20"/>
  <c r="K76" i="11"/>
  <c r="AO52" i="8"/>
  <c r="J79" i="11"/>
  <c r="H52" i="16"/>
  <c r="AP52" i="2"/>
  <c r="Z37" i="20"/>
  <c r="BM61" i="20"/>
  <c r="AO75" i="9"/>
  <c r="L122" i="11"/>
  <c r="M122" i="11" s="1"/>
  <c r="AP75" i="8"/>
  <c r="K125" i="11"/>
  <c r="AT61" i="20"/>
  <c r="G18" i="9"/>
  <c r="G18" i="8"/>
  <c r="G18" i="2"/>
  <c r="M79" i="11" l="1"/>
  <c r="J39" i="11"/>
  <c r="G40" i="16"/>
  <c r="Y28" i="20"/>
  <c r="AO40" i="2"/>
  <c r="AO34" i="8"/>
  <c r="BH34" i="8" s="1"/>
  <c r="BM34" i="8" s="1"/>
  <c r="BO34" i="8" s="1"/>
  <c r="G45" i="8"/>
  <c r="AO45" i="8" s="1"/>
  <c r="BH45" i="8" s="1"/>
  <c r="BM45" i="8" s="1"/>
  <c r="G45" i="2"/>
  <c r="AO34" i="2"/>
  <c r="BH34" i="2" s="1"/>
  <c r="BM34" i="2" s="1"/>
  <c r="BO34" i="2" s="1"/>
  <c r="G34" i="16"/>
  <c r="AO34" i="16" s="1"/>
  <c r="BH34" i="16" s="1"/>
  <c r="BM34" i="16" s="1"/>
  <c r="BO34" i="16" s="1"/>
  <c r="M125" i="11"/>
  <c r="AP132" i="8"/>
  <c r="H154" i="8"/>
  <c r="BI41" i="8"/>
  <c r="BI38" i="8" s="1"/>
  <c r="BI28" i="8" s="1"/>
  <c r="BI132" i="8" s="1"/>
  <c r="AP41" i="16"/>
  <c r="F29" i="20"/>
  <c r="G105" i="19" s="1"/>
  <c r="H105" i="19" s="1"/>
  <c r="J105" i="19" s="1"/>
  <c r="L34" i="11"/>
  <c r="AO39" i="9"/>
  <c r="BM27" i="20"/>
  <c r="AO34" i="9"/>
  <c r="BH34" i="9" s="1"/>
  <c r="BM34" i="9" s="1"/>
  <c r="BO34" i="9" s="1"/>
  <c r="G45" i="9"/>
  <c r="AO45" i="9" s="1"/>
  <c r="BH45" i="9" s="1"/>
  <c r="BM45" i="9" s="1"/>
  <c r="K34" i="11"/>
  <c r="AO39" i="8"/>
  <c r="AS27" i="20"/>
  <c r="G154" i="2"/>
  <c r="BH41" i="2"/>
  <c r="BH33" i="9"/>
  <c r="H160" i="8"/>
  <c r="BI75" i="8"/>
  <c r="BI71" i="8" s="1"/>
  <c r="BI70" i="8" s="1"/>
  <c r="BI134" i="8" s="1"/>
  <c r="AP134" i="8"/>
  <c r="G157" i="8"/>
  <c r="BH52" i="8"/>
  <c r="G47" i="2"/>
  <c r="AO36" i="2"/>
  <c r="BH36" i="2" s="1"/>
  <c r="BM36" i="2" s="1"/>
  <c r="BO36" i="2" s="1"/>
  <c r="G36" i="16"/>
  <c r="AO36" i="16" s="1"/>
  <c r="BH36" i="16" s="1"/>
  <c r="BM36" i="16" s="1"/>
  <c r="BO36" i="16" s="1"/>
  <c r="F61" i="20"/>
  <c r="G107" i="19" s="1"/>
  <c r="H107" i="19" s="1"/>
  <c r="J107" i="19" s="1"/>
  <c r="AP75" i="16"/>
  <c r="G96" i="19"/>
  <c r="H96" i="19" s="1"/>
  <c r="J96" i="19" s="1"/>
  <c r="AO75" i="16"/>
  <c r="E61" i="20"/>
  <c r="L39" i="11"/>
  <c r="BM28" i="20"/>
  <c r="AO40" i="9"/>
  <c r="AO36" i="8"/>
  <c r="BH36" i="8" s="1"/>
  <c r="BM36" i="8" s="1"/>
  <c r="BO36" i="8" s="1"/>
  <c r="G47" i="8"/>
  <c r="AO47" i="8" s="1"/>
  <c r="BH47" i="8" s="1"/>
  <c r="BM47" i="8" s="1"/>
  <c r="E29" i="20"/>
  <c r="AO41" i="16"/>
  <c r="G94" i="19"/>
  <c r="H94" i="19" s="1"/>
  <c r="J94" i="19" s="1"/>
  <c r="AP132" i="2"/>
  <c r="H154" i="2"/>
  <c r="BI41" i="2"/>
  <c r="BI38" i="2" s="1"/>
  <c r="BI28" i="2" s="1"/>
  <c r="BI132" i="2" s="1"/>
  <c r="BH33" i="2"/>
  <c r="G160" i="8"/>
  <c r="BH75" i="8"/>
  <c r="AO134" i="8"/>
  <c r="G160" i="2"/>
  <c r="AO134" i="2"/>
  <c r="BH75" i="2"/>
  <c r="BH33" i="8"/>
  <c r="F37" i="20"/>
  <c r="G106" i="19" s="1"/>
  <c r="H106" i="19" s="1"/>
  <c r="J106" i="19" s="1"/>
  <c r="AP52" i="16"/>
  <c r="G24" i="8"/>
  <c r="G22" i="8"/>
  <c r="I6" i="11"/>
  <c r="G25" i="8"/>
  <c r="AO25" i="8" s="1"/>
  <c r="BH25" i="8" s="1"/>
  <c r="BM25" i="8" s="1"/>
  <c r="K6" i="11"/>
  <c r="G27" i="8"/>
  <c r="AO27" i="8" s="1"/>
  <c r="BH27" i="8" s="1"/>
  <c r="BM27" i="8" s="1"/>
  <c r="AS13" i="20"/>
  <c r="G26" i="8"/>
  <c r="AO18" i="8"/>
  <c r="G23" i="8"/>
  <c r="AO23" i="8" s="1"/>
  <c r="BH23" i="8" s="1"/>
  <c r="BM23" i="8" s="1"/>
  <c r="BO23" i="8" s="1"/>
  <c r="G21" i="8"/>
  <c r="G19" i="8"/>
  <c r="AO19" i="8" s="1"/>
  <c r="BH19" i="8" s="1"/>
  <c r="BM19" i="8" s="1"/>
  <c r="BO19" i="8" s="1"/>
  <c r="G160" i="9"/>
  <c r="BH75" i="9"/>
  <c r="AO134" i="9"/>
  <c r="J34" i="11"/>
  <c r="Y27" i="20"/>
  <c r="AO39" i="2"/>
  <c r="G39" i="16"/>
  <c r="L30" i="11"/>
  <c r="G46" i="9"/>
  <c r="BM24" i="20"/>
  <c r="AO35" i="9"/>
  <c r="BH35" i="9" s="1"/>
  <c r="BM35" i="9" s="1"/>
  <c r="BO35" i="9" s="1"/>
  <c r="H157" i="8"/>
  <c r="BI52" i="8"/>
  <c r="BI48" i="8" s="1"/>
  <c r="BI42" i="8" s="1"/>
  <c r="BI133" i="8" s="1"/>
  <c r="AP133" i="8"/>
  <c r="AO40" i="8"/>
  <c r="AS28" i="20"/>
  <c r="K39" i="11"/>
  <c r="M45" i="11"/>
  <c r="G22" i="2"/>
  <c r="G24" i="2"/>
  <c r="G23" i="2"/>
  <c r="G21" i="2"/>
  <c r="J6" i="11"/>
  <c r="G18" i="16"/>
  <c r="G26" i="2"/>
  <c r="G26" i="21" s="1"/>
  <c r="G19" i="2"/>
  <c r="G27" i="2"/>
  <c r="G27" i="21" s="1"/>
  <c r="Y13" i="20"/>
  <c r="G25" i="2"/>
  <c r="AO18" i="2"/>
  <c r="G24" i="9"/>
  <c r="BM13" i="20"/>
  <c r="G21" i="9"/>
  <c r="G19" i="9"/>
  <c r="AO19" i="9" s="1"/>
  <c r="BH19" i="9" s="1"/>
  <c r="BM19" i="9" s="1"/>
  <c r="BO19" i="9" s="1"/>
  <c r="G23" i="9"/>
  <c r="AO23" i="9" s="1"/>
  <c r="BH23" i="9" s="1"/>
  <c r="BM23" i="9" s="1"/>
  <c r="BO23" i="9" s="1"/>
  <c r="G22" i="9"/>
  <c r="G25" i="9"/>
  <c r="AO25" i="9" s="1"/>
  <c r="BH25" i="9" s="1"/>
  <c r="BM25" i="9" s="1"/>
  <c r="AO18" i="9"/>
  <c r="G27" i="9"/>
  <c r="AO27" i="9" s="1"/>
  <c r="BH27" i="9" s="1"/>
  <c r="BM27" i="9" s="1"/>
  <c r="L6" i="11"/>
  <c r="G26" i="9"/>
  <c r="J81" i="11"/>
  <c r="G44" i="16"/>
  <c r="Y32" i="20"/>
  <c r="AO44" i="2"/>
  <c r="BH41" i="9"/>
  <c r="G154" i="9"/>
  <c r="G154" i="8"/>
  <c r="BH41" i="8"/>
  <c r="AO44" i="9"/>
  <c r="L81" i="11"/>
  <c r="BM32" i="20"/>
  <c r="G157" i="9"/>
  <c r="BH52" i="9"/>
  <c r="G46" i="2"/>
  <c r="AO35" i="2"/>
  <c r="BH35" i="2" s="1"/>
  <c r="BM35" i="2" s="1"/>
  <c r="BO35" i="2" s="1"/>
  <c r="Y24" i="20"/>
  <c r="J30" i="11"/>
  <c r="G35" i="16"/>
  <c r="E37" i="20"/>
  <c r="G95" i="19"/>
  <c r="H95" i="19" s="1"/>
  <c r="J95" i="19" s="1"/>
  <c r="AO52" i="16"/>
  <c r="H157" i="9"/>
  <c r="BI52" i="9"/>
  <c r="BI48" i="9" s="1"/>
  <c r="BI42" i="9" s="1"/>
  <c r="BI133" i="9" s="1"/>
  <c r="AP133" i="9"/>
  <c r="M76" i="11"/>
  <c r="G46" i="8"/>
  <c r="AO35" i="8"/>
  <c r="BH35" i="8" s="1"/>
  <c r="BM35" i="8" s="1"/>
  <c r="BO35" i="8" s="1"/>
  <c r="K30" i="11"/>
  <c r="AS24" i="20"/>
  <c r="H160" i="9"/>
  <c r="BI75" i="9"/>
  <c r="BI71" i="9" s="1"/>
  <c r="BI70" i="9" s="1"/>
  <c r="BI134" i="9" s="1"/>
  <c r="AP134" i="9"/>
  <c r="K81" i="11"/>
  <c r="AS32" i="20"/>
  <c r="AO44" i="8"/>
  <c r="AP133" i="2"/>
  <c r="BI52" i="2"/>
  <c r="BI48" i="2" s="1"/>
  <c r="BI42" i="2" s="1"/>
  <c r="BI133" i="2" s="1"/>
  <c r="H157" i="2"/>
  <c r="E23" i="20"/>
  <c r="G67" i="19" s="1"/>
  <c r="H67" i="19" s="1"/>
  <c r="J67" i="19" s="1"/>
  <c r="AO33" i="16"/>
  <c r="AP134" i="2"/>
  <c r="H160" i="2"/>
  <c r="BI75" i="2"/>
  <c r="BI71" i="2" s="1"/>
  <c r="BI70" i="2" s="1"/>
  <c r="BI134" i="2" s="1"/>
  <c r="G157" i="2"/>
  <c r="BH52" i="2"/>
  <c r="AP132" i="9"/>
  <c r="H154" i="9"/>
  <c r="BI41" i="9"/>
  <c r="BI38" i="9" s="1"/>
  <c r="BI28" i="9" s="1"/>
  <c r="BI132" i="9" s="1"/>
  <c r="M48" i="11"/>
  <c r="G47" i="9"/>
  <c r="AO47" i="9" s="1"/>
  <c r="BH47" i="9" s="1"/>
  <c r="BM47" i="9" s="1"/>
  <c r="AO36" i="9"/>
  <c r="BH36" i="9" s="1"/>
  <c r="BM36" i="9" s="1"/>
  <c r="BO36" i="9" s="1"/>
  <c r="G27" i="24" l="1"/>
  <c r="AO27" i="24" s="1"/>
  <c r="BH27" i="24" s="1"/>
  <c r="BM27" i="24" s="1"/>
  <c r="AO27" i="21"/>
  <c r="BH27" i="21" s="1"/>
  <c r="BM27" i="21" s="1"/>
  <c r="BM41" i="8"/>
  <c r="BO41" i="8" s="1"/>
  <c r="G26" i="24"/>
  <c r="AO26" i="24" s="1"/>
  <c r="AO26" i="21"/>
  <c r="AP136" i="9"/>
  <c r="I154" i="8"/>
  <c r="I154" i="2"/>
  <c r="BM41" i="9"/>
  <c r="BO41" i="9" s="1"/>
  <c r="H165" i="9"/>
  <c r="BI136" i="8"/>
  <c r="AO132" i="2"/>
  <c r="I154" i="9"/>
  <c r="M6" i="11"/>
  <c r="E13" i="20"/>
  <c r="G48" i="19" s="1"/>
  <c r="H48" i="19" s="1"/>
  <c r="J48" i="19" s="1"/>
  <c r="AO18" i="16"/>
  <c r="G152" i="8"/>
  <c r="I152" i="8" s="1"/>
  <c r="BH39" i="8"/>
  <c r="BI136" i="9"/>
  <c r="BH33" i="16"/>
  <c r="AO19" i="2"/>
  <c r="BH19" i="2" s="1"/>
  <c r="BM19" i="2" s="1"/>
  <c r="BO19" i="2" s="1"/>
  <c r="G19" i="16"/>
  <c r="AO19" i="16" s="1"/>
  <c r="BH19" i="16" s="1"/>
  <c r="BM19" i="16" s="1"/>
  <c r="BO19" i="16" s="1"/>
  <c r="BM75" i="9"/>
  <c r="BH71" i="9"/>
  <c r="I160" i="8"/>
  <c r="BH41" i="16"/>
  <c r="G154" i="16"/>
  <c r="G160" i="16"/>
  <c r="BH75" i="16"/>
  <c r="AO134" i="16"/>
  <c r="I157" i="8"/>
  <c r="BM17" i="20"/>
  <c r="AO26" i="9"/>
  <c r="AO21" i="9"/>
  <c r="BH21" i="9" s="1"/>
  <c r="BM14" i="20"/>
  <c r="Y17" i="20"/>
  <c r="G26" i="16"/>
  <c r="AO26" i="2"/>
  <c r="AO46" i="9"/>
  <c r="BH46" i="9" s="1"/>
  <c r="BM46" i="9" s="1"/>
  <c r="BO46" i="9" s="1"/>
  <c r="L84" i="11"/>
  <c r="BM33" i="20"/>
  <c r="I160" i="9"/>
  <c r="AO132" i="8"/>
  <c r="G45" i="16"/>
  <c r="AO45" i="16" s="1"/>
  <c r="BH45" i="16" s="1"/>
  <c r="BM45" i="16" s="1"/>
  <c r="AO45" i="2"/>
  <c r="BH45" i="2" s="1"/>
  <c r="BM45" i="2" s="1"/>
  <c r="I157" i="2"/>
  <c r="I157" i="9"/>
  <c r="BH18" i="2"/>
  <c r="G152" i="2"/>
  <c r="I152" i="2" s="1"/>
  <c r="BH39" i="2"/>
  <c r="K9" i="11"/>
  <c r="AS15" i="20"/>
  <c r="AO22" i="8"/>
  <c r="BI136" i="2"/>
  <c r="BH40" i="9"/>
  <c r="BM40" i="9" s="1"/>
  <c r="BO40" i="9" s="1"/>
  <c r="G153" i="9"/>
  <c r="I153" i="9" s="1"/>
  <c r="H165" i="8"/>
  <c r="BH40" i="2"/>
  <c r="BM40" i="2" s="1"/>
  <c r="BO40" i="2" s="1"/>
  <c r="G153" i="2"/>
  <c r="I153" i="2" s="1"/>
  <c r="BH48" i="9"/>
  <c r="BM48" i="9" s="1"/>
  <c r="BM52" i="9"/>
  <c r="BO52" i="9" s="1"/>
  <c r="BH40" i="8"/>
  <c r="BM40" i="8" s="1"/>
  <c r="BO40" i="8" s="1"/>
  <c r="G153" i="8"/>
  <c r="I153" i="8" s="1"/>
  <c r="BH44" i="2"/>
  <c r="AO21" i="2"/>
  <c r="BH21" i="2" s="1"/>
  <c r="Y14" i="20"/>
  <c r="G21" i="16"/>
  <c r="AO25" i="2"/>
  <c r="BH25" i="2" s="1"/>
  <c r="BM25" i="2" s="1"/>
  <c r="G25" i="16"/>
  <c r="AO25" i="16" s="1"/>
  <c r="BH25" i="16" s="1"/>
  <c r="BM25" i="16" s="1"/>
  <c r="AO23" i="2"/>
  <c r="BH23" i="2" s="1"/>
  <c r="BM23" i="2" s="1"/>
  <c r="BO23" i="2" s="1"/>
  <c r="G23" i="16"/>
  <c r="AO23" i="16" s="1"/>
  <c r="BH23" i="16" s="1"/>
  <c r="BM23" i="16" s="1"/>
  <c r="BO23" i="16" s="1"/>
  <c r="BH18" i="8"/>
  <c r="G144" i="8"/>
  <c r="AS16" i="20"/>
  <c r="K14" i="11"/>
  <c r="AO24" i="8"/>
  <c r="I160" i="2"/>
  <c r="H165" i="2"/>
  <c r="AO132" i="9"/>
  <c r="AP136" i="8"/>
  <c r="H160" i="16"/>
  <c r="AP134" i="16"/>
  <c r="BI75" i="16"/>
  <c r="BI71" i="16" s="1"/>
  <c r="BI70" i="16" s="1"/>
  <c r="BI134" i="16" s="1"/>
  <c r="AP132" i="16"/>
  <c r="BI41" i="16"/>
  <c r="BI38" i="16" s="1"/>
  <c r="BI28" i="16" s="1"/>
  <c r="BI132" i="16" s="1"/>
  <c r="H154" i="16"/>
  <c r="G157" i="16"/>
  <c r="BH52" i="16"/>
  <c r="BM33" i="2"/>
  <c r="BO33" i="2" s="1"/>
  <c r="BH32" i="2"/>
  <c r="BH44" i="8"/>
  <c r="K84" i="11"/>
  <c r="AS33" i="20"/>
  <c r="AO46" i="8"/>
  <c r="BH46" i="8" s="1"/>
  <c r="BM46" i="8" s="1"/>
  <c r="BO46" i="8" s="1"/>
  <c r="E24" i="20"/>
  <c r="AO35" i="16"/>
  <c r="BH35" i="16" s="1"/>
  <c r="BM35" i="16" s="1"/>
  <c r="BO35" i="16" s="1"/>
  <c r="E32" i="20"/>
  <c r="G114" i="19" s="1"/>
  <c r="H114" i="19" s="1"/>
  <c r="J114" i="19" s="1"/>
  <c r="AO44" i="16"/>
  <c r="AO22" i="9"/>
  <c r="L9" i="11"/>
  <c r="BM15" i="20"/>
  <c r="G24" i="16"/>
  <c r="J14" i="11"/>
  <c r="Y16" i="20"/>
  <c r="AO24" i="2"/>
  <c r="M34" i="11"/>
  <c r="AO26" i="8"/>
  <c r="AS17" i="20"/>
  <c r="H157" i="16"/>
  <c r="BI52" i="16"/>
  <c r="BI48" i="16" s="1"/>
  <c r="BI42" i="16" s="1"/>
  <c r="BI133" i="16" s="1"/>
  <c r="AP133" i="16"/>
  <c r="AP136" i="2"/>
  <c r="G47" i="16"/>
  <c r="AO47" i="16" s="1"/>
  <c r="BH47" i="16" s="1"/>
  <c r="BM47" i="16" s="1"/>
  <c r="AO47" i="2"/>
  <c r="BH47" i="2" s="1"/>
  <c r="BM47" i="2" s="1"/>
  <c r="BH32" i="9"/>
  <c r="BM33" i="9"/>
  <c r="BO33" i="9" s="1"/>
  <c r="E28" i="20"/>
  <c r="AO40" i="16"/>
  <c r="Y33" i="20"/>
  <c r="AO46" i="2"/>
  <c r="BH46" i="2" s="1"/>
  <c r="BM46" i="2" s="1"/>
  <c r="BO46" i="2" s="1"/>
  <c r="G46" i="16"/>
  <c r="J84" i="11"/>
  <c r="BH32" i="8"/>
  <c r="BM33" i="8"/>
  <c r="BO33" i="8" s="1"/>
  <c r="BH48" i="2"/>
  <c r="BM48" i="2" s="1"/>
  <c r="BM52" i="2"/>
  <c r="BO52" i="2" s="1"/>
  <c r="BM16" i="20"/>
  <c r="L14" i="11"/>
  <c r="AO24" i="9"/>
  <c r="E27" i="20"/>
  <c r="AO39" i="16"/>
  <c r="AO21" i="8"/>
  <c r="BH21" i="8" s="1"/>
  <c r="AS14" i="20"/>
  <c r="BH71" i="2"/>
  <c r="BM75" i="2"/>
  <c r="BH18" i="9"/>
  <c r="G144" i="9"/>
  <c r="M30" i="11"/>
  <c r="BH44" i="9"/>
  <c r="AO133" i="9"/>
  <c r="M81" i="11"/>
  <c r="G27" i="16"/>
  <c r="AO27" i="16" s="1"/>
  <c r="BH27" i="16" s="1"/>
  <c r="BM27" i="16" s="1"/>
  <c r="AO27" i="2"/>
  <c r="BH27" i="2" s="1"/>
  <c r="BM27" i="2" s="1"/>
  <c r="J9" i="11"/>
  <c r="Y15" i="20"/>
  <c r="AO22" i="2"/>
  <c r="G22" i="16"/>
  <c r="BM75" i="8"/>
  <c r="BH71" i="8"/>
  <c r="BH48" i="8"/>
  <c r="BM48" i="8" s="1"/>
  <c r="BM52" i="8"/>
  <c r="BO52" i="8" s="1"/>
  <c r="BM41" i="2"/>
  <c r="BO41" i="2" s="1"/>
  <c r="G152" i="9"/>
  <c r="I152" i="9" s="1"/>
  <c r="BH39" i="9"/>
  <c r="M39" i="11"/>
  <c r="BH26" i="21" l="1"/>
  <c r="G147" i="21"/>
  <c r="BH26" i="24"/>
  <c r="G147" i="24"/>
  <c r="G144" i="2"/>
  <c r="I144" i="2" s="1"/>
  <c r="G151" i="9"/>
  <c r="I151" i="9" s="1"/>
  <c r="BI136" i="16"/>
  <c r="AO133" i="8"/>
  <c r="AO131" i="9"/>
  <c r="AO136" i="9" s="1"/>
  <c r="I154" i="16"/>
  <c r="AO22" i="16"/>
  <c r="E15" i="20"/>
  <c r="AO131" i="2"/>
  <c r="BM39" i="9"/>
  <c r="BO39" i="9" s="1"/>
  <c r="BH38" i="9"/>
  <c r="BM38" i="9" s="1"/>
  <c r="BH22" i="2"/>
  <c r="BM22" i="2" s="1"/>
  <c r="BO22" i="2" s="1"/>
  <c r="G145" i="2"/>
  <c r="I145" i="2" s="1"/>
  <c r="BH39" i="16"/>
  <c r="G152" i="16"/>
  <c r="I152" i="16" s="1"/>
  <c r="BM32" i="8"/>
  <c r="BM32" i="9"/>
  <c r="BH26" i="8"/>
  <c r="BM26" i="8" s="1"/>
  <c r="G147" i="8"/>
  <c r="I147" i="8" s="1"/>
  <c r="BH22" i="9"/>
  <c r="BM22" i="9" s="1"/>
  <c r="BO22" i="9" s="1"/>
  <c r="G145" i="9"/>
  <c r="I145" i="9" s="1"/>
  <c r="AP136" i="16"/>
  <c r="G146" i="8"/>
  <c r="I146" i="8" s="1"/>
  <c r="BH24" i="8"/>
  <c r="BM24" i="8" s="1"/>
  <c r="BM21" i="9"/>
  <c r="BM41" i="16"/>
  <c r="BO41" i="16" s="1"/>
  <c r="AO132" i="16"/>
  <c r="G147" i="9"/>
  <c r="I147" i="9" s="1"/>
  <c r="BH26" i="9"/>
  <c r="BM26" i="9" s="1"/>
  <c r="I144" i="9"/>
  <c r="G146" i="9"/>
  <c r="I146" i="9" s="1"/>
  <c r="BH24" i="9"/>
  <c r="BM24" i="9" s="1"/>
  <c r="AO46" i="16"/>
  <c r="BH46" i="16" s="1"/>
  <c r="BM46" i="16" s="1"/>
  <c r="BO46" i="16" s="1"/>
  <c r="E33" i="20"/>
  <c r="G115" i="19" s="1"/>
  <c r="H115" i="19" s="1"/>
  <c r="J115" i="19" s="1"/>
  <c r="G146" i="2"/>
  <c r="I146" i="2" s="1"/>
  <c r="BH24" i="2"/>
  <c r="BM24" i="2" s="1"/>
  <c r="BM32" i="2"/>
  <c r="E14" i="20"/>
  <c r="AO21" i="16"/>
  <c r="BH21" i="16" s="1"/>
  <c r="G145" i="8"/>
  <c r="I145" i="8" s="1"/>
  <c r="BH22" i="8"/>
  <c r="BM22" i="8" s="1"/>
  <c r="BO22" i="8" s="1"/>
  <c r="G151" i="8"/>
  <c r="I151" i="8" s="1"/>
  <c r="BM21" i="8"/>
  <c r="M84" i="11"/>
  <c r="BH44" i="16"/>
  <c r="BH32" i="16"/>
  <c r="BM33" i="16"/>
  <c r="BO33" i="16" s="1"/>
  <c r="BM18" i="9"/>
  <c r="BO18" i="9" s="1"/>
  <c r="BH17" i="9"/>
  <c r="AO131" i="8"/>
  <c r="BH70" i="9"/>
  <c r="BM71" i="9"/>
  <c r="BM39" i="8"/>
  <c r="BO39" i="8" s="1"/>
  <c r="BH38" i="8"/>
  <c r="BM38" i="8" s="1"/>
  <c r="BH43" i="9"/>
  <c r="BM44" i="9"/>
  <c r="BO44" i="9" s="1"/>
  <c r="BH43" i="8"/>
  <c r="BM44" i="8"/>
  <c r="BO44" i="8" s="1"/>
  <c r="M9" i="11"/>
  <c r="M14" i="11"/>
  <c r="BM52" i="16"/>
  <c r="BO52" i="16" s="1"/>
  <c r="BH48" i="16"/>
  <c r="BM48" i="16" s="1"/>
  <c r="I144" i="8"/>
  <c r="BM21" i="2"/>
  <c r="BH26" i="2"/>
  <c r="BM26" i="2" s="1"/>
  <c r="G147" i="2"/>
  <c r="I147" i="2" s="1"/>
  <c r="BH70" i="2"/>
  <c r="BM71" i="2"/>
  <c r="AO24" i="16"/>
  <c r="E16" i="20"/>
  <c r="I157" i="16"/>
  <c r="BM18" i="8"/>
  <c r="BO18" i="8" s="1"/>
  <c r="BH17" i="8"/>
  <c r="AO133" i="2"/>
  <c r="BM39" i="2"/>
  <c r="BO39" i="2" s="1"/>
  <c r="BH38" i="2"/>
  <c r="BM38" i="2" s="1"/>
  <c r="E17" i="20"/>
  <c r="AO26" i="16"/>
  <c r="BH71" i="16"/>
  <c r="BM75" i="16"/>
  <c r="BH18" i="16"/>
  <c r="G144" i="16"/>
  <c r="BH17" i="2"/>
  <c r="BM18" i="2"/>
  <c r="BO18" i="2" s="1"/>
  <c r="BH70" i="8"/>
  <c r="BM71" i="8"/>
  <c r="G153" i="16"/>
  <c r="I153" i="16" s="1"/>
  <c r="BH40" i="16"/>
  <c r="BM40" i="16" s="1"/>
  <c r="BO40" i="16" s="1"/>
  <c r="H165" i="16"/>
  <c r="BM44" i="2"/>
  <c r="BO44" i="2" s="1"/>
  <c r="BH43" i="2"/>
  <c r="G151" i="2"/>
  <c r="I151" i="2" s="1"/>
  <c r="I160" i="16"/>
  <c r="I147" i="24" l="1"/>
  <c r="I165" i="24" s="1"/>
  <c r="G165" i="24"/>
  <c r="AO133" i="16"/>
  <c r="BM26" i="24"/>
  <c r="BH20" i="24"/>
  <c r="I147" i="21"/>
  <c r="I165" i="21" s="1"/>
  <c r="G165" i="21"/>
  <c r="BM26" i="21"/>
  <c r="BH20" i="21"/>
  <c r="AO136" i="8"/>
  <c r="BH28" i="2"/>
  <c r="BM28" i="2" s="1"/>
  <c r="BM132" i="2" s="1"/>
  <c r="G165" i="9"/>
  <c r="BH134" i="9"/>
  <c r="BM70" i="9"/>
  <c r="BM134" i="9" s="1"/>
  <c r="I165" i="2"/>
  <c r="J12" i="4" s="1"/>
  <c r="C8" i="4" s="1"/>
  <c r="BH20" i="2"/>
  <c r="BM20" i="2" s="1"/>
  <c r="BH20" i="8"/>
  <c r="BM20" i="8" s="1"/>
  <c r="I165" i="9"/>
  <c r="F12" i="14" s="1"/>
  <c r="G165" i="2"/>
  <c r="BM17" i="8"/>
  <c r="BM43" i="8"/>
  <c r="BH42" i="8"/>
  <c r="I165" i="8"/>
  <c r="F12" i="13" s="1"/>
  <c r="BH42" i="9"/>
  <c r="BM43" i="9"/>
  <c r="BH28" i="8"/>
  <c r="AO136" i="2"/>
  <c r="BM18" i="16"/>
  <c r="BO18" i="16" s="1"/>
  <c r="BH17" i="16"/>
  <c r="BH134" i="8"/>
  <c r="BM70" i="8"/>
  <c r="BM134" i="8" s="1"/>
  <c r="G165" i="8"/>
  <c r="BH28" i="9"/>
  <c r="BH24" i="16"/>
  <c r="BM24" i="16" s="1"/>
  <c r="G146" i="16"/>
  <c r="I146" i="16" s="1"/>
  <c r="BM32" i="16"/>
  <c r="BM71" i="16"/>
  <c r="BH70" i="16"/>
  <c r="BM17" i="9"/>
  <c r="BM43" i="2"/>
  <c r="BH42" i="2"/>
  <c r="BM70" i="2"/>
  <c r="BM134" i="2" s="1"/>
  <c r="BH134" i="2"/>
  <c r="BM21" i="16"/>
  <c r="BH20" i="9"/>
  <c r="BM20" i="9" s="1"/>
  <c r="BH22" i="16"/>
  <c r="BM22" i="16" s="1"/>
  <c r="BO22" i="16" s="1"/>
  <c r="G145" i="16"/>
  <c r="I145" i="16" s="1"/>
  <c r="BH26" i="16"/>
  <c r="BM26" i="16" s="1"/>
  <c r="G147" i="16"/>
  <c r="I147" i="16" s="1"/>
  <c r="BM17" i="2"/>
  <c r="AO131" i="16"/>
  <c r="AO136" i="16" s="1"/>
  <c r="I144" i="16"/>
  <c r="BH43" i="16"/>
  <c r="BM44" i="16"/>
  <c r="BO44" i="16" s="1"/>
  <c r="BH38" i="16"/>
  <c r="BM38" i="16" s="1"/>
  <c r="BM39" i="16"/>
  <c r="BO39" i="16" s="1"/>
  <c r="G151" i="16"/>
  <c r="I151" i="16" s="1"/>
  <c r="BH132" i="2" l="1"/>
  <c r="BM20" i="24"/>
  <c r="BH16" i="24"/>
  <c r="BH16" i="21"/>
  <c r="BM20" i="21"/>
  <c r="I165" i="16"/>
  <c r="BH20" i="16"/>
  <c r="BM20" i="16" s="1"/>
  <c r="G165" i="16"/>
  <c r="BH132" i="9"/>
  <c r="BM28" i="9"/>
  <c r="BM132" i="9" s="1"/>
  <c r="F18" i="14"/>
  <c r="F25" i="14"/>
  <c r="F26" i="14" s="1"/>
  <c r="BH16" i="9"/>
  <c r="BH133" i="9"/>
  <c r="BM42" i="9"/>
  <c r="BM133" i="9" s="1"/>
  <c r="J35" i="4"/>
  <c r="BM70" i="16"/>
  <c r="BM134" i="16" s="1"/>
  <c r="BH134" i="16"/>
  <c r="BO134" i="8"/>
  <c r="K12" i="13"/>
  <c r="L12" i="13" s="1"/>
  <c r="J18" i="19"/>
  <c r="BM17" i="16"/>
  <c r="BU134" i="9"/>
  <c r="BV134" i="9" s="1"/>
  <c r="BO134" i="2"/>
  <c r="J10" i="19"/>
  <c r="O33" i="4"/>
  <c r="P33" i="4" s="1"/>
  <c r="P12" i="4"/>
  <c r="Q12" i="4" s="1"/>
  <c r="BH28" i="16"/>
  <c r="BH16" i="8"/>
  <c r="BO132" i="2"/>
  <c r="P10" i="4"/>
  <c r="Q10" i="4" s="1"/>
  <c r="BU132" i="9"/>
  <c r="J8" i="19"/>
  <c r="O31" i="4"/>
  <c r="P31" i="4" s="1"/>
  <c r="F25" i="13"/>
  <c r="F26" i="13" s="1"/>
  <c r="F18" i="13"/>
  <c r="BH16" i="2"/>
  <c r="J26" i="19"/>
  <c r="BO134" i="9"/>
  <c r="K12" i="14"/>
  <c r="L12" i="14" s="1"/>
  <c r="BM42" i="8"/>
  <c r="BM133" i="8" s="1"/>
  <c r="BH133" i="8"/>
  <c r="BH133" i="2"/>
  <c r="BM42" i="2"/>
  <c r="BM133" i="2" s="1"/>
  <c r="BH42" i="16"/>
  <c r="BM43" i="16"/>
  <c r="BH132" i="8"/>
  <c r="BM28" i="8"/>
  <c r="BM132" i="8" s="1"/>
  <c r="BH16" i="16" l="1"/>
  <c r="BH131" i="21"/>
  <c r="BM16" i="21"/>
  <c r="BM131" i="21" s="1"/>
  <c r="BH131" i="24"/>
  <c r="BM16" i="24"/>
  <c r="BM131" i="24" s="1"/>
  <c r="J9" i="19"/>
  <c r="O32" i="4"/>
  <c r="P32" i="4" s="1"/>
  <c r="P11" i="4"/>
  <c r="Q11" i="4" s="1"/>
  <c r="BU133" i="9"/>
  <c r="BU136" i="9" s="1"/>
  <c r="BV136" i="9" s="1"/>
  <c r="BW135" i="9" s="1"/>
  <c r="BX135" i="9" s="1"/>
  <c r="BO133" i="2"/>
  <c r="BO133" i="9"/>
  <c r="J25" i="19"/>
  <c r="K11" i="14"/>
  <c r="L11" i="14" s="1"/>
  <c r="J34" i="19"/>
  <c r="BO134" i="16"/>
  <c r="O43" i="4"/>
  <c r="P43" i="4" s="1"/>
  <c r="BH131" i="2"/>
  <c r="BM16" i="2"/>
  <c r="BM131" i="2" s="1"/>
  <c r="BM16" i="8"/>
  <c r="BM131" i="8" s="1"/>
  <c r="BH131" i="8"/>
  <c r="BH132" i="16"/>
  <c r="BM28" i="16"/>
  <c r="BM132" i="16" s="1"/>
  <c r="BM143" i="9" s="1"/>
  <c r="BH131" i="9"/>
  <c r="BM16" i="9"/>
  <c r="BM131" i="9" s="1"/>
  <c r="BO133" i="8"/>
  <c r="J17" i="19"/>
  <c r="K11" i="13"/>
  <c r="L11" i="13" s="1"/>
  <c r="BH131" i="16"/>
  <c r="BM16" i="16"/>
  <c r="BM131" i="16" s="1"/>
  <c r="BO132" i="9"/>
  <c r="BV132" i="9"/>
  <c r="K10" i="14"/>
  <c r="L10" i="14" s="1"/>
  <c r="J24" i="19"/>
  <c r="K10" i="13"/>
  <c r="L10" i="13" s="1"/>
  <c r="J16" i="19"/>
  <c r="BO132" i="8"/>
  <c r="BM145" i="2"/>
  <c r="BH133" i="16"/>
  <c r="BM42" i="16"/>
  <c r="BM133" i="16" s="1"/>
  <c r="BM144" i="2" s="1"/>
  <c r="N40" i="4" l="1"/>
  <c r="N45" i="4" s="1"/>
  <c r="BM136" i="24"/>
  <c r="BO131" i="24"/>
  <c r="BR131" i="24" s="1"/>
  <c r="BM142" i="23"/>
  <c r="BM142" i="22"/>
  <c r="BN131" i="24"/>
  <c r="BH138" i="24"/>
  <c r="BM138" i="24" s="1"/>
  <c r="BH136" i="24"/>
  <c r="N30" i="4"/>
  <c r="N35" i="4" s="1"/>
  <c r="BO131" i="21"/>
  <c r="BR131" i="21" s="1"/>
  <c r="BM136" i="21"/>
  <c r="BN131" i="21"/>
  <c r="BM142" i="21"/>
  <c r="BH138" i="21"/>
  <c r="BM138" i="21" s="1"/>
  <c r="BH136" i="21"/>
  <c r="BV133" i="9"/>
  <c r="BW133" i="9" s="1"/>
  <c r="BX133" i="9" s="1"/>
  <c r="BH138" i="9"/>
  <c r="BM138" i="9" s="1"/>
  <c r="BH136" i="9"/>
  <c r="J7" i="19"/>
  <c r="P9" i="4"/>
  <c r="O30" i="4"/>
  <c r="BM136" i="2"/>
  <c r="BO131" i="2"/>
  <c r="BM142" i="2"/>
  <c r="J33" i="19"/>
  <c r="BO133" i="16"/>
  <c r="O42" i="4"/>
  <c r="P42" i="4" s="1"/>
  <c r="BO131" i="16"/>
  <c r="O40" i="4"/>
  <c r="J31" i="19"/>
  <c r="BM136" i="16"/>
  <c r="BN131" i="16" s="1"/>
  <c r="BH138" i="2"/>
  <c r="BM138" i="2" s="1"/>
  <c r="BH136" i="2"/>
  <c r="O41" i="4"/>
  <c r="P41" i="4" s="1"/>
  <c r="J32" i="19"/>
  <c r="BO132" i="16"/>
  <c r="BM143" i="2"/>
  <c r="BW132" i="9"/>
  <c r="BM143" i="8"/>
  <c r="BH138" i="8"/>
  <c r="BM138" i="8" s="1"/>
  <c r="BH136" i="8"/>
  <c r="BH136" i="16"/>
  <c r="BH138" i="16"/>
  <c r="BM138" i="16" s="1"/>
  <c r="BM142" i="9"/>
  <c r="BM136" i="9"/>
  <c r="J23" i="19"/>
  <c r="K9" i="14"/>
  <c r="BO131" i="9"/>
  <c r="K9" i="13"/>
  <c r="BO131" i="8"/>
  <c r="BM136" i="8"/>
  <c r="BN131" i="8" s="1"/>
  <c r="J15" i="19"/>
  <c r="BM142" i="8"/>
  <c r="BW134" i="9"/>
  <c r="BX134" i="9" s="1"/>
  <c r="BO138" i="24" l="1"/>
  <c r="BR138" i="24" s="1"/>
  <c r="BN138" i="24"/>
  <c r="BO138" i="21"/>
  <c r="BR138" i="21" s="1"/>
  <c r="BN138" i="21"/>
  <c r="BN134" i="21"/>
  <c r="BO136" i="21"/>
  <c r="BR136" i="21" s="1"/>
  <c r="BN133" i="21"/>
  <c r="BN136" i="21"/>
  <c r="BN132" i="21"/>
  <c r="I166" i="21"/>
  <c r="I167" i="21" s="1"/>
  <c r="BN135" i="21"/>
  <c r="BN139" i="21"/>
  <c r="BN132" i="24"/>
  <c r="BO136" i="24"/>
  <c r="BR136" i="24" s="1"/>
  <c r="BN139" i="24"/>
  <c r="BN136" i="24"/>
  <c r="BN134" i="24"/>
  <c r="BN133" i="24"/>
  <c r="I166" i="24"/>
  <c r="I167" i="24" s="1"/>
  <c r="BN135" i="24"/>
  <c r="BN133" i="16"/>
  <c r="J20" i="19"/>
  <c r="K15" i="19" s="1"/>
  <c r="BN132" i="9"/>
  <c r="BO136" i="9"/>
  <c r="BN136" i="9"/>
  <c r="BN139" i="9"/>
  <c r="I166" i="9"/>
  <c r="I167" i="9" s="1"/>
  <c r="BN135" i="9"/>
  <c r="BN134" i="9"/>
  <c r="BN133" i="9"/>
  <c r="BO138" i="2"/>
  <c r="BN138" i="2"/>
  <c r="BN131" i="2"/>
  <c r="I166" i="2"/>
  <c r="I167" i="2" s="1"/>
  <c r="BO136" i="2"/>
  <c r="BN136" i="2"/>
  <c r="BN135" i="2"/>
  <c r="BN139" i="2"/>
  <c r="BM147" i="2"/>
  <c r="BN132" i="2"/>
  <c r="BN134" i="2"/>
  <c r="BN133" i="2"/>
  <c r="BV136" i="8"/>
  <c r="BZ132" i="8"/>
  <c r="CA132" i="8" s="1"/>
  <c r="CB132" i="8" s="1"/>
  <c r="BO136" i="8"/>
  <c r="BN136" i="8"/>
  <c r="BZ133" i="8"/>
  <c r="CA133" i="8" s="1"/>
  <c r="CB133" i="8" s="1"/>
  <c r="BN135" i="8"/>
  <c r="BZ134" i="8"/>
  <c r="CA134" i="8" s="1"/>
  <c r="CB134" i="8" s="1"/>
  <c r="BN139" i="8"/>
  <c r="BZ131" i="8"/>
  <c r="CA131" i="8" s="1"/>
  <c r="CB131" i="8" s="1"/>
  <c r="BZ135" i="8"/>
  <c r="CA135" i="8" s="1"/>
  <c r="CB135" i="8" s="1"/>
  <c r="I166" i="8"/>
  <c r="I167" i="8" s="1"/>
  <c r="BW136" i="8"/>
  <c r="BN134" i="8"/>
  <c r="BN132" i="8"/>
  <c r="BN133" i="8"/>
  <c r="BO138" i="16"/>
  <c r="BN138" i="16"/>
  <c r="BX132" i="9"/>
  <c r="BW136" i="9"/>
  <c r="BX136" i="9" s="1"/>
  <c r="O35" i="4"/>
  <c r="P35" i="4" s="1"/>
  <c r="P30" i="4"/>
  <c r="L9" i="13"/>
  <c r="K14" i="13"/>
  <c r="L14" i="13" s="1"/>
  <c r="BN132" i="16"/>
  <c r="I166" i="16"/>
  <c r="I167" i="16" s="1"/>
  <c r="BN136" i="16"/>
  <c r="BN139" i="16"/>
  <c r="BN135" i="16"/>
  <c r="BO136" i="16"/>
  <c r="BN134" i="16"/>
  <c r="Q9" i="4"/>
  <c r="P14" i="4"/>
  <c r="J28" i="19"/>
  <c r="K23" i="19" s="1"/>
  <c r="BN131" i="9"/>
  <c r="J36" i="19"/>
  <c r="K33" i="19" s="1"/>
  <c r="J12" i="19"/>
  <c r="K7" i="19" s="1"/>
  <c r="P40" i="4"/>
  <c r="O45" i="4"/>
  <c r="P45" i="4" s="1"/>
  <c r="K14" i="14"/>
  <c r="L14" i="14" s="1"/>
  <c r="L9" i="14"/>
  <c r="BO138" i="8"/>
  <c r="BN138" i="8"/>
  <c r="BO138" i="9"/>
  <c r="BN138" i="9"/>
  <c r="K32" i="19" l="1"/>
  <c r="K31" i="19"/>
  <c r="K24" i="19"/>
  <c r="K27" i="19"/>
  <c r="K26" i="19"/>
  <c r="K25" i="19"/>
  <c r="K9" i="19"/>
  <c r="K11" i="19"/>
  <c r="K10" i="19"/>
  <c r="K8" i="19"/>
  <c r="K35" i="19"/>
  <c r="K34" i="19"/>
  <c r="K17" i="19"/>
  <c r="K19" i="19"/>
  <c r="K18" i="19"/>
  <c r="K16" i="19"/>
  <c r="K28" i="19" l="1"/>
  <c r="K20" i="19"/>
  <c r="K36" i="19"/>
  <c r="K12" i="19"/>
  <c r="BQ139" i="2" l="1"/>
  <c r="BR139" i="2" s="1"/>
  <c r="BQ139" i="8"/>
  <c r="BR139" i="8" s="1"/>
  <c r="BQ139" i="9"/>
  <c r="BR139" i="9" s="1"/>
  <c r="BQ139" i="16" l="1"/>
  <c r="BR139" i="16" s="1"/>
  <c r="D11" i="19" l="1"/>
  <c r="P11" i="19" l="1"/>
  <c r="Q11" i="19" s="1"/>
  <c r="BQ135" i="2" l="1"/>
  <c r="BR135" i="2" s="1"/>
  <c r="D26" i="19" l="1"/>
  <c r="D17" i="19"/>
  <c r="D15" i="19" l="1"/>
  <c r="D7" i="19"/>
  <c r="D16" i="19"/>
  <c r="D23" i="19"/>
  <c r="P17" i="19"/>
  <c r="Q17" i="19" s="1"/>
  <c r="P26" i="19"/>
  <c r="Q26" i="19" s="1"/>
  <c r="BQ131" i="8" l="1"/>
  <c r="BR131" i="8" s="1"/>
  <c r="D31" i="19"/>
  <c r="P7" i="19"/>
  <c r="BQ131" i="16"/>
  <c r="BR131" i="16" s="1"/>
  <c r="BQ131" i="2"/>
  <c r="BR131" i="2" s="1"/>
  <c r="BQ132" i="8"/>
  <c r="BR132" i="8" s="1"/>
  <c r="BQ131" i="9"/>
  <c r="BR131" i="9" s="1"/>
  <c r="BQ134" i="9"/>
  <c r="BR134" i="9" s="1"/>
  <c r="BQ133" i="8"/>
  <c r="BR133" i="8" s="1"/>
  <c r="P15" i="19"/>
  <c r="P23" i="19"/>
  <c r="P16" i="19"/>
  <c r="Q16" i="19" s="1"/>
  <c r="BQ138" i="2"/>
  <c r="BR138" i="2" s="1"/>
  <c r="Q7" i="19" l="1"/>
  <c r="Q23" i="19"/>
  <c r="BQ138" i="16"/>
  <c r="BR138" i="16" s="1"/>
  <c r="P31" i="19"/>
  <c r="BQ138" i="8"/>
  <c r="BR138" i="8" s="1"/>
  <c r="Q15" i="19"/>
  <c r="BQ138" i="9"/>
  <c r="BR138" i="9" s="1"/>
  <c r="Q31" i="19" l="1"/>
  <c r="D19" i="19" l="1"/>
  <c r="P19" i="19" l="1"/>
  <c r="Q19" i="19" s="1"/>
  <c r="BQ135" i="8" l="1"/>
  <c r="BR135" i="8" s="1"/>
  <c r="D18" i="19" l="1"/>
  <c r="P18" i="19" l="1"/>
  <c r="D20" i="19"/>
  <c r="BQ134" i="8" l="1"/>
  <c r="BR134" i="8" s="1"/>
  <c r="E17" i="19"/>
  <c r="E16" i="19"/>
  <c r="E15" i="19"/>
  <c r="E19" i="19"/>
  <c r="Q18" i="19"/>
  <c r="P20" i="19"/>
  <c r="Q20" i="19" s="1"/>
  <c r="E18" i="19"/>
  <c r="M17" i="19" l="1"/>
  <c r="N17" i="19"/>
  <c r="M19" i="19"/>
  <c r="N19" i="19"/>
  <c r="BQ136" i="8"/>
  <c r="BR136" i="8" s="1"/>
  <c r="E20" i="19"/>
  <c r="M15" i="19"/>
  <c r="N15" i="19"/>
  <c r="M16" i="19"/>
  <c r="N16" i="19"/>
  <c r="M18" i="19"/>
  <c r="N18" i="19"/>
  <c r="M20" i="19" l="1"/>
  <c r="N20" i="19"/>
  <c r="D8" i="19" l="1"/>
  <c r="D25" i="19"/>
  <c r="BQ132" i="2" l="1"/>
  <c r="BR132" i="2" s="1"/>
  <c r="D24" i="19"/>
  <c r="P25" i="19"/>
  <c r="Q25" i="19" s="1"/>
  <c r="D32" i="19"/>
  <c r="P8" i="19"/>
  <c r="P32" i="19" l="1"/>
  <c r="BQ132" i="9"/>
  <c r="BR132" i="9" s="1"/>
  <c r="P24" i="19"/>
  <c r="BQ133" i="9"/>
  <c r="BR133" i="9" s="1"/>
  <c r="Q8" i="19"/>
  <c r="Q24" i="19" l="1"/>
  <c r="Q32" i="19"/>
  <c r="BQ132" i="16"/>
  <c r="BR132" i="16" s="1"/>
  <c r="D27" i="19" l="1"/>
  <c r="P27" i="19" l="1"/>
  <c r="D35" i="19"/>
  <c r="D28" i="19"/>
  <c r="E26" i="19" l="1"/>
  <c r="E23" i="19"/>
  <c r="E25" i="19"/>
  <c r="E24" i="19"/>
  <c r="P35" i="19"/>
  <c r="Q35" i="19" s="1"/>
  <c r="E27" i="19"/>
  <c r="BQ135" i="9"/>
  <c r="BR135" i="9" s="1"/>
  <c r="Q27" i="19"/>
  <c r="P28" i="19"/>
  <c r="Q28" i="19" s="1"/>
  <c r="M27" i="19" l="1"/>
  <c r="N27" i="19"/>
  <c r="BQ135" i="16"/>
  <c r="BR135" i="16" s="1"/>
  <c r="M24" i="19"/>
  <c r="N24" i="19"/>
  <c r="M25" i="19"/>
  <c r="N25" i="19"/>
  <c r="E28" i="19"/>
  <c r="M23" i="19"/>
  <c r="N23" i="19"/>
  <c r="BQ136" i="9"/>
  <c r="BR136" i="9" s="1"/>
  <c r="M26" i="19"/>
  <c r="N26" i="19"/>
  <c r="M28" i="19" l="1"/>
  <c r="N28" i="19"/>
  <c r="D9" i="19" l="1"/>
  <c r="D33" i="19" l="1"/>
  <c r="P9" i="19"/>
  <c r="BQ133" i="2" l="1"/>
  <c r="BR133" i="2" s="1"/>
  <c r="Q9" i="19"/>
  <c r="P33" i="19"/>
  <c r="Q33" i="19" l="1"/>
  <c r="BQ133" i="16"/>
  <c r="BR133" i="16" s="1"/>
  <c r="D10" i="19" l="1"/>
  <c r="D34" i="19" l="1"/>
  <c r="P10" i="19"/>
  <c r="D12" i="19"/>
  <c r="BQ134" i="2" l="1"/>
  <c r="BR134" i="2" s="1"/>
  <c r="E11" i="19"/>
  <c r="E7" i="19"/>
  <c r="E8" i="19"/>
  <c r="E9" i="19"/>
  <c r="E10" i="19"/>
  <c r="Q10" i="19"/>
  <c r="P12" i="19"/>
  <c r="Q12" i="19" s="1"/>
  <c r="P34" i="19"/>
  <c r="D36" i="19"/>
  <c r="E12" i="19" l="1"/>
  <c r="M7" i="19"/>
  <c r="N7" i="19"/>
  <c r="M9" i="19"/>
  <c r="N9" i="19"/>
  <c r="BQ134" i="16"/>
  <c r="BR134" i="16" s="1"/>
  <c r="E31" i="19"/>
  <c r="E32" i="19"/>
  <c r="E35" i="19"/>
  <c r="E33" i="19"/>
  <c r="Q34" i="19"/>
  <c r="P36" i="19"/>
  <c r="Q36" i="19" s="1"/>
  <c r="M11" i="19"/>
  <c r="N11" i="19"/>
  <c r="M8" i="19"/>
  <c r="N8" i="19"/>
  <c r="E34" i="19"/>
  <c r="BQ136" i="2"/>
  <c r="BR136" i="2" s="1"/>
  <c r="M10" i="19"/>
  <c r="N10" i="19"/>
  <c r="M31" i="19" l="1"/>
  <c r="E36" i="19"/>
  <c r="N31" i="19"/>
  <c r="M33" i="19"/>
  <c r="N33" i="19"/>
  <c r="M34" i="19"/>
  <c r="N34" i="19"/>
  <c r="M35" i="19"/>
  <c r="N35" i="19"/>
  <c r="BQ136" i="16"/>
  <c r="BR136" i="16" s="1"/>
  <c r="M32" i="19"/>
  <c r="N32" i="19"/>
  <c r="M12" i="19"/>
  <c r="N12" i="19"/>
  <c r="M36" i="19" l="1"/>
  <c r="N36" i="19"/>
  <c r="D23" i="13" l="1"/>
  <c r="H26" i="4" l="1"/>
  <c r="D24" i="13"/>
  <c r="D28" i="13" s="1"/>
  <c r="E23" i="13" s="1"/>
  <c r="D23" i="14"/>
  <c r="E24" i="13" l="1"/>
  <c r="E28" i="13"/>
  <c r="F23" i="13" s="1"/>
  <c r="H27" i="4"/>
  <c r="D24" i="14"/>
  <c r="D28" i="14" s="1"/>
  <c r="E23" i="14" s="1"/>
  <c r="E24" i="14" l="1"/>
  <c r="E28" i="14"/>
  <c r="F23" i="14" s="1"/>
  <c r="H44" i="4"/>
  <c r="H46" i="4" s="1"/>
  <c r="H38" i="4"/>
  <c r="H40" i="4" s="1"/>
  <c r="H42" i="4" s="1"/>
  <c r="H48" i="4" s="1"/>
  <c r="H50" i="4" s="1"/>
  <c r="H31" i="4"/>
  <c r="I26" i="4" s="1"/>
  <c r="I27" i="4" s="1"/>
  <c r="F24" i="13"/>
  <c r="F28" i="13" s="1"/>
  <c r="BT137" i="8" s="1"/>
  <c r="I38" i="4" l="1"/>
  <c r="I44" i="4"/>
  <c r="F24" i="14"/>
  <c r="F28" i="14"/>
  <c r="BT137" i="9" s="1"/>
  <c r="I15" i="4" l="1"/>
  <c r="C24" i="4" l="1"/>
  <c r="C28" i="4" s="1"/>
  <c r="I14" i="4"/>
  <c r="I28" i="4" l="1"/>
  <c r="I21" i="4"/>
  <c r="I34" i="18"/>
  <c r="I37" i="18" s="1"/>
  <c r="C14" i="4"/>
  <c r="C18" i="4" s="1"/>
  <c r="J15" i="4"/>
  <c r="J14" i="4" s="1"/>
  <c r="J34" i="18" l="1"/>
  <c r="J21" i="4"/>
  <c r="J28" i="4"/>
  <c r="I37" i="4"/>
  <c r="I29" i="4"/>
  <c r="I31" i="4" s="1"/>
  <c r="J26" i="4" s="1"/>
  <c r="C19" i="4" l="1"/>
  <c r="J27" i="4"/>
  <c r="I39" i="4"/>
  <c r="I40" i="4" s="1"/>
  <c r="I42" i="4" s="1"/>
  <c r="I45" i="4"/>
  <c r="I46" i="4" s="1"/>
  <c r="J37" i="4"/>
  <c r="J29" i="4"/>
  <c r="I48" i="4" l="1"/>
  <c r="I50" i="4" s="1"/>
  <c r="J39" i="4"/>
  <c r="J45" i="4"/>
  <c r="J31" i="4"/>
  <c r="BT137" i="2" s="1"/>
  <c r="J38" i="4"/>
  <c r="J44" i="4"/>
  <c r="C20" i="4"/>
  <c r="C9" i="4" s="1"/>
  <c r="C10" i="4" s="1"/>
  <c r="J46" i="4" l="1"/>
  <c r="J40" i="4"/>
  <c r="J42" i="4" s="1"/>
  <c r="J48" i="4" s="1"/>
  <c r="J50" i="4" s="1"/>
  <c r="N22" i="4" l="1"/>
  <c r="O22" i="4" l="1"/>
  <c r="O24" i="4" s="1"/>
  <c r="N24" i="4"/>
  <c r="Q30" i="4" l="1"/>
  <c r="Q34" i="4"/>
  <c r="Q33" i="4"/>
  <c r="Q31" i="4"/>
  <c r="Q3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Bennett</author>
    <author>Kelly Bernhardt</author>
  </authors>
  <commentList>
    <comment ref="L11" authorId="0" shapeId="0" xr:uid="{11DB0524-0A8C-4D9C-8433-4180E05196EE}">
      <text>
        <r>
          <rPr>
            <b/>
            <sz val="9"/>
            <color indexed="81"/>
            <rFont val="Tahoma"/>
            <family val="2"/>
          </rPr>
          <t>James Bennett:</t>
        </r>
        <r>
          <rPr>
            <sz val="9"/>
            <color indexed="81"/>
            <rFont val="Tahoma"/>
            <family val="2"/>
          </rPr>
          <t xml:space="preserve">
applies from 2020/21 on</t>
        </r>
      </text>
    </comment>
    <comment ref="E18" authorId="1" shapeId="0" xr:uid="{51018C06-1645-4419-AF34-444F840FAD36}">
      <text>
        <r>
          <rPr>
            <b/>
            <sz val="9"/>
            <color indexed="81"/>
            <rFont val="Tahoma"/>
            <family val="2"/>
          </rPr>
          <t>Percentage change in Consumer Price Index (all groups, Weighted Average, 8 Capital Cities)</t>
        </r>
      </text>
    </comment>
    <comment ref="G18" authorId="1" shapeId="0" xr:uid="{AA003AFB-BAEF-4EC9-B82C-476E1F41F325}">
      <text>
        <r>
          <rPr>
            <b/>
            <sz val="9"/>
            <color indexed="81"/>
            <rFont val="Tahoma"/>
            <family val="2"/>
          </rPr>
          <t>Annual Cost of Debt update</t>
        </r>
      </text>
    </comment>
    <comment ref="L18" authorId="1" shapeId="0" xr:uid="{8A1D74B5-FD95-44B3-9FC0-4ADED40723E5}">
      <text>
        <r>
          <rPr>
            <b/>
            <sz val="9"/>
            <color indexed="81"/>
            <rFont val="Tahoma"/>
            <family val="2"/>
          </rPr>
          <t>On request from the AER:
To reflect actual inflation in the WACC used to escalate under/over recoveries and other adjustments the following formula has been used:</t>
        </r>
        <r>
          <rPr>
            <sz val="9"/>
            <color indexed="81"/>
            <rFont val="Tahoma"/>
            <family val="2"/>
          </rPr>
          <t xml:space="preserve">
Nominal WACC = (1+ real vanilla WACC) x (1 + actual inflation) - 1</t>
        </r>
      </text>
    </comment>
    <comment ref="G26" authorId="1" shapeId="0" xr:uid="{1D4CABC5-64E9-4652-93C4-A3375A06712A}">
      <text>
        <r>
          <rPr>
            <b/>
            <sz val="9"/>
            <color indexed="81"/>
            <rFont val="Tahoma"/>
            <family val="2"/>
          </rPr>
          <t>Annual Cost of Debt update</t>
        </r>
      </text>
    </comment>
    <comment ref="I26" authorId="1" shapeId="0" xr:uid="{2390F38C-4916-4AFA-BB16-4F96208B01BF}">
      <text>
        <r>
          <rPr>
            <b/>
            <sz val="9"/>
            <color indexed="81"/>
            <rFont val="Tahoma"/>
            <family val="2"/>
          </rPr>
          <t>STPIS Factor in RCP 2015-20</t>
        </r>
      </text>
    </comment>
    <comment ref="H27" authorId="0" shapeId="0" xr:uid="{92AE7510-3A17-4F3A-A378-2B6B0975751D}">
      <text>
        <r>
          <rPr>
            <b/>
            <sz val="9"/>
            <color indexed="81"/>
            <rFont val="Tahoma"/>
            <family val="2"/>
          </rPr>
          <t>James Bennett:</t>
        </r>
        <r>
          <rPr>
            <sz val="9"/>
            <color indexed="81"/>
            <rFont val="Tahoma"/>
            <family val="2"/>
          </rPr>
          <t xml:space="preserve">
updated from AER cost of debt update 4 April 2017</t>
        </r>
      </text>
    </comment>
    <comment ref="I27" authorId="0" shapeId="0" xr:uid="{B75494B0-BCD5-4BE1-A741-50D486375D05}">
      <text>
        <r>
          <rPr>
            <b/>
            <sz val="9"/>
            <color indexed="81"/>
            <rFont val="Tahoma"/>
            <family val="2"/>
          </rPr>
          <t>James Bennett:</t>
        </r>
        <r>
          <rPr>
            <sz val="9"/>
            <color indexed="81"/>
            <rFont val="Tahoma"/>
            <family val="2"/>
          </rPr>
          <t xml:space="preserve">
banked a negative outcome</t>
        </r>
      </text>
    </comment>
    <comment ref="H28" authorId="0" shapeId="0" xr:uid="{20E517DE-7AF3-4932-9A6C-8AC907052F4B}">
      <text>
        <r>
          <rPr>
            <b/>
            <sz val="9"/>
            <color indexed="81"/>
            <rFont val="Tahoma"/>
            <family val="2"/>
          </rPr>
          <t>James Bennett:</t>
        </r>
        <r>
          <rPr>
            <sz val="9"/>
            <color indexed="81"/>
            <rFont val="Tahoma"/>
            <family val="2"/>
          </rPr>
          <t xml:space="preserve">
updated from AER cost of debt update 4 April 2017</t>
        </r>
      </text>
    </comment>
    <comment ref="G29" authorId="0" shapeId="0" xr:uid="{70AC8EF6-AFB6-4374-AD1F-14CAE4290944}">
      <text>
        <r>
          <rPr>
            <b/>
            <sz val="9"/>
            <color indexed="81"/>
            <rFont val="Tahoma"/>
            <family val="2"/>
          </rPr>
          <t>James Bennett:</t>
        </r>
        <r>
          <rPr>
            <sz val="9"/>
            <color indexed="81"/>
            <rFont val="Tahoma"/>
            <family val="2"/>
          </rPr>
          <t xml:space="preserve">
updated from AER cost of debt update 4 April 2017</t>
        </r>
      </text>
    </comment>
    <comment ref="H29" authorId="0" shapeId="0" xr:uid="{5455DE32-C9ED-466D-B56E-ABC3250DFDFF}">
      <text>
        <r>
          <rPr>
            <b/>
            <sz val="9"/>
            <color indexed="81"/>
            <rFont val="Tahoma"/>
            <family val="2"/>
          </rPr>
          <t>James Bennett:</t>
        </r>
        <r>
          <rPr>
            <sz val="9"/>
            <color indexed="81"/>
            <rFont val="Tahoma"/>
            <family val="2"/>
          </rPr>
          <t xml:space="preserve">
updated from AER cost of debt update 4 April 2017</t>
        </r>
      </text>
    </comment>
    <comment ref="I29" authorId="0" shapeId="0" xr:uid="{5EEAA547-BAA6-4963-AB0E-7E0E4D728D2B}">
      <text>
        <r>
          <rPr>
            <b/>
            <sz val="9"/>
            <color indexed="81"/>
            <rFont val="Tahoma"/>
            <family val="2"/>
          </rPr>
          <t>James Bennett:</t>
        </r>
        <r>
          <rPr>
            <sz val="9"/>
            <color indexed="81"/>
            <rFont val="Tahoma"/>
            <family val="2"/>
          </rPr>
          <t xml:space="preserve">
from AER Advice March 2017</t>
        </r>
      </text>
    </comment>
    <comment ref="G30" authorId="0" shapeId="0" xr:uid="{0B870B2F-11F6-45DF-9BD5-2BDE8E79034C}">
      <text>
        <r>
          <rPr>
            <b/>
            <sz val="9"/>
            <color indexed="81"/>
            <rFont val="Tahoma"/>
            <family val="2"/>
          </rPr>
          <t>James Bennett:</t>
        </r>
        <r>
          <rPr>
            <sz val="9"/>
            <color indexed="81"/>
            <rFont val="Tahoma"/>
            <family val="2"/>
          </rPr>
          <t xml:space="preserve">
update when PTRM cost of debt update arrives, near 31 March 2018</t>
        </r>
      </text>
    </comment>
    <comment ref="H30" authorId="0" shapeId="0" xr:uid="{F274B766-05CF-4E8F-9083-5867A3DBA465}">
      <text>
        <r>
          <rPr>
            <b/>
            <sz val="9"/>
            <color indexed="81"/>
            <rFont val="Tahoma"/>
            <family val="2"/>
          </rPr>
          <t>James Bennett:</t>
        </r>
        <r>
          <rPr>
            <sz val="9"/>
            <color indexed="81"/>
            <rFont val="Tahoma"/>
            <family val="2"/>
          </rPr>
          <t xml:space="preserve">
updated from AER cost of debt update April 2018</t>
        </r>
      </text>
    </comment>
    <comment ref="G31" authorId="0" shapeId="0" xr:uid="{23052C96-8DAF-4950-BC52-16D5AF62158E}">
      <text>
        <r>
          <rPr>
            <b/>
            <sz val="9"/>
            <color indexed="81"/>
            <rFont val="Tahoma"/>
            <family val="2"/>
          </rPr>
          <t>James Bennett:</t>
        </r>
        <r>
          <rPr>
            <sz val="9"/>
            <color indexed="81"/>
            <rFont val="Tahoma"/>
            <family val="2"/>
          </rPr>
          <t xml:space="preserve">
updated from AER cost of debt update - 12 March 2019</t>
        </r>
      </text>
    </comment>
    <comment ref="H31" authorId="0" shapeId="0" xr:uid="{FDC43821-D5E4-425D-9E68-650C740A2140}">
      <text>
        <r>
          <rPr>
            <b/>
            <sz val="9"/>
            <color indexed="81"/>
            <rFont val="Tahoma"/>
            <family val="2"/>
          </rPr>
          <t>James Bennett:</t>
        </r>
        <r>
          <rPr>
            <sz val="9"/>
            <color indexed="81"/>
            <rFont val="Tahoma"/>
            <family val="2"/>
          </rPr>
          <t xml:space="preserve">
updated from AER cost of debt update - 12 March 2019</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7061371F-5802-4873-882C-B44F355A9A35}">
      <text>
        <r>
          <rPr>
            <b/>
            <sz val="9"/>
            <color indexed="81"/>
            <rFont val="Tahoma"/>
            <family val="2"/>
          </rPr>
          <t>James Bennett:</t>
        </r>
        <r>
          <rPr>
            <sz val="9"/>
            <color indexed="81"/>
            <rFont val="Tahoma"/>
            <family val="2"/>
          </rPr>
          <t xml:space="preserve">
transition tariff</t>
        </r>
      </text>
    </comment>
    <comment ref="R15" authorId="0" shapeId="0" xr:uid="{2BBEB043-3AFB-45F2-972C-994E608D4639}">
      <text>
        <r>
          <rPr>
            <b/>
            <sz val="9"/>
            <color indexed="81"/>
            <rFont val="Tahoma"/>
            <family val="2"/>
          </rPr>
          <t>James Bennett:</t>
        </r>
        <r>
          <rPr>
            <sz val="9"/>
            <color indexed="81"/>
            <rFont val="Tahoma"/>
            <family val="2"/>
          </rPr>
          <t xml:space="preserve">
transition tariff</t>
        </r>
      </text>
    </comment>
    <comment ref="AH15" authorId="0" shapeId="0" xr:uid="{F7BE907C-A336-4D88-99E3-B25BD3EEA082}">
      <text>
        <r>
          <rPr>
            <b/>
            <sz val="9"/>
            <color indexed="81"/>
            <rFont val="Tahoma"/>
            <family val="2"/>
          </rPr>
          <t>James Bennett:</t>
        </r>
        <r>
          <rPr>
            <sz val="9"/>
            <color indexed="81"/>
            <rFont val="Tahoma"/>
            <family val="2"/>
          </rPr>
          <t xml:space="preserve">
transition tariff</t>
        </r>
      </text>
    </comment>
    <comment ref="AI15" authorId="0" shapeId="0" xr:uid="{0E5C82A1-81B5-4C43-B33D-8224F1C2B86A}">
      <text>
        <r>
          <rPr>
            <b/>
            <sz val="9"/>
            <color indexed="81"/>
            <rFont val="Tahoma"/>
            <family val="2"/>
          </rPr>
          <t>James Bennett:</t>
        </r>
        <r>
          <rPr>
            <sz val="9"/>
            <color indexed="81"/>
            <rFont val="Tahoma"/>
            <family val="2"/>
          </rPr>
          <t xml:space="preserve">
transition tariff</t>
        </r>
      </text>
    </comment>
    <comment ref="AY15" authorId="0" shapeId="0" xr:uid="{DB1FC9DE-211E-430F-B071-127AB724CEA9}">
      <text>
        <r>
          <rPr>
            <b/>
            <sz val="9"/>
            <color indexed="81"/>
            <rFont val="Tahoma"/>
            <family val="2"/>
          </rPr>
          <t>James Bennett:</t>
        </r>
        <r>
          <rPr>
            <sz val="9"/>
            <color indexed="81"/>
            <rFont val="Tahoma"/>
            <family val="2"/>
          </rPr>
          <t xml:space="preserve">
transition tariff</t>
        </r>
      </text>
    </comment>
    <comment ref="AZ15" authorId="0" shapeId="0" xr:uid="{09C9EB0B-76BB-4F2D-9A34-5716AFDCF851}">
      <text>
        <r>
          <rPr>
            <b/>
            <sz val="9"/>
            <color indexed="81"/>
            <rFont val="Tahoma"/>
            <family val="2"/>
          </rPr>
          <t>James Bennett:</t>
        </r>
        <r>
          <rPr>
            <sz val="9"/>
            <color indexed="81"/>
            <rFont val="Tahoma"/>
            <family val="2"/>
          </rPr>
          <t xml:space="preserve">
transition tariff</t>
        </r>
      </text>
    </comment>
    <comment ref="G26" authorId="0" shapeId="0" xr:uid="{D2597757-31D1-4354-9B8D-E98B132C1551}">
      <text>
        <r>
          <rPr>
            <b/>
            <sz val="9"/>
            <color indexed="81"/>
            <rFont val="Tahoma"/>
            <family val="2"/>
          </rPr>
          <t>James Bennett:</t>
        </r>
        <r>
          <rPr>
            <sz val="9"/>
            <color indexed="81"/>
            <rFont val="Tahoma"/>
            <family val="2"/>
          </rPr>
          <t xml:space="preserve">
set at 2021/22 prices as trial tariff did not exist last year.  Per AER</t>
        </r>
      </text>
    </comment>
    <comment ref="I26" authorId="0" shapeId="0" xr:uid="{60373C2C-7713-4C21-AB23-AE8D34B07FBD}">
      <text>
        <r>
          <rPr>
            <b/>
            <sz val="9"/>
            <color indexed="81"/>
            <rFont val="Tahoma"/>
            <family val="2"/>
          </rPr>
          <t>James Bennett:</t>
        </r>
        <r>
          <rPr>
            <sz val="9"/>
            <color indexed="81"/>
            <rFont val="Tahoma"/>
            <family val="2"/>
          </rPr>
          <t xml:space="preserve">
set at 2021/22 prices as trial tariff did not exist last year.  Per AER</t>
        </r>
      </text>
    </comment>
    <comment ref="J26" authorId="0" shapeId="0" xr:uid="{36F7D937-E080-426B-9859-A86858C11EDC}">
      <text>
        <r>
          <rPr>
            <b/>
            <sz val="9"/>
            <color indexed="81"/>
            <rFont val="Tahoma"/>
            <family val="2"/>
          </rPr>
          <t>James Bennett:</t>
        </r>
        <r>
          <rPr>
            <sz val="9"/>
            <color indexed="81"/>
            <rFont val="Tahoma"/>
            <family val="2"/>
          </rPr>
          <t xml:space="preserve">
set at 2021/22 prices as trial tariff did not exist last year.  Per AER</t>
        </r>
      </text>
    </comment>
    <comment ref="K26" authorId="0" shapeId="0" xr:uid="{55F8C705-66C2-4F91-A9A3-4574E309E1DA}">
      <text>
        <r>
          <rPr>
            <b/>
            <sz val="9"/>
            <color indexed="81"/>
            <rFont val="Tahoma"/>
            <family val="2"/>
          </rPr>
          <t>James Bennett:</t>
        </r>
        <r>
          <rPr>
            <sz val="9"/>
            <color indexed="81"/>
            <rFont val="Tahoma"/>
            <family val="2"/>
          </rPr>
          <t xml:space="preserve">
set at 2021/22 prices as trial tariff did not exist last year.  Per AER</t>
        </r>
      </text>
    </comment>
    <comment ref="G27" authorId="0" shapeId="0" xr:uid="{DED37CAE-D8EF-490E-BADB-80910727EE8D}">
      <text>
        <r>
          <rPr>
            <b/>
            <sz val="9"/>
            <color indexed="81"/>
            <rFont val="Tahoma"/>
            <family val="2"/>
          </rPr>
          <t>James Bennett:</t>
        </r>
        <r>
          <rPr>
            <sz val="9"/>
            <color indexed="81"/>
            <rFont val="Tahoma"/>
            <family val="2"/>
          </rPr>
          <t xml:space="preserve">
set at 2021/22 prices as trial tariff did not exist last year.  Per AER</t>
        </r>
      </text>
    </comment>
    <comment ref="I27" authorId="0" shapeId="0" xr:uid="{44415B82-61A6-48A7-8B5C-3762E44EE78F}">
      <text>
        <r>
          <rPr>
            <b/>
            <sz val="9"/>
            <color indexed="81"/>
            <rFont val="Tahoma"/>
            <family val="2"/>
          </rPr>
          <t>James Bennett:</t>
        </r>
        <r>
          <rPr>
            <sz val="9"/>
            <color indexed="81"/>
            <rFont val="Tahoma"/>
            <family val="2"/>
          </rPr>
          <t xml:space="preserve">
set at 2021/22 prices as trial tariff did not exist last year.  Per AER</t>
        </r>
      </text>
    </comment>
    <comment ref="J27" authorId="0" shapeId="0" xr:uid="{16F4BFA6-D193-487B-AA0F-48C68DFD0313}">
      <text>
        <r>
          <rPr>
            <b/>
            <sz val="9"/>
            <color indexed="81"/>
            <rFont val="Tahoma"/>
            <family val="2"/>
          </rPr>
          <t>James Bennett:</t>
        </r>
        <r>
          <rPr>
            <sz val="9"/>
            <color indexed="81"/>
            <rFont val="Tahoma"/>
            <family val="2"/>
          </rPr>
          <t xml:space="preserve">
set at 2021/22 prices as trial tariff did not exist last year.  Per AER</t>
        </r>
      </text>
    </comment>
    <comment ref="K27" authorId="0" shapeId="0" xr:uid="{DADB312E-D72B-4C1B-B904-66DD03E2F29C}">
      <text>
        <r>
          <rPr>
            <b/>
            <sz val="9"/>
            <color indexed="81"/>
            <rFont val="Tahoma"/>
            <family val="2"/>
          </rPr>
          <t>James Bennett:</t>
        </r>
        <r>
          <rPr>
            <sz val="9"/>
            <color indexed="81"/>
            <rFont val="Tahoma"/>
            <family val="2"/>
          </rPr>
          <t xml:space="preserve">
set at 2021/22 prices as trial tariff did not exist last year.  Per AER</t>
        </r>
      </text>
    </comment>
    <comment ref="L34" authorId="0" shapeId="0" xr:uid="{9DD6F48F-059B-401B-8A3D-6A749F28121A}">
      <text>
        <r>
          <rPr>
            <b/>
            <sz val="9"/>
            <color indexed="81"/>
            <rFont val="Tahoma"/>
            <family val="2"/>
          </rPr>
          <t>James Bennett:</t>
        </r>
        <r>
          <rPr>
            <sz val="9"/>
            <color indexed="81"/>
            <rFont val="Tahoma"/>
            <family val="2"/>
          </rPr>
          <t xml:space="preserve">
rounding option</t>
        </r>
      </text>
    </comment>
    <comment ref="C129" authorId="0" shapeId="0" xr:uid="{1D61052A-6692-47BE-9844-B2C7215624C9}">
      <text>
        <r>
          <rPr>
            <b/>
            <sz val="9"/>
            <color indexed="81"/>
            <rFont val="Tahoma"/>
            <family val="2"/>
          </rPr>
          <t>James Bennett:</t>
        </r>
        <r>
          <rPr>
            <sz val="9"/>
            <color indexed="81"/>
            <rFont val="Tahoma"/>
            <family val="2"/>
          </rPr>
          <t xml:space="preserve">
merged with STN161 July 2021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A9DC1A9A-8655-4C54-870E-95E33457E4FF}">
      <text>
        <r>
          <rPr>
            <b/>
            <sz val="9"/>
            <color indexed="81"/>
            <rFont val="Tahoma"/>
            <family val="2"/>
          </rPr>
          <t>James Bennett:</t>
        </r>
        <r>
          <rPr>
            <sz val="9"/>
            <color indexed="81"/>
            <rFont val="Tahoma"/>
            <family val="2"/>
          </rPr>
          <t xml:space="preserve">
transition tariff</t>
        </r>
      </text>
    </comment>
    <comment ref="R15" authorId="0" shapeId="0" xr:uid="{84D4FCAB-69BE-400D-885C-D32D31BA107A}">
      <text>
        <r>
          <rPr>
            <b/>
            <sz val="9"/>
            <color indexed="81"/>
            <rFont val="Tahoma"/>
            <family val="2"/>
          </rPr>
          <t>James Bennett:</t>
        </r>
        <r>
          <rPr>
            <sz val="9"/>
            <color indexed="81"/>
            <rFont val="Tahoma"/>
            <family val="2"/>
          </rPr>
          <t xml:space="preserve">
transition tariff</t>
        </r>
      </text>
    </comment>
    <comment ref="AH15" authorId="0" shapeId="0" xr:uid="{997A406F-B490-4253-ACAA-EA6F2B1DA3D9}">
      <text>
        <r>
          <rPr>
            <b/>
            <sz val="9"/>
            <color indexed="81"/>
            <rFont val="Tahoma"/>
            <family val="2"/>
          </rPr>
          <t>James Bennett:</t>
        </r>
        <r>
          <rPr>
            <sz val="9"/>
            <color indexed="81"/>
            <rFont val="Tahoma"/>
            <family val="2"/>
          </rPr>
          <t xml:space="preserve">
transition tariff</t>
        </r>
      </text>
    </comment>
    <comment ref="AI15" authorId="0" shapeId="0" xr:uid="{4883A99B-6263-4F94-8C2F-D12C4A5C516C}">
      <text>
        <r>
          <rPr>
            <b/>
            <sz val="9"/>
            <color indexed="81"/>
            <rFont val="Tahoma"/>
            <family val="2"/>
          </rPr>
          <t>James Bennett:</t>
        </r>
        <r>
          <rPr>
            <sz val="9"/>
            <color indexed="81"/>
            <rFont val="Tahoma"/>
            <family val="2"/>
          </rPr>
          <t xml:space="preserve">
transition tariff</t>
        </r>
      </text>
    </comment>
    <comment ref="AY15" authorId="0" shapeId="0" xr:uid="{6C1BFC86-A64E-4AC5-814A-50898E7B805B}">
      <text>
        <r>
          <rPr>
            <b/>
            <sz val="9"/>
            <color indexed="81"/>
            <rFont val="Tahoma"/>
            <family val="2"/>
          </rPr>
          <t>James Bennett:</t>
        </r>
        <r>
          <rPr>
            <sz val="9"/>
            <color indexed="81"/>
            <rFont val="Tahoma"/>
            <family val="2"/>
          </rPr>
          <t xml:space="preserve">
transition tariff</t>
        </r>
      </text>
    </comment>
    <comment ref="AZ15" authorId="0" shapeId="0" xr:uid="{F70E857D-A73E-4E55-8E7E-45BF6250AC90}">
      <text>
        <r>
          <rPr>
            <b/>
            <sz val="9"/>
            <color indexed="81"/>
            <rFont val="Tahoma"/>
            <family val="2"/>
          </rPr>
          <t>James Bennett:</t>
        </r>
        <r>
          <rPr>
            <sz val="9"/>
            <color indexed="81"/>
            <rFont val="Tahoma"/>
            <family val="2"/>
          </rPr>
          <t xml:space="preserve">
transition tariff</t>
        </r>
      </text>
    </comment>
    <comment ref="G26" authorId="0" shapeId="0" xr:uid="{AFBF0C40-78D4-4CBD-943E-DF456C91F895}">
      <text>
        <r>
          <rPr>
            <b/>
            <sz val="9"/>
            <color indexed="81"/>
            <rFont val="Tahoma"/>
            <family val="2"/>
          </rPr>
          <t>James Bennett:</t>
        </r>
        <r>
          <rPr>
            <sz val="9"/>
            <color indexed="81"/>
            <rFont val="Tahoma"/>
            <family val="2"/>
          </rPr>
          <t xml:space="preserve">
set at 2021/22 prices as trial tariff did not exist last year.  Per AER</t>
        </r>
      </text>
    </comment>
    <comment ref="I26" authorId="0" shapeId="0" xr:uid="{EF6954EC-1681-4180-830B-8C4C8705476B}">
      <text>
        <r>
          <rPr>
            <b/>
            <sz val="9"/>
            <color indexed="81"/>
            <rFont val="Tahoma"/>
            <family val="2"/>
          </rPr>
          <t>James Bennett:</t>
        </r>
        <r>
          <rPr>
            <sz val="9"/>
            <color indexed="81"/>
            <rFont val="Tahoma"/>
            <family val="2"/>
          </rPr>
          <t xml:space="preserve">
set at 2021/22 prices as trial tariff did not exist last year.  Per AER</t>
        </r>
      </text>
    </comment>
    <comment ref="J26" authorId="0" shapeId="0" xr:uid="{5B8C6E99-9E6A-49F9-80C7-664F979FD20B}">
      <text>
        <r>
          <rPr>
            <b/>
            <sz val="9"/>
            <color indexed="81"/>
            <rFont val="Tahoma"/>
            <family val="2"/>
          </rPr>
          <t>James Bennett:</t>
        </r>
        <r>
          <rPr>
            <sz val="9"/>
            <color indexed="81"/>
            <rFont val="Tahoma"/>
            <family val="2"/>
          </rPr>
          <t xml:space="preserve">
set at 2021/22 prices as trial tariff did not exist last year.  Per AER</t>
        </r>
      </text>
    </comment>
    <comment ref="K26" authorId="0" shapeId="0" xr:uid="{F288D038-098E-4F1E-8512-EF0111A0DB91}">
      <text>
        <r>
          <rPr>
            <b/>
            <sz val="9"/>
            <color indexed="81"/>
            <rFont val="Tahoma"/>
            <family val="2"/>
          </rPr>
          <t>James Bennett:</t>
        </r>
        <r>
          <rPr>
            <sz val="9"/>
            <color indexed="81"/>
            <rFont val="Tahoma"/>
            <family val="2"/>
          </rPr>
          <t xml:space="preserve">
set at 2021/22 prices as trial tariff did not exist last year.  Per AER</t>
        </r>
      </text>
    </comment>
    <comment ref="G27" authorId="0" shapeId="0" xr:uid="{48FB68A6-12D1-4F8E-9007-94769E42E4FF}">
      <text>
        <r>
          <rPr>
            <b/>
            <sz val="9"/>
            <color indexed="81"/>
            <rFont val="Tahoma"/>
            <family val="2"/>
          </rPr>
          <t>James Bennett:</t>
        </r>
        <r>
          <rPr>
            <sz val="9"/>
            <color indexed="81"/>
            <rFont val="Tahoma"/>
            <family val="2"/>
          </rPr>
          <t xml:space="preserve">
set at 2021/22 prices as trial tariff did not exist last year.  Per AER</t>
        </r>
      </text>
    </comment>
    <comment ref="I27" authorId="0" shapeId="0" xr:uid="{53A0C100-EB7C-4C1D-81F6-80BD434964C3}">
      <text>
        <r>
          <rPr>
            <b/>
            <sz val="9"/>
            <color indexed="81"/>
            <rFont val="Tahoma"/>
            <family val="2"/>
          </rPr>
          <t>James Bennett:</t>
        </r>
        <r>
          <rPr>
            <sz val="9"/>
            <color indexed="81"/>
            <rFont val="Tahoma"/>
            <family val="2"/>
          </rPr>
          <t xml:space="preserve">
set at 2021/22 prices as trial tariff did not exist last year.  Per AER</t>
        </r>
      </text>
    </comment>
    <comment ref="J27" authorId="0" shapeId="0" xr:uid="{D979A172-4477-4D7E-B6A0-B411618EB2E2}">
      <text>
        <r>
          <rPr>
            <b/>
            <sz val="9"/>
            <color indexed="81"/>
            <rFont val="Tahoma"/>
            <family val="2"/>
          </rPr>
          <t>James Bennett:</t>
        </r>
        <r>
          <rPr>
            <sz val="9"/>
            <color indexed="81"/>
            <rFont val="Tahoma"/>
            <family val="2"/>
          </rPr>
          <t xml:space="preserve">
set at 2021/22 prices as trial tariff did not exist last year.  Per AER</t>
        </r>
      </text>
    </comment>
    <comment ref="K27" authorId="0" shapeId="0" xr:uid="{F01914D1-7D97-4781-919C-518A9939EBD9}">
      <text>
        <r>
          <rPr>
            <b/>
            <sz val="9"/>
            <color indexed="81"/>
            <rFont val="Tahoma"/>
            <family val="2"/>
          </rPr>
          <t>James Bennett:</t>
        </r>
        <r>
          <rPr>
            <sz val="9"/>
            <color indexed="81"/>
            <rFont val="Tahoma"/>
            <family val="2"/>
          </rPr>
          <t xml:space="preserve">
set at 2021/22 prices as trial tariff did not exist last year.  Per AER</t>
        </r>
      </text>
    </comment>
    <comment ref="C129" authorId="0" shapeId="0" xr:uid="{741BB085-ED92-471D-A5C7-2DE12E086A9E}">
      <text>
        <r>
          <rPr>
            <b/>
            <sz val="9"/>
            <color indexed="81"/>
            <rFont val="Tahoma"/>
            <family val="2"/>
          </rPr>
          <t>James Bennett:</t>
        </r>
        <r>
          <rPr>
            <sz val="9"/>
            <color indexed="81"/>
            <rFont val="Tahoma"/>
            <family val="2"/>
          </rPr>
          <t xml:space="preserve">
merged with STN161 July 2021</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James Bennett</author>
    <author>Kelly Bernhardt</author>
  </authors>
  <commentList>
    <comment ref="Q15" authorId="0" shapeId="0" xr:uid="{42D24568-469E-46D9-B084-4EF49BD66250}">
      <text>
        <r>
          <rPr>
            <b/>
            <sz val="9"/>
            <color indexed="81"/>
            <rFont val="Tahoma"/>
            <family val="2"/>
          </rPr>
          <t>James Bennett:</t>
        </r>
        <r>
          <rPr>
            <sz val="9"/>
            <color indexed="81"/>
            <rFont val="Tahoma"/>
            <family val="2"/>
          </rPr>
          <t xml:space="preserve">
transition tariff</t>
        </r>
      </text>
    </comment>
    <comment ref="R15" authorId="0" shapeId="0" xr:uid="{BFA980BF-C1DB-48B4-B866-B4CA0BC7DC7A}">
      <text>
        <r>
          <rPr>
            <b/>
            <sz val="9"/>
            <color indexed="81"/>
            <rFont val="Tahoma"/>
            <family val="2"/>
          </rPr>
          <t>James Bennett:</t>
        </r>
        <r>
          <rPr>
            <sz val="9"/>
            <color indexed="81"/>
            <rFont val="Tahoma"/>
            <family val="2"/>
          </rPr>
          <t xml:space="preserve">
transition tariff</t>
        </r>
      </text>
    </comment>
    <comment ref="C129" authorId="0" shapeId="0" xr:uid="{10AEE86D-BB8C-4D34-99C1-B52582D87592}">
      <text>
        <r>
          <rPr>
            <b/>
            <sz val="9"/>
            <color indexed="81"/>
            <rFont val="Tahoma"/>
            <family val="2"/>
          </rPr>
          <t>James Bennett:</t>
        </r>
        <r>
          <rPr>
            <sz val="9"/>
            <color indexed="81"/>
            <rFont val="Tahoma"/>
            <family val="2"/>
          </rPr>
          <t xml:space="preserve">
merged with STN161 July 2021</t>
        </r>
      </text>
    </comment>
    <comment ref="G170" authorId="1" shapeId="0" xr:uid="{7E071F8A-C00A-4335-AC8B-908F97AA32B2}">
      <text>
        <r>
          <rPr>
            <b/>
            <sz val="9"/>
            <color indexed="81"/>
            <rFont val="Tahoma"/>
            <family val="2"/>
          </rPr>
          <t>Incorporates forecast reductions as a result of COVID-19 Impacts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M10" authorId="0" shapeId="0" xr:uid="{D280D3E9-1079-4685-ABA3-64448A388708}">
      <text>
        <r>
          <rPr>
            <b/>
            <sz val="9"/>
            <color indexed="81"/>
            <rFont val="Tahoma"/>
            <family val="2"/>
          </rPr>
          <t>James Bennett:</t>
        </r>
        <r>
          <rPr>
            <sz val="9"/>
            <color indexed="81"/>
            <rFont val="Tahoma"/>
            <family val="2"/>
          </rPr>
          <t xml:space="preserve">
transition tariff</t>
        </r>
      </text>
    </comment>
    <comment ref="N10" authorId="0" shapeId="0" xr:uid="{70E7D780-CB58-4473-AAA7-31B0D9A6E84B}">
      <text>
        <r>
          <rPr>
            <b/>
            <sz val="9"/>
            <color indexed="81"/>
            <rFont val="Tahoma"/>
            <family val="2"/>
          </rPr>
          <t>James Bennett:</t>
        </r>
        <r>
          <rPr>
            <sz val="9"/>
            <color indexed="81"/>
            <rFont val="Tahoma"/>
            <family val="2"/>
          </rPr>
          <t xml:space="preserve">
transition tariff</t>
        </r>
      </text>
    </comment>
    <comment ref="AG10" authorId="0" shapeId="0" xr:uid="{F592BC09-C3B8-4C5F-8EA1-68CA2AC978E5}">
      <text>
        <r>
          <rPr>
            <b/>
            <sz val="9"/>
            <color indexed="81"/>
            <rFont val="Tahoma"/>
            <family val="2"/>
          </rPr>
          <t>James Bennett:</t>
        </r>
        <r>
          <rPr>
            <sz val="9"/>
            <color indexed="81"/>
            <rFont val="Tahoma"/>
            <family val="2"/>
          </rPr>
          <t xml:space="preserve">
transition tariff</t>
        </r>
      </text>
    </comment>
    <comment ref="AH10" authorId="0" shapeId="0" xr:uid="{90627647-7ED5-4D60-98AC-09F2ED6A8FEF}">
      <text>
        <r>
          <rPr>
            <b/>
            <sz val="9"/>
            <color indexed="81"/>
            <rFont val="Tahoma"/>
            <family val="2"/>
          </rPr>
          <t>James Bennett:</t>
        </r>
        <r>
          <rPr>
            <sz val="9"/>
            <color indexed="81"/>
            <rFont val="Tahoma"/>
            <family val="2"/>
          </rPr>
          <t xml:space="preserve">
transition tariff</t>
        </r>
      </text>
    </comment>
    <comment ref="BA10" authorId="0" shapeId="0" xr:uid="{56276611-0A2C-4A25-9E24-C088D87E045D}">
      <text>
        <r>
          <rPr>
            <b/>
            <sz val="9"/>
            <color indexed="81"/>
            <rFont val="Tahoma"/>
            <family val="2"/>
          </rPr>
          <t>James Bennett:</t>
        </r>
        <r>
          <rPr>
            <sz val="9"/>
            <color indexed="81"/>
            <rFont val="Tahoma"/>
            <family val="2"/>
          </rPr>
          <t xml:space="preserve">
transition tariff</t>
        </r>
      </text>
    </comment>
    <comment ref="BB10" authorId="0" shapeId="0" xr:uid="{6610FC54-A5EB-4C6F-A290-D8DCC93134ED}">
      <text>
        <r>
          <rPr>
            <b/>
            <sz val="9"/>
            <color indexed="81"/>
            <rFont val="Tahoma"/>
            <family val="2"/>
          </rPr>
          <t>James Bennett:</t>
        </r>
        <r>
          <rPr>
            <sz val="9"/>
            <color indexed="81"/>
            <rFont val="Tahoma"/>
            <family val="2"/>
          </rPr>
          <t xml:space="preserve">
transition tariff</t>
        </r>
      </text>
    </comment>
    <comment ref="BU10" authorId="0" shapeId="0" xr:uid="{27C6E3C7-ED19-4089-A11D-0FDF5A849660}">
      <text>
        <r>
          <rPr>
            <b/>
            <sz val="9"/>
            <color indexed="81"/>
            <rFont val="Tahoma"/>
            <family val="2"/>
          </rPr>
          <t>James Bennett:</t>
        </r>
        <r>
          <rPr>
            <sz val="9"/>
            <color indexed="81"/>
            <rFont val="Tahoma"/>
            <family val="2"/>
          </rPr>
          <t xml:space="preserve">
transition tariff</t>
        </r>
      </text>
    </comment>
    <comment ref="BV10" authorId="0" shapeId="0" xr:uid="{52B38D4E-315E-48DC-A365-0DD7656DECC2}">
      <text>
        <r>
          <rPr>
            <b/>
            <sz val="9"/>
            <color indexed="81"/>
            <rFont val="Tahoma"/>
            <family val="2"/>
          </rPr>
          <t>James Bennett:</t>
        </r>
        <r>
          <rPr>
            <sz val="9"/>
            <color indexed="81"/>
            <rFont val="Tahoma"/>
            <family val="2"/>
          </rPr>
          <t xml:space="preserve">
transition tariff</t>
        </r>
      </text>
    </comment>
    <comment ref="M56" authorId="0" shapeId="0" xr:uid="{EA3593A3-2192-4B2F-B0CF-5BFE12B45011}">
      <text>
        <r>
          <rPr>
            <b/>
            <sz val="9"/>
            <color indexed="81"/>
            <rFont val="Tahoma"/>
            <family val="2"/>
          </rPr>
          <t>James Bennett:</t>
        </r>
        <r>
          <rPr>
            <sz val="9"/>
            <color indexed="81"/>
            <rFont val="Tahoma"/>
            <family val="2"/>
          </rPr>
          <t xml:space="preserve">
transition tariff</t>
        </r>
      </text>
    </comment>
    <comment ref="N56" authorId="0" shapeId="0" xr:uid="{00EDA14C-BD5C-4E59-A65D-6D03C734F532}">
      <text>
        <r>
          <rPr>
            <b/>
            <sz val="9"/>
            <color indexed="81"/>
            <rFont val="Tahoma"/>
            <family val="2"/>
          </rPr>
          <t>James Bennett:</t>
        </r>
        <r>
          <rPr>
            <sz val="9"/>
            <color indexed="81"/>
            <rFont val="Tahoma"/>
            <family val="2"/>
          </rPr>
          <t xml:space="preserve">
transition tariff</t>
        </r>
      </text>
    </comment>
    <comment ref="AG56" authorId="0" shapeId="0" xr:uid="{8FE2174B-8895-46D2-A99E-D2AB54891087}">
      <text>
        <r>
          <rPr>
            <b/>
            <sz val="9"/>
            <color indexed="81"/>
            <rFont val="Tahoma"/>
            <family val="2"/>
          </rPr>
          <t>James Bennett:</t>
        </r>
        <r>
          <rPr>
            <sz val="9"/>
            <color indexed="81"/>
            <rFont val="Tahoma"/>
            <family val="2"/>
          </rPr>
          <t xml:space="preserve">
transition tariff</t>
        </r>
      </text>
    </comment>
    <comment ref="AH56" authorId="0" shapeId="0" xr:uid="{ADEE26D4-AAFC-4F97-A8D2-29624E985EE3}">
      <text>
        <r>
          <rPr>
            <b/>
            <sz val="9"/>
            <color indexed="81"/>
            <rFont val="Tahoma"/>
            <family val="2"/>
          </rPr>
          <t>James Bennett:</t>
        </r>
        <r>
          <rPr>
            <sz val="9"/>
            <color indexed="81"/>
            <rFont val="Tahoma"/>
            <family val="2"/>
          </rPr>
          <t xml:space="preserve">
transition tariff</t>
        </r>
      </text>
    </comment>
    <comment ref="BA56" authorId="0" shapeId="0" xr:uid="{70A443D5-7E31-4828-8856-0A3248DF8EBB}">
      <text>
        <r>
          <rPr>
            <b/>
            <sz val="9"/>
            <color indexed="81"/>
            <rFont val="Tahoma"/>
            <family val="2"/>
          </rPr>
          <t>James Bennett:</t>
        </r>
        <r>
          <rPr>
            <sz val="9"/>
            <color indexed="81"/>
            <rFont val="Tahoma"/>
            <family val="2"/>
          </rPr>
          <t xml:space="preserve">
transition tariff</t>
        </r>
      </text>
    </comment>
    <comment ref="BB56" authorId="0" shapeId="0" xr:uid="{CF628D4F-605B-4EDB-8590-19B2857AF047}">
      <text>
        <r>
          <rPr>
            <b/>
            <sz val="9"/>
            <color indexed="81"/>
            <rFont val="Tahoma"/>
            <family val="2"/>
          </rPr>
          <t>James Bennett:</t>
        </r>
        <r>
          <rPr>
            <sz val="9"/>
            <color indexed="81"/>
            <rFont val="Tahoma"/>
            <family val="2"/>
          </rPr>
          <t xml:space="preserve">
transition tariff</t>
        </r>
      </text>
    </comment>
    <comment ref="BU56" authorId="0" shapeId="0" xr:uid="{2C602066-7ADF-4657-85B1-72206511160C}">
      <text>
        <r>
          <rPr>
            <b/>
            <sz val="9"/>
            <color indexed="81"/>
            <rFont val="Tahoma"/>
            <family val="2"/>
          </rPr>
          <t>James Bennett:</t>
        </r>
        <r>
          <rPr>
            <sz val="9"/>
            <color indexed="81"/>
            <rFont val="Tahoma"/>
            <family val="2"/>
          </rPr>
          <t xml:space="preserve">
transition tariff</t>
        </r>
      </text>
    </comment>
    <comment ref="BV56" authorId="0" shapeId="0" xr:uid="{FC7398E8-1DAA-4722-9AE4-2AB6824223AA}">
      <text>
        <r>
          <rPr>
            <b/>
            <sz val="9"/>
            <color indexed="81"/>
            <rFont val="Tahoma"/>
            <family val="2"/>
          </rPr>
          <t>James Bennett:</t>
        </r>
        <r>
          <rPr>
            <sz val="9"/>
            <color indexed="81"/>
            <rFont val="Tahoma"/>
            <family val="2"/>
          </rPr>
          <t xml:space="preserve">
transition tariff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Kelly Bernhardt</author>
    <author>James Bennett</author>
  </authors>
  <commentList>
    <comment ref="C68" authorId="0" shapeId="0" xr:uid="{2138CFF4-4E82-473D-A262-F256A3C8B6C8}">
      <text>
        <r>
          <rPr>
            <b/>
            <sz val="9"/>
            <color indexed="81"/>
            <rFont val="Tahoma"/>
            <family val="2"/>
          </rPr>
          <t xml:space="preserve">Single-rate is the equivalent of:
</t>
        </r>
        <r>
          <rPr>
            <b/>
            <sz val="9"/>
            <color indexed="81"/>
            <rFont val="Tahoma"/>
            <family val="2"/>
          </rPr>
          <t>two-rate peak 77.5%
two-rate off-peak 22.5%</t>
        </r>
      </text>
    </comment>
    <comment ref="G85" authorId="1" shapeId="0" xr:uid="{71D75126-1915-4599-AD42-8EE0338380AE}">
      <text>
        <r>
          <rPr>
            <b/>
            <sz val="9"/>
            <color indexed="81"/>
            <rFont val="Tahoma"/>
            <family val="2"/>
          </rPr>
          <t>James Bennett:</t>
        </r>
        <r>
          <rPr>
            <sz val="9"/>
            <color indexed="81"/>
            <rFont val="Tahoma"/>
            <family val="2"/>
          </rPr>
          <t xml:space="preserve">
SBD</t>
        </r>
      </text>
    </comment>
    <comment ref="J85" authorId="1" shapeId="0" xr:uid="{532DCC34-B91C-4270-B682-AF652DE3CB67}">
      <text>
        <r>
          <rPr>
            <b/>
            <sz val="9"/>
            <color indexed="81"/>
            <rFont val="Tahoma"/>
            <family val="2"/>
          </rPr>
          <t>James Bennett:</t>
        </r>
        <r>
          <rPr>
            <sz val="9"/>
            <color indexed="81"/>
            <rFont val="Tahoma"/>
            <family val="2"/>
          </rPr>
          <t xml:space="preserve">
BD</t>
        </r>
      </text>
    </comment>
    <comment ref="K85" authorId="1" shapeId="0" xr:uid="{DD63DCD2-7B36-4D5D-9A46-214AC31E58E2}">
      <text>
        <r>
          <rPr>
            <b/>
            <sz val="9"/>
            <color indexed="81"/>
            <rFont val="Tahoma"/>
            <family val="2"/>
          </rPr>
          <t>James Bennett:</t>
        </r>
        <r>
          <rPr>
            <sz val="9"/>
            <color indexed="81"/>
            <rFont val="Tahoma"/>
            <family val="2"/>
          </rPr>
          <t xml:space="preserve">
HBD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B56" authorId="0" shapeId="0" xr:uid="{B47CF3F8-1F7F-40AA-8552-6C8F054681C5}">
      <text>
        <r>
          <rPr>
            <b/>
            <sz val="9"/>
            <color indexed="81"/>
            <rFont val="Tahoma"/>
            <family val="2"/>
          </rPr>
          <t>Difference between accrued unread at 30 June and actual payments post 1 July</t>
        </r>
      </text>
    </comment>
    <comment ref="B72" authorId="0" shapeId="0" xr:uid="{F1545257-8293-41C9-9D6C-6EEECE52AF7B}">
      <text>
        <r>
          <rPr>
            <b/>
            <sz val="9"/>
            <color indexed="81"/>
            <rFont val="Tahoma"/>
            <family val="2"/>
          </rPr>
          <t>Difference between accrued unread at 30 June and actual payments post 1 July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Bennett</author>
    <author>Kelly Bernhardt</author>
  </authors>
  <commentList>
    <comment ref="I16" authorId="0" shapeId="0" xr:uid="{19556FE6-C70C-4DA3-80D1-986D009F9B89}">
      <text>
        <r>
          <rPr>
            <b/>
            <sz val="9"/>
            <color indexed="81"/>
            <rFont val="Tahoma"/>
            <family val="2"/>
          </rPr>
          <t>James Bennett:</t>
        </r>
        <r>
          <rPr>
            <sz val="9"/>
            <color indexed="81"/>
            <rFont val="Tahoma"/>
            <family val="2"/>
          </rPr>
          <t xml:space="preserve">
stpis included within AARt</t>
        </r>
      </text>
    </comment>
    <comment ref="J16" authorId="0" shapeId="0" xr:uid="{41A5AFF7-EE93-41EA-BBFD-1D4A33706156}">
      <text>
        <r>
          <rPr>
            <b/>
            <sz val="9"/>
            <color indexed="81"/>
            <rFont val="Tahoma"/>
            <family val="2"/>
          </rPr>
          <t>James Bennett:</t>
        </r>
        <r>
          <rPr>
            <sz val="9"/>
            <color indexed="81"/>
            <rFont val="Tahoma"/>
            <family val="2"/>
          </rPr>
          <t xml:space="preserve">
stpis included within AARt</t>
        </r>
      </text>
    </comment>
    <comment ref="B24" authorId="1" shapeId="0" xr:uid="{CDAE9ACC-B02F-40E0-A184-2771DB130107}">
      <text>
        <r>
          <rPr>
            <b/>
            <sz val="9"/>
            <color indexed="81"/>
            <rFont val="Tahoma"/>
            <family val="2"/>
          </rPr>
          <t>Revenue input for year t, when year one of a new RCP.</t>
        </r>
      </text>
    </comment>
    <comment ref="N24" authorId="1" shapeId="0" xr:uid="{57415031-0617-474E-9EEB-232F45919BE5}">
      <text>
        <r>
          <rPr>
            <b/>
            <sz val="9"/>
            <color indexed="81"/>
            <rFont val="Tahoma"/>
            <family val="2"/>
          </rPr>
          <t xml:space="preserve">Refer to formula worksheet - Side constraint formula </t>
        </r>
        <r>
          <rPr>
            <sz val="9"/>
            <color indexed="81"/>
            <rFont val="Tahoma"/>
            <family val="2"/>
          </rPr>
          <t xml:space="preserve">No Side constraint controls not applicable for year 1
Formula for years 2 and 3 differ to 4 and 5. 
To be factored into 2021/22 APP.
</t>
        </r>
      </text>
    </comment>
    <comment ref="C32" authorId="0" shapeId="0" xr:uid="{21DBA9CB-563A-43B7-B3A3-7A4E894AFE42}">
      <text>
        <r>
          <rPr>
            <b/>
            <sz val="9"/>
            <color indexed="81"/>
            <rFont val="Tahoma"/>
            <family val="2"/>
          </rPr>
          <t>James Bennett:</t>
        </r>
        <r>
          <rPr>
            <sz val="9"/>
            <color indexed="81"/>
            <rFont val="Tahoma"/>
            <family val="2"/>
          </rPr>
          <t xml:space="preserve">
in year 2, STPIS is part of AARt.  In years 3, 4 and 5 it is part of It.
Hence 0 for 2021/22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C7FE0B10-2E71-4D33-A435-8BB5DA516BC3}">
      <text>
        <r>
          <rPr>
            <b/>
            <sz val="9"/>
            <color indexed="81"/>
            <rFont val="Tahoma"/>
            <family val="2"/>
          </rPr>
          <t>James Bennett:</t>
        </r>
        <r>
          <rPr>
            <sz val="9"/>
            <color indexed="81"/>
            <rFont val="Tahoma"/>
            <family val="2"/>
          </rPr>
          <t xml:space="preserve">
transition tariff</t>
        </r>
      </text>
    </comment>
    <comment ref="R15" authorId="0" shapeId="0" xr:uid="{E7AE6D37-563E-4AB3-8DE4-DC512C3B30FF}">
      <text>
        <r>
          <rPr>
            <b/>
            <sz val="9"/>
            <color indexed="81"/>
            <rFont val="Tahoma"/>
            <family val="2"/>
          </rPr>
          <t>James Bennett:</t>
        </r>
        <r>
          <rPr>
            <sz val="9"/>
            <color indexed="81"/>
            <rFont val="Tahoma"/>
            <family val="2"/>
          </rPr>
          <t xml:space="preserve">
transition tariff</t>
        </r>
      </text>
    </comment>
    <comment ref="AH15" authorId="0" shapeId="0" xr:uid="{AFE6D6A3-2219-4445-927E-164B766EF9B7}">
      <text>
        <r>
          <rPr>
            <b/>
            <sz val="9"/>
            <color indexed="81"/>
            <rFont val="Tahoma"/>
            <family val="2"/>
          </rPr>
          <t>James Bennett:</t>
        </r>
        <r>
          <rPr>
            <sz val="9"/>
            <color indexed="81"/>
            <rFont val="Tahoma"/>
            <family val="2"/>
          </rPr>
          <t xml:space="preserve">
transition tariff</t>
        </r>
      </text>
    </comment>
    <comment ref="AI15" authorId="0" shapeId="0" xr:uid="{6E6AE545-D684-47AC-BA40-12A8ADE45C47}">
      <text>
        <r>
          <rPr>
            <b/>
            <sz val="9"/>
            <color indexed="81"/>
            <rFont val="Tahoma"/>
            <family val="2"/>
          </rPr>
          <t>James Bennett:</t>
        </r>
        <r>
          <rPr>
            <sz val="9"/>
            <color indexed="81"/>
            <rFont val="Tahoma"/>
            <family val="2"/>
          </rPr>
          <t xml:space="preserve">
transition tariff</t>
        </r>
      </text>
    </comment>
    <comment ref="AY15" authorId="0" shapeId="0" xr:uid="{B0C04554-0653-46FE-9CA5-16ACCD8E046E}">
      <text>
        <r>
          <rPr>
            <b/>
            <sz val="9"/>
            <color indexed="81"/>
            <rFont val="Tahoma"/>
            <family val="2"/>
          </rPr>
          <t>James Bennett:</t>
        </r>
        <r>
          <rPr>
            <sz val="9"/>
            <color indexed="81"/>
            <rFont val="Tahoma"/>
            <family val="2"/>
          </rPr>
          <t xml:space="preserve">
transition tariff</t>
        </r>
      </text>
    </comment>
    <comment ref="AZ15" authorId="0" shapeId="0" xr:uid="{7A379CB6-E5C5-4555-A671-AA014C342C3D}">
      <text>
        <r>
          <rPr>
            <b/>
            <sz val="9"/>
            <color indexed="81"/>
            <rFont val="Tahoma"/>
            <family val="2"/>
          </rPr>
          <t>James Bennett:</t>
        </r>
        <r>
          <rPr>
            <sz val="9"/>
            <color indexed="81"/>
            <rFont val="Tahoma"/>
            <family val="2"/>
          </rPr>
          <t xml:space="preserve">
transition tariff</t>
        </r>
      </text>
    </comment>
    <comment ref="I26" authorId="0" shapeId="0" xr:uid="{230A10D7-1FA2-4B88-98F1-879D9B25AD48}">
      <text>
        <r>
          <rPr>
            <b/>
            <sz val="9"/>
            <color indexed="81"/>
            <rFont val="Tahoma"/>
            <family val="2"/>
          </rPr>
          <t>James Bennett:</t>
        </r>
        <r>
          <rPr>
            <sz val="9"/>
            <color indexed="81"/>
            <rFont val="Tahoma"/>
            <family val="2"/>
          </rPr>
          <t xml:space="preserve">
links to single rate multiple
</t>
        </r>
      </text>
    </comment>
    <comment ref="J26" authorId="0" shapeId="0" xr:uid="{931F34FD-E9B7-496F-8EBB-97B3928085D2}">
      <text>
        <r>
          <rPr>
            <b/>
            <sz val="9"/>
            <color indexed="81"/>
            <rFont val="Tahoma"/>
            <family val="2"/>
          </rPr>
          <t>James Bennett:</t>
        </r>
        <r>
          <rPr>
            <sz val="9"/>
            <color indexed="81"/>
            <rFont val="Tahoma"/>
            <family val="2"/>
          </rPr>
          <t xml:space="preserve">
shoulder for TOU+
links to single rate multiple</t>
        </r>
      </text>
    </comment>
    <comment ref="K26" authorId="0" shapeId="0" xr:uid="{EE759B4C-A87E-49B2-B92E-2C023C73903D}">
      <text>
        <r>
          <rPr>
            <b/>
            <sz val="9"/>
            <color indexed="81"/>
            <rFont val="Tahoma"/>
            <family val="2"/>
          </rPr>
          <t>James Bennett:</t>
        </r>
        <r>
          <rPr>
            <sz val="9"/>
            <color indexed="81"/>
            <rFont val="Tahoma"/>
            <family val="2"/>
          </rPr>
          <t xml:space="preserve">
links to Pro Solar Sponge</t>
        </r>
      </text>
    </comment>
    <comment ref="C129" authorId="0" shapeId="0" xr:uid="{737BB574-68D1-45EF-BFB3-C7E867F60D2D}">
      <text>
        <r>
          <rPr>
            <b/>
            <sz val="9"/>
            <color indexed="81"/>
            <rFont val="Tahoma"/>
            <family val="2"/>
          </rPr>
          <t>James Bennett:</t>
        </r>
        <r>
          <rPr>
            <sz val="9"/>
            <color indexed="81"/>
            <rFont val="Tahoma"/>
            <family val="2"/>
          </rPr>
          <t xml:space="preserve">
merged with STN161 July 2021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13DB3B4E-A150-4F99-A6FE-5D5C4F43745B}">
      <text>
        <r>
          <rPr>
            <b/>
            <sz val="9"/>
            <color indexed="81"/>
            <rFont val="Tahoma"/>
            <family val="2"/>
          </rPr>
          <t>James Bennett:</t>
        </r>
        <r>
          <rPr>
            <sz val="9"/>
            <color indexed="81"/>
            <rFont val="Tahoma"/>
            <family val="2"/>
          </rPr>
          <t xml:space="preserve">
transition tariff</t>
        </r>
      </text>
    </comment>
    <comment ref="R15" authorId="0" shapeId="0" xr:uid="{F9CFE3B3-4B16-448A-BB6D-EE57BCDF66DA}">
      <text>
        <r>
          <rPr>
            <b/>
            <sz val="9"/>
            <color indexed="81"/>
            <rFont val="Tahoma"/>
            <family val="2"/>
          </rPr>
          <t>James Bennett:</t>
        </r>
        <r>
          <rPr>
            <sz val="9"/>
            <color indexed="81"/>
            <rFont val="Tahoma"/>
            <family val="2"/>
          </rPr>
          <t xml:space="preserve">
transition tariff</t>
        </r>
      </text>
    </comment>
    <comment ref="AH15" authorId="0" shapeId="0" xr:uid="{EAC23CD3-CABD-4C09-9416-9E32BC5CC030}">
      <text>
        <r>
          <rPr>
            <b/>
            <sz val="9"/>
            <color indexed="81"/>
            <rFont val="Tahoma"/>
            <family val="2"/>
          </rPr>
          <t>James Bennett:</t>
        </r>
        <r>
          <rPr>
            <sz val="9"/>
            <color indexed="81"/>
            <rFont val="Tahoma"/>
            <family val="2"/>
          </rPr>
          <t xml:space="preserve">
transition tariff</t>
        </r>
      </text>
    </comment>
    <comment ref="AI15" authorId="0" shapeId="0" xr:uid="{486F6FCB-BF59-48FE-B035-50B307022D50}">
      <text>
        <r>
          <rPr>
            <b/>
            <sz val="9"/>
            <color indexed="81"/>
            <rFont val="Tahoma"/>
            <family val="2"/>
          </rPr>
          <t>James Bennett:</t>
        </r>
        <r>
          <rPr>
            <sz val="9"/>
            <color indexed="81"/>
            <rFont val="Tahoma"/>
            <family val="2"/>
          </rPr>
          <t xml:space="preserve">
transition tariff</t>
        </r>
      </text>
    </comment>
    <comment ref="AY15" authorId="0" shapeId="0" xr:uid="{5564483E-6A17-4649-B211-5067A09DA558}">
      <text>
        <r>
          <rPr>
            <b/>
            <sz val="9"/>
            <color indexed="81"/>
            <rFont val="Tahoma"/>
            <family val="2"/>
          </rPr>
          <t>James Bennett:</t>
        </r>
        <r>
          <rPr>
            <sz val="9"/>
            <color indexed="81"/>
            <rFont val="Tahoma"/>
            <family val="2"/>
          </rPr>
          <t xml:space="preserve">
transition tariff</t>
        </r>
      </text>
    </comment>
    <comment ref="AZ15" authorId="0" shapeId="0" xr:uid="{EDDB28FE-30CF-4B77-96D7-1DA610BF104F}">
      <text>
        <r>
          <rPr>
            <b/>
            <sz val="9"/>
            <color indexed="81"/>
            <rFont val="Tahoma"/>
            <family val="2"/>
          </rPr>
          <t>James Bennett:</t>
        </r>
        <r>
          <rPr>
            <sz val="9"/>
            <color indexed="81"/>
            <rFont val="Tahoma"/>
            <family val="2"/>
          </rPr>
          <t xml:space="preserve">
transition tariff</t>
        </r>
      </text>
    </comment>
    <comment ref="I26" authorId="0" shapeId="0" xr:uid="{3F009067-C833-498A-9C41-C261868EE188}">
      <text>
        <r>
          <rPr>
            <b/>
            <sz val="9"/>
            <color indexed="81"/>
            <rFont val="Tahoma"/>
            <family val="2"/>
          </rPr>
          <t>James Bennett:</t>
        </r>
        <r>
          <rPr>
            <sz val="9"/>
            <color indexed="81"/>
            <rFont val="Tahoma"/>
            <family val="2"/>
          </rPr>
          <t xml:space="preserve">
links to single rate multiple
</t>
        </r>
      </text>
    </comment>
    <comment ref="J26" authorId="0" shapeId="0" xr:uid="{702A8CE0-CD54-471C-A5E9-8A00BE815111}">
      <text>
        <r>
          <rPr>
            <b/>
            <sz val="9"/>
            <color indexed="81"/>
            <rFont val="Tahoma"/>
            <family val="2"/>
          </rPr>
          <t>James Bennett:</t>
        </r>
        <r>
          <rPr>
            <sz val="9"/>
            <color indexed="81"/>
            <rFont val="Tahoma"/>
            <family val="2"/>
          </rPr>
          <t xml:space="preserve">
shoulder for TOU+
links to single rate multiple</t>
        </r>
      </text>
    </comment>
    <comment ref="K26" authorId="0" shapeId="0" xr:uid="{3A31E8C3-4D15-4FF0-B3AE-D1F070DDD103}">
      <text>
        <r>
          <rPr>
            <b/>
            <sz val="9"/>
            <color indexed="81"/>
            <rFont val="Tahoma"/>
            <family val="2"/>
          </rPr>
          <t>James Bennett:</t>
        </r>
        <r>
          <rPr>
            <sz val="9"/>
            <color indexed="81"/>
            <rFont val="Tahoma"/>
            <family val="2"/>
          </rPr>
          <t xml:space="preserve">
links to Pro Solar Sponge</t>
        </r>
      </text>
    </comment>
    <comment ref="C129" authorId="0" shapeId="0" xr:uid="{57878F07-6B25-4637-A1CF-FD6C45AD59D0}">
      <text>
        <r>
          <rPr>
            <b/>
            <sz val="9"/>
            <color indexed="81"/>
            <rFont val="Tahoma"/>
            <family val="2"/>
          </rPr>
          <t>James Bennett:</t>
        </r>
        <r>
          <rPr>
            <sz val="9"/>
            <color indexed="81"/>
            <rFont val="Tahoma"/>
            <family val="2"/>
          </rPr>
          <t xml:space="preserve">
merged with STN161 July 2021</t>
        </r>
      </text>
    </comment>
    <comment ref="BW136" authorId="0" shapeId="0" xr:uid="{F21F4116-29C8-4D6A-BDC3-295C8F470E88}">
      <text>
        <r>
          <rPr>
            <b/>
            <sz val="9"/>
            <color indexed="81"/>
            <rFont val="Tahoma"/>
            <family val="2"/>
          </rPr>
          <t>James Bennett:</t>
        </r>
        <r>
          <rPr>
            <sz val="9"/>
            <color indexed="81"/>
            <rFont val="Tahoma"/>
            <family val="2"/>
          </rPr>
          <t xml:space="preserve">
of total TUoS</t>
        </r>
      </text>
    </comment>
    <comment ref="BV137" authorId="0" shapeId="0" xr:uid="{5730E590-9B88-499A-AD21-CA300A672F2B}">
      <text>
        <r>
          <rPr>
            <b/>
            <sz val="9"/>
            <color indexed="81"/>
            <rFont val="Tahoma"/>
            <family val="2"/>
          </rPr>
          <t>James Bennett:</t>
        </r>
        <r>
          <rPr>
            <sz val="9"/>
            <color indexed="81"/>
            <rFont val="Tahoma"/>
            <family val="2"/>
          </rPr>
          <t xml:space="preserve">
of major business TUoS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962E2783-4DA4-4C87-8190-9FDA7D9FB5EE}">
      <text>
        <r>
          <rPr>
            <b/>
            <sz val="9"/>
            <color indexed="81"/>
            <rFont val="Tahoma"/>
            <family val="2"/>
          </rPr>
          <t>James Bennett:</t>
        </r>
        <r>
          <rPr>
            <sz val="9"/>
            <color indexed="81"/>
            <rFont val="Tahoma"/>
            <family val="2"/>
          </rPr>
          <t xml:space="preserve">
transition tariff</t>
        </r>
      </text>
    </comment>
    <comment ref="R15" authorId="0" shapeId="0" xr:uid="{EBDCE283-972C-483A-A1B9-F3478FEAA330}">
      <text>
        <r>
          <rPr>
            <b/>
            <sz val="9"/>
            <color indexed="81"/>
            <rFont val="Tahoma"/>
            <family val="2"/>
          </rPr>
          <t>James Bennett:</t>
        </r>
        <r>
          <rPr>
            <sz val="9"/>
            <color indexed="81"/>
            <rFont val="Tahoma"/>
            <family val="2"/>
          </rPr>
          <t xml:space="preserve">
transition tariff</t>
        </r>
      </text>
    </comment>
    <comment ref="AH15" authorId="0" shapeId="0" xr:uid="{E1383C6A-851F-4F3B-B0FD-C25B22253A04}">
      <text>
        <r>
          <rPr>
            <b/>
            <sz val="9"/>
            <color indexed="81"/>
            <rFont val="Tahoma"/>
            <family val="2"/>
          </rPr>
          <t>James Bennett:</t>
        </r>
        <r>
          <rPr>
            <sz val="9"/>
            <color indexed="81"/>
            <rFont val="Tahoma"/>
            <family val="2"/>
          </rPr>
          <t xml:space="preserve">
transition tariff</t>
        </r>
      </text>
    </comment>
    <comment ref="AI15" authorId="0" shapeId="0" xr:uid="{D67C0B98-03EE-4970-AF5F-F56C79D2F250}">
      <text>
        <r>
          <rPr>
            <b/>
            <sz val="9"/>
            <color indexed="81"/>
            <rFont val="Tahoma"/>
            <family val="2"/>
          </rPr>
          <t>James Bennett:</t>
        </r>
        <r>
          <rPr>
            <sz val="9"/>
            <color indexed="81"/>
            <rFont val="Tahoma"/>
            <family val="2"/>
          </rPr>
          <t xml:space="preserve">
transition tariff</t>
        </r>
      </text>
    </comment>
    <comment ref="AY15" authorId="0" shapeId="0" xr:uid="{0D6FF9C7-948A-44E5-87DC-23B172B76E17}">
      <text>
        <r>
          <rPr>
            <b/>
            <sz val="9"/>
            <color indexed="81"/>
            <rFont val="Tahoma"/>
            <family val="2"/>
          </rPr>
          <t>James Bennett:</t>
        </r>
        <r>
          <rPr>
            <sz val="9"/>
            <color indexed="81"/>
            <rFont val="Tahoma"/>
            <family val="2"/>
          </rPr>
          <t xml:space="preserve">
transition tariff</t>
        </r>
      </text>
    </comment>
    <comment ref="AZ15" authorId="0" shapeId="0" xr:uid="{3ACA979B-DFBF-437A-BB21-CF3A0B6DCA62}">
      <text>
        <r>
          <rPr>
            <b/>
            <sz val="9"/>
            <color indexed="81"/>
            <rFont val="Tahoma"/>
            <family val="2"/>
          </rPr>
          <t>James Bennett:</t>
        </r>
        <r>
          <rPr>
            <sz val="9"/>
            <color indexed="81"/>
            <rFont val="Tahoma"/>
            <family val="2"/>
          </rPr>
          <t xml:space="preserve">
transition tariff</t>
        </r>
      </text>
    </comment>
    <comment ref="I26" authorId="0" shapeId="0" xr:uid="{962FC3FB-8634-4990-A432-1662E591A8E3}">
      <text>
        <r>
          <rPr>
            <b/>
            <sz val="9"/>
            <color indexed="81"/>
            <rFont val="Tahoma"/>
            <family val="2"/>
          </rPr>
          <t>James Bennett:</t>
        </r>
        <r>
          <rPr>
            <sz val="9"/>
            <color indexed="81"/>
            <rFont val="Tahoma"/>
            <family val="2"/>
          </rPr>
          <t xml:space="preserve">
links to single rate multiple
</t>
        </r>
      </text>
    </comment>
    <comment ref="J26" authorId="0" shapeId="0" xr:uid="{05889E34-D9F5-4DC4-93C2-0C5FE50C2BAF}">
      <text>
        <r>
          <rPr>
            <b/>
            <sz val="9"/>
            <color indexed="81"/>
            <rFont val="Tahoma"/>
            <family val="2"/>
          </rPr>
          <t>James Bennett:</t>
        </r>
        <r>
          <rPr>
            <sz val="9"/>
            <color indexed="81"/>
            <rFont val="Tahoma"/>
            <family val="2"/>
          </rPr>
          <t xml:space="preserve">
shoulder for TOU+
links to single rate multiple</t>
        </r>
      </text>
    </comment>
    <comment ref="K26" authorId="0" shapeId="0" xr:uid="{9CB2C6A4-9127-4308-A53A-2755017F62B2}">
      <text>
        <r>
          <rPr>
            <b/>
            <sz val="9"/>
            <color indexed="81"/>
            <rFont val="Tahoma"/>
            <family val="2"/>
          </rPr>
          <t>James Bennett:</t>
        </r>
        <r>
          <rPr>
            <sz val="9"/>
            <color indexed="81"/>
            <rFont val="Tahoma"/>
            <family val="2"/>
          </rPr>
          <t xml:space="preserve">
links to Pro Solar Sponge</t>
        </r>
      </text>
    </comment>
    <comment ref="H30" authorId="0" shapeId="0" xr:uid="{9A8A3B6A-FE0B-46A7-92EC-F882FEB9AD9B}">
      <text>
        <r>
          <rPr>
            <b/>
            <sz val="9"/>
            <color indexed="81"/>
            <rFont val="Tahoma"/>
            <family val="2"/>
          </rPr>
          <t>James Bennett:</t>
        </r>
        <r>
          <rPr>
            <sz val="9"/>
            <color indexed="81"/>
            <rFont val="Tahoma"/>
            <family val="2"/>
          </rPr>
          <t xml:space="preserve">
adjusted by 0.0001 c/kWh rounding</t>
        </r>
      </text>
    </comment>
    <comment ref="H31" authorId="0" shapeId="0" xr:uid="{0DB5CB56-7C74-4C05-949B-0EDC0788FBE7}">
      <text>
        <r>
          <rPr>
            <b/>
            <sz val="9"/>
            <color indexed="81"/>
            <rFont val="Tahoma"/>
            <family val="2"/>
          </rPr>
          <t>James Bennett:</t>
        </r>
        <r>
          <rPr>
            <sz val="9"/>
            <color indexed="81"/>
            <rFont val="Tahoma"/>
            <family val="2"/>
          </rPr>
          <t xml:space="preserve">
adjusted by 0.0001 c/kWh rounding</t>
        </r>
      </text>
    </comment>
    <comment ref="C129" authorId="0" shapeId="0" xr:uid="{ED49916B-9F1B-412C-8EB1-BA72BF39380F}">
      <text>
        <r>
          <rPr>
            <b/>
            <sz val="9"/>
            <color indexed="81"/>
            <rFont val="Tahoma"/>
            <family val="2"/>
          </rPr>
          <t>James Bennett:</t>
        </r>
        <r>
          <rPr>
            <sz val="9"/>
            <color indexed="81"/>
            <rFont val="Tahoma"/>
            <family val="2"/>
          </rPr>
          <t xml:space="preserve">
merged with STN161 July 2021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F6D605D1-101B-440C-AD5E-90129F5BF13E}">
      <text>
        <r>
          <rPr>
            <b/>
            <sz val="9"/>
            <color indexed="81"/>
            <rFont val="Tahoma"/>
            <family val="2"/>
          </rPr>
          <t>James Bennett:</t>
        </r>
        <r>
          <rPr>
            <sz val="9"/>
            <color indexed="81"/>
            <rFont val="Tahoma"/>
            <family val="2"/>
          </rPr>
          <t xml:space="preserve">
transition tariff</t>
        </r>
      </text>
    </comment>
    <comment ref="R15" authorId="0" shapeId="0" xr:uid="{EF3F1553-BF6D-472E-AAC9-CC776B63290C}">
      <text>
        <r>
          <rPr>
            <b/>
            <sz val="9"/>
            <color indexed="81"/>
            <rFont val="Tahoma"/>
            <family val="2"/>
          </rPr>
          <t>James Bennett:</t>
        </r>
        <r>
          <rPr>
            <sz val="9"/>
            <color indexed="81"/>
            <rFont val="Tahoma"/>
            <family val="2"/>
          </rPr>
          <t xml:space="preserve">
transition tariff</t>
        </r>
      </text>
    </comment>
    <comment ref="AH15" authorId="0" shapeId="0" xr:uid="{1C7F0465-173C-4A49-B51E-122B9ACF42EF}">
      <text>
        <r>
          <rPr>
            <b/>
            <sz val="9"/>
            <color indexed="81"/>
            <rFont val="Tahoma"/>
            <family val="2"/>
          </rPr>
          <t>James Bennett:</t>
        </r>
        <r>
          <rPr>
            <sz val="9"/>
            <color indexed="81"/>
            <rFont val="Tahoma"/>
            <family val="2"/>
          </rPr>
          <t xml:space="preserve">
transition tariff</t>
        </r>
      </text>
    </comment>
    <comment ref="AI15" authorId="0" shapeId="0" xr:uid="{97C3035D-D5CD-49C5-902C-70CFED19E348}">
      <text>
        <r>
          <rPr>
            <b/>
            <sz val="9"/>
            <color indexed="81"/>
            <rFont val="Tahoma"/>
            <family val="2"/>
          </rPr>
          <t>James Bennett:</t>
        </r>
        <r>
          <rPr>
            <sz val="9"/>
            <color indexed="81"/>
            <rFont val="Tahoma"/>
            <family val="2"/>
          </rPr>
          <t xml:space="preserve">
transition tariff</t>
        </r>
      </text>
    </comment>
    <comment ref="AY15" authorId="0" shapeId="0" xr:uid="{0C53DF20-D622-45D2-988B-587708E18383}">
      <text>
        <r>
          <rPr>
            <b/>
            <sz val="9"/>
            <color indexed="81"/>
            <rFont val="Tahoma"/>
            <family val="2"/>
          </rPr>
          <t>James Bennett:</t>
        </r>
        <r>
          <rPr>
            <sz val="9"/>
            <color indexed="81"/>
            <rFont val="Tahoma"/>
            <family val="2"/>
          </rPr>
          <t xml:space="preserve">
transition tariff</t>
        </r>
      </text>
    </comment>
    <comment ref="AZ15" authorId="0" shapeId="0" xr:uid="{22E6EBD9-3A1F-498A-AB60-216A88B179E4}">
      <text>
        <r>
          <rPr>
            <b/>
            <sz val="9"/>
            <color indexed="81"/>
            <rFont val="Tahoma"/>
            <family val="2"/>
          </rPr>
          <t>James Bennett:</t>
        </r>
        <r>
          <rPr>
            <sz val="9"/>
            <color indexed="81"/>
            <rFont val="Tahoma"/>
            <family val="2"/>
          </rPr>
          <t xml:space="preserve">
transition tariff</t>
        </r>
      </text>
    </comment>
    <comment ref="C129" authorId="0" shapeId="0" xr:uid="{1815EF48-6FE8-4047-AD5E-0C2E658B259F}">
      <text>
        <r>
          <rPr>
            <b/>
            <sz val="9"/>
            <color indexed="81"/>
            <rFont val="Tahoma"/>
            <family val="2"/>
          </rPr>
          <t>James Bennett:</t>
        </r>
        <r>
          <rPr>
            <sz val="9"/>
            <color indexed="81"/>
            <rFont val="Tahoma"/>
            <family val="2"/>
          </rPr>
          <t xml:space="preserve">
merged with STN161 July 2021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A0AD3C7A-4577-468B-9FBB-7651DF64273A}">
      <text>
        <r>
          <rPr>
            <b/>
            <sz val="9"/>
            <color indexed="81"/>
            <rFont val="Tahoma"/>
            <family val="2"/>
          </rPr>
          <t>James Bennett:</t>
        </r>
        <r>
          <rPr>
            <sz val="9"/>
            <color indexed="81"/>
            <rFont val="Tahoma"/>
            <family val="2"/>
          </rPr>
          <t xml:space="preserve">
transition tariff</t>
        </r>
      </text>
    </comment>
    <comment ref="R15" authorId="0" shapeId="0" xr:uid="{DC167EA2-5CF5-4DB7-803B-5C84D98336E5}">
      <text>
        <r>
          <rPr>
            <b/>
            <sz val="9"/>
            <color indexed="81"/>
            <rFont val="Tahoma"/>
            <family val="2"/>
          </rPr>
          <t>James Bennett:</t>
        </r>
        <r>
          <rPr>
            <sz val="9"/>
            <color indexed="81"/>
            <rFont val="Tahoma"/>
            <family val="2"/>
          </rPr>
          <t xml:space="preserve">
transition tariff</t>
        </r>
      </text>
    </comment>
    <comment ref="G24" authorId="0" shapeId="0" xr:uid="{3F07D9E4-C8A5-43EA-ACCE-729D724B9AE1}">
      <text>
        <r>
          <rPr>
            <b/>
            <sz val="9"/>
            <color indexed="81"/>
            <rFont val="Tahoma"/>
            <family val="2"/>
          </rPr>
          <t>James Bennett:</t>
        </r>
        <r>
          <rPr>
            <sz val="9"/>
            <color indexed="81"/>
            <rFont val="Tahoma"/>
            <family val="2"/>
          </rPr>
          <t xml:space="preserve">
assumes half goes to Trial</t>
        </r>
      </text>
    </comment>
    <comment ref="I24" authorId="0" shapeId="0" xr:uid="{132E49EF-E190-4C1B-B359-15646A48AC57}">
      <text>
        <r>
          <rPr>
            <b/>
            <sz val="9"/>
            <color indexed="81"/>
            <rFont val="Tahoma"/>
            <family val="2"/>
          </rPr>
          <t>James Bennett:</t>
        </r>
        <r>
          <rPr>
            <sz val="9"/>
            <color indexed="81"/>
            <rFont val="Tahoma"/>
            <family val="2"/>
          </rPr>
          <t xml:space="preserve">
assumes half goes to Trial</t>
        </r>
      </text>
    </comment>
    <comment ref="J24" authorId="0" shapeId="0" xr:uid="{F2E88E50-6EB0-459D-9CE7-7F0FC7D1BC4D}">
      <text>
        <r>
          <rPr>
            <b/>
            <sz val="9"/>
            <color indexed="81"/>
            <rFont val="Tahoma"/>
            <family val="2"/>
          </rPr>
          <t>James Bennett:</t>
        </r>
        <r>
          <rPr>
            <sz val="9"/>
            <color indexed="81"/>
            <rFont val="Tahoma"/>
            <family val="2"/>
          </rPr>
          <t xml:space="preserve">
assumes half goes to Trial</t>
        </r>
      </text>
    </comment>
    <comment ref="K24" authorId="0" shapeId="0" xr:uid="{D93CA54D-E855-415A-8736-106FA1B828FC}">
      <text>
        <r>
          <rPr>
            <b/>
            <sz val="9"/>
            <color indexed="81"/>
            <rFont val="Tahoma"/>
            <family val="2"/>
          </rPr>
          <t>James Bennett:</t>
        </r>
        <r>
          <rPr>
            <sz val="9"/>
            <color indexed="81"/>
            <rFont val="Tahoma"/>
            <family val="2"/>
          </rPr>
          <t xml:space="preserve">
assumes half goes to Trial</t>
        </r>
      </text>
    </comment>
    <comment ref="U24" authorId="0" shapeId="0" xr:uid="{5E670DC3-B01D-41D2-8E49-C896636C30EC}">
      <text>
        <r>
          <rPr>
            <b/>
            <sz val="9"/>
            <color indexed="81"/>
            <rFont val="Tahoma"/>
            <family val="2"/>
          </rPr>
          <t>James Bennett:</t>
        </r>
        <r>
          <rPr>
            <sz val="9"/>
            <color indexed="81"/>
            <rFont val="Tahoma"/>
            <family val="2"/>
          </rPr>
          <t xml:space="preserve">
assumes half goes to Trial</t>
        </r>
      </text>
    </comment>
    <comment ref="C129" authorId="0" shapeId="0" xr:uid="{A34BD880-3AFB-4281-B79D-60A9DA0E16A3}">
      <text>
        <r>
          <rPr>
            <b/>
            <sz val="9"/>
            <color indexed="81"/>
            <rFont val="Tahoma"/>
            <family val="2"/>
          </rPr>
          <t>James Bennett:</t>
        </r>
        <r>
          <rPr>
            <sz val="9"/>
            <color indexed="81"/>
            <rFont val="Tahoma"/>
            <family val="2"/>
          </rPr>
          <t xml:space="preserve">
merged with STN161 July 2021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F99AB130-9DDD-438F-B261-BB9834C33EA4}">
      <text>
        <r>
          <rPr>
            <b/>
            <sz val="9"/>
            <color indexed="81"/>
            <rFont val="Tahoma"/>
            <family val="2"/>
          </rPr>
          <t>James Bennett:</t>
        </r>
        <r>
          <rPr>
            <sz val="9"/>
            <color indexed="81"/>
            <rFont val="Tahoma"/>
            <family val="2"/>
          </rPr>
          <t xml:space="preserve">
transition tariff</t>
        </r>
      </text>
    </comment>
    <comment ref="R15" authorId="0" shapeId="0" xr:uid="{059A756C-1F8D-4311-BC13-77CF75941E2F}">
      <text>
        <r>
          <rPr>
            <b/>
            <sz val="9"/>
            <color indexed="81"/>
            <rFont val="Tahoma"/>
            <family val="2"/>
          </rPr>
          <t>James Bennett:</t>
        </r>
        <r>
          <rPr>
            <sz val="9"/>
            <color indexed="81"/>
            <rFont val="Tahoma"/>
            <family val="2"/>
          </rPr>
          <t xml:space="preserve">
transition tariff</t>
        </r>
      </text>
    </comment>
    <comment ref="AH15" authorId="0" shapeId="0" xr:uid="{EF81ADA3-C55D-41C6-A890-2436F06A8128}">
      <text>
        <r>
          <rPr>
            <b/>
            <sz val="9"/>
            <color indexed="81"/>
            <rFont val="Tahoma"/>
            <family val="2"/>
          </rPr>
          <t>James Bennett:</t>
        </r>
        <r>
          <rPr>
            <sz val="9"/>
            <color indexed="81"/>
            <rFont val="Tahoma"/>
            <family val="2"/>
          </rPr>
          <t xml:space="preserve">
transition tariff</t>
        </r>
      </text>
    </comment>
    <comment ref="AI15" authorId="0" shapeId="0" xr:uid="{D91A79A8-A5A0-4603-94A8-847D9CC4804F}">
      <text>
        <r>
          <rPr>
            <b/>
            <sz val="9"/>
            <color indexed="81"/>
            <rFont val="Tahoma"/>
            <family val="2"/>
          </rPr>
          <t>James Bennett:</t>
        </r>
        <r>
          <rPr>
            <sz val="9"/>
            <color indexed="81"/>
            <rFont val="Tahoma"/>
            <family val="2"/>
          </rPr>
          <t xml:space="preserve">
transition tariff</t>
        </r>
      </text>
    </comment>
    <comment ref="AY15" authorId="0" shapeId="0" xr:uid="{CDFCB3C5-1B25-481A-B231-670D5007303B}">
      <text>
        <r>
          <rPr>
            <b/>
            <sz val="9"/>
            <color indexed="81"/>
            <rFont val="Tahoma"/>
            <family val="2"/>
          </rPr>
          <t>James Bennett:</t>
        </r>
        <r>
          <rPr>
            <sz val="9"/>
            <color indexed="81"/>
            <rFont val="Tahoma"/>
            <family val="2"/>
          </rPr>
          <t xml:space="preserve">
transition tariff</t>
        </r>
      </text>
    </comment>
    <comment ref="AZ15" authorId="0" shapeId="0" xr:uid="{19BF40BF-E93C-4C18-A881-31D2E8AE0BDB}">
      <text>
        <r>
          <rPr>
            <b/>
            <sz val="9"/>
            <color indexed="81"/>
            <rFont val="Tahoma"/>
            <family val="2"/>
          </rPr>
          <t>James Bennett:</t>
        </r>
        <r>
          <rPr>
            <sz val="9"/>
            <color indexed="81"/>
            <rFont val="Tahoma"/>
            <family val="2"/>
          </rPr>
          <t xml:space="preserve">
transition tariff</t>
        </r>
      </text>
    </comment>
    <comment ref="G26" authorId="0" shapeId="0" xr:uid="{2D6CA2E4-6BEF-456C-BB0A-ECC572E0797B}">
      <text>
        <r>
          <rPr>
            <b/>
            <sz val="9"/>
            <color indexed="81"/>
            <rFont val="Tahoma"/>
            <family val="2"/>
          </rPr>
          <t>James Bennett:</t>
        </r>
        <r>
          <rPr>
            <sz val="9"/>
            <color indexed="81"/>
            <rFont val="Tahoma"/>
            <family val="2"/>
          </rPr>
          <t xml:space="preserve">
set at 2021/22 prices as trial tariff did not exist last year.  Per AER</t>
        </r>
      </text>
    </comment>
    <comment ref="I26" authorId="0" shapeId="0" xr:uid="{9059AAAF-8943-43C9-9F53-C83980F40CEB}">
      <text>
        <r>
          <rPr>
            <b/>
            <sz val="9"/>
            <color indexed="81"/>
            <rFont val="Tahoma"/>
            <family val="2"/>
          </rPr>
          <t>James Bennett:</t>
        </r>
        <r>
          <rPr>
            <sz val="9"/>
            <color indexed="81"/>
            <rFont val="Tahoma"/>
            <family val="2"/>
          </rPr>
          <t xml:space="preserve">
set at 2021/22 prices as trial tariff did not exist last year.  Per AER</t>
        </r>
      </text>
    </comment>
    <comment ref="J26" authorId="0" shapeId="0" xr:uid="{389AEB93-E845-498B-B694-B39AEC93FB01}">
      <text>
        <r>
          <rPr>
            <b/>
            <sz val="9"/>
            <color indexed="81"/>
            <rFont val="Tahoma"/>
            <family val="2"/>
          </rPr>
          <t>James Bennett:</t>
        </r>
        <r>
          <rPr>
            <sz val="9"/>
            <color indexed="81"/>
            <rFont val="Tahoma"/>
            <family val="2"/>
          </rPr>
          <t xml:space="preserve">
set at 2021/22 prices as trial tariff did not exist last year.  Per AER</t>
        </r>
      </text>
    </comment>
    <comment ref="K26" authorId="0" shapeId="0" xr:uid="{CD586160-8116-4272-B6BB-E9A590572308}">
      <text>
        <r>
          <rPr>
            <b/>
            <sz val="9"/>
            <color indexed="81"/>
            <rFont val="Tahoma"/>
            <family val="2"/>
          </rPr>
          <t>James Bennett:</t>
        </r>
        <r>
          <rPr>
            <sz val="9"/>
            <color indexed="81"/>
            <rFont val="Tahoma"/>
            <family val="2"/>
          </rPr>
          <t xml:space="preserve">
set at 2021/22 prices as trial tariff did not exist last year.  Per AER</t>
        </r>
      </text>
    </comment>
    <comment ref="G27" authorId="0" shapeId="0" xr:uid="{F670E7D5-15AA-4C4C-A102-056E56196989}">
      <text>
        <r>
          <rPr>
            <b/>
            <sz val="9"/>
            <color indexed="81"/>
            <rFont val="Tahoma"/>
            <family val="2"/>
          </rPr>
          <t>James Bennett:</t>
        </r>
        <r>
          <rPr>
            <sz val="9"/>
            <color indexed="81"/>
            <rFont val="Tahoma"/>
            <family val="2"/>
          </rPr>
          <t xml:space="preserve">
set at 2021/22 prices as trial tariff did not exist last year.  Per AER</t>
        </r>
      </text>
    </comment>
    <comment ref="I27" authorId="0" shapeId="0" xr:uid="{B80B5E31-960E-4B37-AA3C-8800277B4F8E}">
      <text>
        <r>
          <rPr>
            <b/>
            <sz val="9"/>
            <color indexed="81"/>
            <rFont val="Tahoma"/>
            <family val="2"/>
          </rPr>
          <t>James Bennett:</t>
        </r>
        <r>
          <rPr>
            <sz val="9"/>
            <color indexed="81"/>
            <rFont val="Tahoma"/>
            <family val="2"/>
          </rPr>
          <t xml:space="preserve">
set at 2021/22 prices as trial tariff did not exist last year.  Per AER</t>
        </r>
      </text>
    </comment>
    <comment ref="J27" authorId="0" shapeId="0" xr:uid="{545C4F1B-71AF-4182-BA6E-7C6ECED42CC5}">
      <text>
        <r>
          <rPr>
            <b/>
            <sz val="9"/>
            <color indexed="81"/>
            <rFont val="Tahoma"/>
            <family val="2"/>
          </rPr>
          <t>James Bennett:</t>
        </r>
        <r>
          <rPr>
            <sz val="9"/>
            <color indexed="81"/>
            <rFont val="Tahoma"/>
            <family val="2"/>
          </rPr>
          <t xml:space="preserve">
set at 2021/22 prices as trial tariff did not exist last year.  Per AER</t>
        </r>
      </text>
    </comment>
    <comment ref="K27" authorId="0" shapeId="0" xr:uid="{9A0228E3-D5AA-46F5-BDC5-F6E0EA205452}">
      <text>
        <r>
          <rPr>
            <b/>
            <sz val="9"/>
            <color indexed="81"/>
            <rFont val="Tahoma"/>
            <family val="2"/>
          </rPr>
          <t>James Bennett:</t>
        </r>
        <r>
          <rPr>
            <sz val="9"/>
            <color indexed="81"/>
            <rFont val="Tahoma"/>
            <family val="2"/>
          </rPr>
          <t xml:space="preserve">
set at 2021/22 prices as trial tariff did not exist last year.  Per AER</t>
        </r>
      </text>
    </comment>
    <comment ref="C129" authorId="0" shapeId="0" xr:uid="{75437C52-59B3-4313-9809-3B136F6E91FF}">
      <text>
        <r>
          <rPr>
            <b/>
            <sz val="9"/>
            <color indexed="81"/>
            <rFont val="Tahoma"/>
            <family val="2"/>
          </rPr>
          <t>James Bennett:</t>
        </r>
        <r>
          <rPr>
            <sz val="9"/>
            <color indexed="81"/>
            <rFont val="Tahoma"/>
            <family val="2"/>
          </rPr>
          <t xml:space="preserve">
merged with STN161 July 2021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James Bennett</author>
  </authors>
  <commentList>
    <comment ref="Q15" authorId="0" shapeId="0" xr:uid="{64D83485-6DE2-4723-BFC2-2421CD375B5A}">
      <text>
        <r>
          <rPr>
            <b/>
            <sz val="9"/>
            <color indexed="81"/>
            <rFont val="Tahoma"/>
            <family val="2"/>
          </rPr>
          <t>James Bennett:</t>
        </r>
        <r>
          <rPr>
            <sz val="9"/>
            <color indexed="81"/>
            <rFont val="Tahoma"/>
            <family val="2"/>
          </rPr>
          <t xml:space="preserve">
transition tariff</t>
        </r>
      </text>
    </comment>
    <comment ref="R15" authorId="0" shapeId="0" xr:uid="{F421F40D-5F5D-4F6A-9BFE-5B370B267F35}">
      <text>
        <r>
          <rPr>
            <b/>
            <sz val="9"/>
            <color indexed="81"/>
            <rFont val="Tahoma"/>
            <family val="2"/>
          </rPr>
          <t>James Bennett:</t>
        </r>
        <r>
          <rPr>
            <sz val="9"/>
            <color indexed="81"/>
            <rFont val="Tahoma"/>
            <family val="2"/>
          </rPr>
          <t xml:space="preserve">
transition tariff</t>
        </r>
      </text>
    </comment>
    <comment ref="AH15" authorId="0" shapeId="0" xr:uid="{0AD8692A-9ABE-45D0-B638-FF9307BA7AA1}">
      <text>
        <r>
          <rPr>
            <b/>
            <sz val="9"/>
            <color indexed="81"/>
            <rFont val="Tahoma"/>
            <family val="2"/>
          </rPr>
          <t>James Bennett:</t>
        </r>
        <r>
          <rPr>
            <sz val="9"/>
            <color indexed="81"/>
            <rFont val="Tahoma"/>
            <family val="2"/>
          </rPr>
          <t xml:space="preserve">
transition tariff</t>
        </r>
      </text>
    </comment>
    <comment ref="AI15" authorId="0" shapeId="0" xr:uid="{FD207B49-84CB-4D85-862E-FC4AB217598D}">
      <text>
        <r>
          <rPr>
            <b/>
            <sz val="9"/>
            <color indexed="81"/>
            <rFont val="Tahoma"/>
            <family val="2"/>
          </rPr>
          <t>James Bennett:</t>
        </r>
        <r>
          <rPr>
            <sz val="9"/>
            <color indexed="81"/>
            <rFont val="Tahoma"/>
            <family val="2"/>
          </rPr>
          <t xml:space="preserve">
transition tariff</t>
        </r>
      </text>
    </comment>
    <comment ref="AY15" authorId="0" shapeId="0" xr:uid="{4149726F-05BA-4FBB-8E8D-238D8C7E1687}">
      <text>
        <r>
          <rPr>
            <b/>
            <sz val="9"/>
            <color indexed="81"/>
            <rFont val="Tahoma"/>
            <family val="2"/>
          </rPr>
          <t>James Bennett:</t>
        </r>
        <r>
          <rPr>
            <sz val="9"/>
            <color indexed="81"/>
            <rFont val="Tahoma"/>
            <family val="2"/>
          </rPr>
          <t xml:space="preserve">
transition tariff</t>
        </r>
      </text>
    </comment>
    <comment ref="AZ15" authorId="0" shapeId="0" xr:uid="{CC91A413-83DC-44AE-B095-8EA71F0E7B1D}">
      <text>
        <r>
          <rPr>
            <b/>
            <sz val="9"/>
            <color indexed="81"/>
            <rFont val="Tahoma"/>
            <family val="2"/>
          </rPr>
          <t>James Bennett:</t>
        </r>
        <r>
          <rPr>
            <sz val="9"/>
            <color indexed="81"/>
            <rFont val="Tahoma"/>
            <family val="2"/>
          </rPr>
          <t xml:space="preserve">
transition tariff</t>
        </r>
      </text>
    </comment>
    <comment ref="G26" authorId="0" shapeId="0" xr:uid="{6C5A317F-0459-45CA-8EFE-EB98E5BEA523}">
      <text>
        <r>
          <rPr>
            <b/>
            <sz val="9"/>
            <color indexed="81"/>
            <rFont val="Tahoma"/>
            <family val="2"/>
          </rPr>
          <t>James Bennett:</t>
        </r>
        <r>
          <rPr>
            <sz val="9"/>
            <color indexed="81"/>
            <rFont val="Tahoma"/>
            <family val="2"/>
          </rPr>
          <t xml:space="preserve">
set at 2021/22 prices as trial tariff did not exist last year.  Per AER</t>
        </r>
      </text>
    </comment>
    <comment ref="I26" authorId="0" shapeId="0" xr:uid="{9B2C49D3-A9B2-485F-94CA-855847E98675}">
      <text>
        <r>
          <rPr>
            <b/>
            <sz val="9"/>
            <color indexed="81"/>
            <rFont val="Tahoma"/>
            <family val="2"/>
          </rPr>
          <t>James Bennett:</t>
        </r>
        <r>
          <rPr>
            <sz val="9"/>
            <color indexed="81"/>
            <rFont val="Tahoma"/>
            <family val="2"/>
          </rPr>
          <t xml:space="preserve">
set at 2021/22 prices as trial tariff did not exist last year.  Per AER</t>
        </r>
      </text>
    </comment>
    <comment ref="J26" authorId="0" shapeId="0" xr:uid="{CD81F450-6502-4C55-A79C-2F66B9156FD6}">
      <text>
        <r>
          <rPr>
            <b/>
            <sz val="9"/>
            <color indexed="81"/>
            <rFont val="Tahoma"/>
            <family val="2"/>
          </rPr>
          <t>James Bennett:</t>
        </r>
        <r>
          <rPr>
            <sz val="9"/>
            <color indexed="81"/>
            <rFont val="Tahoma"/>
            <family val="2"/>
          </rPr>
          <t xml:space="preserve">
set at 2021/22 prices as trial tariff did not exist last year.  Per AER</t>
        </r>
      </text>
    </comment>
    <comment ref="K26" authorId="0" shapeId="0" xr:uid="{BEF43609-FB95-4C13-8C72-17891A62236F}">
      <text>
        <r>
          <rPr>
            <b/>
            <sz val="9"/>
            <color indexed="81"/>
            <rFont val="Tahoma"/>
            <family val="2"/>
          </rPr>
          <t>James Bennett:</t>
        </r>
        <r>
          <rPr>
            <sz val="9"/>
            <color indexed="81"/>
            <rFont val="Tahoma"/>
            <family val="2"/>
          </rPr>
          <t xml:space="preserve">
set at 2021/22 prices as trial tariff did not exist last year.  Per AER</t>
        </r>
      </text>
    </comment>
    <comment ref="G27" authorId="0" shapeId="0" xr:uid="{1456228F-2D07-4FAA-81D3-96044143219D}">
      <text>
        <r>
          <rPr>
            <b/>
            <sz val="9"/>
            <color indexed="81"/>
            <rFont val="Tahoma"/>
            <family val="2"/>
          </rPr>
          <t>James Bennett:</t>
        </r>
        <r>
          <rPr>
            <sz val="9"/>
            <color indexed="81"/>
            <rFont val="Tahoma"/>
            <family val="2"/>
          </rPr>
          <t xml:space="preserve">
set at 2021/22 prices as trial tariff did not exist last year.  Per AER</t>
        </r>
      </text>
    </comment>
    <comment ref="I27" authorId="0" shapeId="0" xr:uid="{188A0724-DD2A-41FD-89CA-78D570D697FB}">
      <text>
        <r>
          <rPr>
            <b/>
            <sz val="9"/>
            <color indexed="81"/>
            <rFont val="Tahoma"/>
            <family val="2"/>
          </rPr>
          <t>James Bennett:</t>
        </r>
        <r>
          <rPr>
            <sz val="9"/>
            <color indexed="81"/>
            <rFont val="Tahoma"/>
            <family val="2"/>
          </rPr>
          <t xml:space="preserve">
set at 2021/22 prices as trial tariff did not exist last year.  Per AER</t>
        </r>
      </text>
    </comment>
    <comment ref="J27" authorId="0" shapeId="0" xr:uid="{05277454-B68D-41C6-9A38-A6331A364557}">
      <text>
        <r>
          <rPr>
            <b/>
            <sz val="9"/>
            <color indexed="81"/>
            <rFont val="Tahoma"/>
            <family val="2"/>
          </rPr>
          <t>James Bennett:</t>
        </r>
        <r>
          <rPr>
            <sz val="9"/>
            <color indexed="81"/>
            <rFont val="Tahoma"/>
            <family val="2"/>
          </rPr>
          <t xml:space="preserve">
set at 2021/22 prices as trial tariff did not exist last year.  Per AER</t>
        </r>
      </text>
    </comment>
    <comment ref="K27" authorId="0" shapeId="0" xr:uid="{A0A041DD-B1AF-45DC-A875-D11F2B3E3044}">
      <text>
        <r>
          <rPr>
            <b/>
            <sz val="9"/>
            <color indexed="81"/>
            <rFont val="Tahoma"/>
            <family val="2"/>
          </rPr>
          <t>James Bennett:</t>
        </r>
        <r>
          <rPr>
            <sz val="9"/>
            <color indexed="81"/>
            <rFont val="Tahoma"/>
            <family val="2"/>
          </rPr>
          <t xml:space="preserve">
set at 2021/22 prices as trial tariff did not exist last year.  Per AER</t>
        </r>
      </text>
    </comment>
    <comment ref="H30" authorId="0" shapeId="0" xr:uid="{F20341D6-0244-49EC-8A71-0E7C7A1C2349}">
      <text>
        <r>
          <rPr>
            <b/>
            <sz val="9"/>
            <color indexed="81"/>
            <rFont val="Tahoma"/>
            <family val="2"/>
          </rPr>
          <t>James Bennett:</t>
        </r>
        <r>
          <rPr>
            <sz val="9"/>
            <color indexed="81"/>
            <rFont val="Tahoma"/>
            <family val="2"/>
          </rPr>
          <t xml:space="preserve">
rounding option</t>
        </r>
      </text>
    </comment>
    <comment ref="C129" authorId="0" shapeId="0" xr:uid="{F8431883-5582-4B43-AD05-27BA47023DC7}">
      <text>
        <r>
          <rPr>
            <b/>
            <sz val="9"/>
            <color indexed="81"/>
            <rFont val="Tahoma"/>
            <family val="2"/>
          </rPr>
          <t>James Bennett:</t>
        </r>
        <r>
          <rPr>
            <sz val="9"/>
            <color indexed="81"/>
            <rFont val="Tahoma"/>
            <family val="2"/>
          </rPr>
          <t xml:space="preserve">
merged with STN161 July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<sst xmlns="http://schemas.openxmlformats.org/spreadsheetml/2006/main" count="6618" uniqueCount="737">
  <si>
    <t xml:space="preserve">Prices for Standard Control Services </t>
  </si>
  <si>
    <t>Revenue Cap formulae</t>
  </si>
  <si>
    <t>I = 1,...,n and j = 1,...,m and t = 1,2...,5</t>
  </si>
  <si>
    <t>Where:</t>
  </si>
  <si>
    <t>is the total allowable revenue in year t.</t>
  </si>
  <si>
    <t>is the price of component ‘j’ of tariff ‘i’ in year t.</t>
  </si>
  <si>
    <t>is the forecast quantity of component ‘j’ of tariff ‘i’ in year t.</t>
  </si>
  <si>
    <t>is the regulatory year.</t>
  </si>
  <si>
    <t>is the sum of annual adjustments factors for year t and includes the true-up for any under or over recovery of actual revenue collected through DUoS charges.</t>
  </si>
  <si>
    <t>Side constraints</t>
  </si>
  <si>
    <t>DNSP</t>
  </si>
  <si>
    <t>SA Power Networks</t>
  </si>
  <si>
    <t>DUOS proposed tariffs for financial year t (excluding GST)</t>
  </si>
  <si>
    <t>** NEW Tariffs and Billing assignment applied from 2020/21</t>
  </si>
  <si>
    <t>PROPOSED TARIFFS</t>
  </si>
  <si>
    <t>FORECAST QUANTITIES</t>
  </si>
  <si>
    <t>Network Tariff</t>
  </si>
  <si>
    <t>Totals</t>
  </si>
  <si>
    <t>Fixed Charge</t>
  </si>
  <si>
    <t>Single and ToU consumption</t>
  </si>
  <si>
    <t>CL Single and TOU consumption billed (MWh)</t>
  </si>
  <si>
    <t>Actual Monthly Demand</t>
  </si>
  <si>
    <t>Customers</t>
  </si>
  <si>
    <t>MWh</t>
  </si>
  <si>
    <t>kVA/day</t>
  </si>
  <si>
    <t>kW/day</t>
  </si>
  <si>
    <t>No.</t>
  </si>
  <si>
    <t>Code</t>
  </si>
  <si>
    <t>Name (Residential)</t>
  </si>
  <si>
    <t>(days)</t>
  </si>
  <si>
    <t>Non-TOU</t>
  </si>
  <si>
    <t>Peak</t>
  </si>
  <si>
    <t>Off-Peak</t>
  </si>
  <si>
    <t>Solar Sponge</t>
  </si>
  <si>
    <t>Mth Peak 5</t>
  </si>
  <si>
    <t>Energy sold</t>
  </si>
  <si>
    <t>SA</t>
  </si>
  <si>
    <t>CBD only</t>
  </si>
  <si>
    <t>Name (Business)</t>
  </si>
  <si>
    <t>Shoulder</t>
  </si>
  <si>
    <t>Peak 5</t>
  </si>
  <si>
    <t>A</t>
  </si>
  <si>
    <t>Residential (Domestic tariffs)</t>
  </si>
  <si>
    <t>Residential Type 5, 6 Meters</t>
  </si>
  <si>
    <t>RSR</t>
  </si>
  <si>
    <t>Residential Single Rate</t>
  </si>
  <si>
    <t>RSRCL</t>
  </si>
  <si>
    <t>Residential Single Rate with controlled load</t>
  </si>
  <si>
    <t>Residential Type 4 Meters</t>
  </si>
  <si>
    <t>RTOU</t>
  </si>
  <si>
    <t>Residential Time of Use</t>
  </si>
  <si>
    <t>RTOUCL</t>
  </si>
  <si>
    <t>Residential Time of Use with controlled load</t>
  </si>
  <si>
    <t>RPRO</t>
  </si>
  <si>
    <t>Residential Prosumer</t>
  </si>
  <si>
    <t>RPROCL</t>
  </si>
  <si>
    <t>Residential Prosumer with controlled load</t>
  </si>
  <si>
    <t>B</t>
  </si>
  <si>
    <t>Small Business &lt;160 MWh</t>
  </si>
  <si>
    <t>Small Business Unmetered Tariffs</t>
  </si>
  <si>
    <t>LVUU</t>
  </si>
  <si>
    <t>Overnight Unmetered</t>
  </si>
  <si>
    <t>LVUU24</t>
  </si>
  <si>
    <t>24 hr Unmetered</t>
  </si>
  <si>
    <t>Small Business Type 6 Meters</t>
  </si>
  <si>
    <t>BSR</t>
  </si>
  <si>
    <t>Business Single Rate</t>
  </si>
  <si>
    <t>BSRCL</t>
  </si>
  <si>
    <t xml:space="preserve">Business Single Rate with Controlled Load </t>
  </si>
  <si>
    <t>B2R</t>
  </si>
  <si>
    <t xml:space="preserve">Business Two Rate </t>
  </si>
  <si>
    <t>B2RCL</t>
  </si>
  <si>
    <t>Business Two Rate with Controlled Load</t>
  </si>
  <si>
    <t>BCL</t>
  </si>
  <si>
    <t>Business Controlled Load only</t>
  </si>
  <si>
    <t>Small Business Interval Meters (type 4, 5)</t>
  </si>
  <si>
    <t>SBTOU</t>
  </si>
  <si>
    <t>Small Business Time of Use</t>
  </si>
  <si>
    <t>SBTOUD</t>
  </si>
  <si>
    <t>Small Business Time of Use with Demand</t>
  </si>
  <si>
    <t>SBD</t>
  </si>
  <si>
    <t>Small Business Actual Monthly Demand (transition)</t>
  </si>
  <si>
    <t>C</t>
  </si>
  <si>
    <t>Large LV Business &gt;160 MWh pa</t>
  </si>
  <si>
    <t>Large LV Business Type 6 Meter Tariffs</t>
  </si>
  <si>
    <t>LBSR</t>
  </si>
  <si>
    <t>Large LV Business Single Rate</t>
  </si>
  <si>
    <t>LBSRCL</t>
  </si>
  <si>
    <t>Large LV Business Single Rate with Controlled Load</t>
  </si>
  <si>
    <t>LB2R</t>
  </si>
  <si>
    <t>Large LV Business Two Rate</t>
  </si>
  <si>
    <t>LB2RCL</t>
  </si>
  <si>
    <t>Large LV Business Two Rate with Controlled Load</t>
  </si>
  <si>
    <t>Large LV Business - Interval Meter Tariffs</t>
  </si>
  <si>
    <t>Large Business Annual Demand</t>
  </si>
  <si>
    <t xml:space="preserve">Large Business Monthly Peak Demand </t>
  </si>
  <si>
    <t xml:space="preserve">Large Business Monthly kW Peak Demand </t>
  </si>
  <si>
    <t>BD</t>
  </si>
  <si>
    <t>Large Business Actual Monthly Demand (transition)</t>
  </si>
  <si>
    <t>LV Business Generation supply</t>
  </si>
  <si>
    <t>Individual Large Business Tariffs, uses above tariffs</t>
  </si>
  <si>
    <t>D</t>
  </si>
  <si>
    <t>Large HV Business</t>
  </si>
  <si>
    <t>HV Business - Interval Meter Tariffs</t>
  </si>
  <si>
    <t>HV Business Annual Demand</t>
  </si>
  <si>
    <t xml:space="preserve">HV Business Monthly Peak Demand </t>
  </si>
  <si>
    <t xml:space="preserve">HV Business Monthly kW Peak Demand </t>
  </si>
  <si>
    <t>HBD</t>
  </si>
  <si>
    <t>HV Business Actual Monthly Demand (transition)</t>
  </si>
  <si>
    <t>HV Business Annual Demand &lt;500kVA</t>
  </si>
  <si>
    <t>HV Business Generation supply</t>
  </si>
  <si>
    <t>Individual HV Business Tariffs, uses above tariffs</t>
  </si>
  <si>
    <t>E</t>
  </si>
  <si>
    <t>Major Business</t>
  </si>
  <si>
    <t>Major Business Zone Sub-Station</t>
  </si>
  <si>
    <t>ZSN</t>
  </si>
  <si>
    <t>Zone Substation kVA</t>
  </si>
  <si>
    <t>ZSS025</t>
  </si>
  <si>
    <t>Zone Substation non-Locational</t>
  </si>
  <si>
    <t>ZSS296</t>
  </si>
  <si>
    <t>ZSS766</t>
  </si>
  <si>
    <t>ZSS951</t>
  </si>
  <si>
    <t>ZSS104</t>
  </si>
  <si>
    <t>ZSS196</t>
  </si>
  <si>
    <t>Major Business Zone Sub-Station Locational TUoS</t>
  </si>
  <si>
    <t>ZSN021</t>
  </si>
  <si>
    <t>Zone Substation kVA Locational</t>
  </si>
  <si>
    <t>ZSN024</t>
  </si>
  <si>
    <t>ZSN035</t>
  </si>
  <si>
    <t>ZSN228</t>
  </si>
  <si>
    <t>ZSN438</t>
  </si>
  <si>
    <t>ZSN608</t>
  </si>
  <si>
    <t>Major Business Sub Transmission</t>
  </si>
  <si>
    <t>STN</t>
  </si>
  <si>
    <t>Sub transmission kVA</t>
  </si>
  <si>
    <t>STR148</t>
  </si>
  <si>
    <t>Sub Transmission non-Locational</t>
  </si>
  <si>
    <t>STR610</t>
  </si>
  <si>
    <t>STR749</t>
  </si>
  <si>
    <t>Major Business Sub Transmission Locational</t>
  </si>
  <si>
    <t>STN018</t>
  </si>
  <si>
    <t>Sub transmission kVA Locational</t>
  </si>
  <si>
    <t>STN084</t>
  </si>
  <si>
    <t>STN161</t>
  </si>
  <si>
    <t>STN162</t>
  </si>
  <si>
    <t>STN378</t>
  </si>
  <si>
    <t>STN557</t>
  </si>
  <si>
    <t>STN609</t>
  </si>
  <si>
    <t>STN788</t>
  </si>
  <si>
    <t>STN840</t>
  </si>
  <si>
    <t>Total Residential</t>
  </si>
  <si>
    <t>Total Small Business</t>
  </si>
  <si>
    <t>Total Large LV Business</t>
  </si>
  <si>
    <t>Total HV Business</t>
  </si>
  <si>
    <t>Total Major Business</t>
  </si>
  <si>
    <t xml:space="preserve">Total </t>
  </si>
  <si>
    <t xml:space="preserve">Fixed </t>
  </si>
  <si>
    <t xml:space="preserve">Variable </t>
  </si>
  <si>
    <t>Residential Time of Use (ToU)</t>
  </si>
  <si>
    <t>Controlled Load</t>
  </si>
  <si>
    <t>Controlled Load ToU</t>
  </si>
  <si>
    <t>Unmetered</t>
  </si>
  <si>
    <t>Small Business - BSR/B2R</t>
  </si>
  <si>
    <t>Small Business - ToU</t>
  </si>
  <si>
    <t>Small Business - ToU &amp; Demand</t>
  </si>
  <si>
    <t xml:space="preserve">Small Business - Other </t>
  </si>
  <si>
    <t>LV Business - Annual Demand</t>
  </si>
  <si>
    <t>LV Business - Monthly Demand</t>
  </si>
  <si>
    <t>LV Business - Other</t>
  </si>
  <si>
    <t>HV Business - Annual Demand</t>
  </si>
  <si>
    <t>HV Business - Monthly Demand</t>
  </si>
  <si>
    <t>HV Business - Other</t>
  </si>
  <si>
    <t>Major kVA Zone S/Stn</t>
  </si>
  <si>
    <t>Major kVA Zone S/Stn Locational</t>
  </si>
  <si>
    <t>Major kVA Sub Transmission</t>
  </si>
  <si>
    <t>Major kVA Sub Trans Locational</t>
  </si>
  <si>
    <t>Check total</t>
  </si>
  <si>
    <t>Should be zero</t>
  </si>
  <si>
    <t>Forecast quantities for finanical year t</t>
  </si>
  <si>
    <t>2020/21</t>
  </si>
  <si>
    <t>t-2</t>
  </si>
  <si>
    <t>t-1</t>
  </si>
  <si>
    <t>t</t>
  </si>
  <si>
    <t>actual</t>
  </si>
  <si>
    <t>estimate</t>
  </si>
  <si>
    <t>forecast</t>
  </si>
  <si>
    <t>Financial year ending</t>
  </si>
  <si>
    <t>$'000</t>
  </si>
  <si>
    <t>2020-25</t>
  </si>
  <si>
    <t xml:space="preserve">Regulatory Control Period </t>
  </si>
  <si>
    <t>Regulatory Year Commencing</t>
  </si>
  <si>
    <t xml:space="preserve">Year Ending </t>
  </si>
  <si>
    <t>%</t>
  </si>
  <si>
    <t>Opening balance</t>
  </si>
  <si>
    <t>(Under)/over recovery for regulatory year</t>
  </si>
  <si>
    <t xml:space="preserve">Closing balance </t>
  </si>
  <si>
    <t>WACC</t>
  </si>
  <si>
    <t>Year t Expected Revenue</t>
  </si>
  <si>
    <t>INPUTS</t>
  </si>
  <si>
    <r>
      <t>is the annual smoothed expected requirement in the Post Tax Revenue Model (</t>
    </r>
    <r>
      <rPr>
        <b/>
        <sz val="11"/>
        <rFont val="Calibri"/>
        <family val="2"/>
        <scheme val="minor"/>
      </rPr>
      <t>PTRM</t>
    </r>
    <r>
      <rPr>
        <sz val="11"/>
        <rFont val="Calibri"/>
        <family val="2"/>
        <scheme val="minor"/>
      </rPr>
      <t>) for year t.</t>
    </r>
  </si>
  <si>
    <r>
      <t>is the annual percentage change in the Australian Bureau of Statistics (</t>
    </r>
    <r>
      <rPr>
        <b/>
        <sz val="11"/>
        <rFont val="Calibri"/>
        <family val="2"/>
        <scheme val="minor"/>
      </rPr>
      <t>ABS</t>
    </r>
    <r>
      <rPr>
        <sz val="11"/>
        <rFont val="Calibri"/>
        <family val="2"/>
        <scheme val="minor"/>
      </rPr>
      <t xml:space="preserve">) Consumer Price Index All Groups, Weighted Average of Eight Capital Cities from December in year t–2 to December in year t–1. For example, for 2020/21, year t–2 is December quarter 2018 and   t–1 is the December quarter 2019. </t>
    </r>
  </si>
  <si>
    <t xml:space="preserve">1.       </t>
  </si>
  <si>
    <t xml:space="preserve">2.       </t>
  </si>
  <si>
    <t xml:space="preserve">3.       </t>
  </si>
  <si>
    <t>Units</t>
  </si>
  <si>
    <t>Year t expected revenue ($'0000)</t>
  </si>
  <si>
    <t>Fixed</t>
  </si>
  <si>
    <t>Charge</t>
  </si>
  <si>
    <t>Excl. CL</t>
  </si>
  <si>
    <t>CL</t>
  </si>
  <si>
    <t>kVA</t>
  </si>
  <si>
    <t>KW</t>
  </si>
  <si>
    <t>Total</t>
  </si>
  <si>
    <t>Days</t>
  </si>
  <si>
    <t>JSO (PV FiT) cost pass through proposed tariffs for financial year t (excluding GST)</t>
  </si>
  <si>
    <t>Transmission cost recovery proposed tariffs for financial year t (excluding GST)</t>
  </si>
  <si>
    <t>Tariff Approval Model - Input updates</t>
  </si>
  <si>
    <t>Revenue Cap Implied</t>
  </si>
  <si>
    <t>TAR</t>
  </si>
  <si>
    <t>less (under)/over recovery</t>
  </si>
  <si>
    <t>less Interest on opening balance</t>
  </si>
  <si>
    <t>less interest on reg year under/over recovery</t>
  </si>
  <si>
    <t>Adjusted revenue cap after deducting Bt</t>
  </si>
  <si>
    <t>plus interest on opening balance</t>
  </si>
  <si>
    <t>plus interest on reg yr under/over recovery</t>
  </si>
  <si>
    <t>Bt implied</t>
  </si>
  <si>
    <t>Original Revenue cap</t>
  </si>
  <si>
    <t>Check</t>
  </si>
  <si>
    <t>CPI</t>
  </si>
  <si>
    <t>CPI for period t</t>
  </si>
  <si>
    <t>Table 1 - Compliance with AER Final Determination</t>
  </si>
  <si>
    <t>X factor for period t</t>
  </si>
  <si>
    <t>YEAR (t)</t>
  </si>
  <si>
    <t>Total I factor for year t</t>
  </si>
  <si>
    <t>Service Target Performance Incentive Scheme (STPIS)</t>
  </si>
  <si>
    <t>Efficiency Benefit Sharing Scheme (EBSS)</t>
  </si>
  <si>
    <t>Capital Expenditure Sharing Scheme (CESS)</t>
  </si>
  <si>
    <t>Demand Management Incentive Scheme (DMIS)</t>
  </si>
  <si>
    <t>Innovation Allowance Adjustment</t>
  </si>
  <si>
    <t>Total B factor for year t</t>
  </si>
  <si>
    <t>Tariff Approval Model - SA Power Networks DUoS</t>
  </si>
  <si>
    <t>Table 7 - DUoS unders and overs account ($'000, nominal)</t>
  </si>
  <si>
    <t>(A) Revenue from DUoS Charges</t>
  </si>
  <si>
    <t>(C) Revenue deliberately under-recovered in year</t>
  </si>
  <si>
    <t>DUOS unders and overs account</t>
  </si>
  <si>
    <t>Nominal WACC (per cent)</t>
  </si>
  <si>
    <t>Interest on opening balance</t>
  </si>
  <si>
    <t>Interest on under/over recovery for regulatory year</t>
  </si>
  <si>
    <t>Tariff Year</t>
  </si>
  <si>
    <t>Change Year</t>
  </si>
  <si>
    <t>S Cumulative</t>
  </si>
  <si>
    <t>2015/16</t>
  </si>
  <si>
    <t>2016/17</t>
  </si>
  <si>
    <t>2017/18</t>
  </si>
  <si>
    <t>2018/19</t>
  </si>
  <si>
    <t>2019/20</t>
  </si>
  <si>
    <t>Prior Regulatory Period</t>
  </si>
  <si>
    <t>RCPI</t>
  </si>
  <si>
    <t>X factor</t>
  </si>
  <si>
    <t xml:space="preserve">S Change </t>
  </si>
  <si>
    <t>Year</t>
  </si>
  <si>
    <t>Year Reference</t>
  </si>
  <si>
    <t>RCPIDec 14</t>
  </si>
  <si>
    <t>RCPIDec 15</t>
  </si>
  <si>
    <t>RCPIDec 16</t>
  </si>
  <si>
    <t>RCPIDec 17</t>
  </si>
  <si>
    <t>RCPIDec 18</t>
  </si>
  <si>
    <t>2015-20</t>
  </si>
  <si>
    <t>Current Regulatory Control Period</t>
  </si>
  <si>
    <t>STPIS</t>
  </si>
  <si>
    <t>RCPIDec 19</t>
  </si>
  <si>
    <t>RCPIDec 20</t>
  </si>
  <si>
    <t>RCPIDec 21</t>
  </si>
  <si>
    <t>RCPIDec 22</t>
  </si>
  <si>
    <t>RCPIDec 23</t>
  </si>
  <si>
    <t>2021/22</t>
  </si>
  <si>
    <t>2022/23</t>
  </si>
  <si>
    <t>2023/24</t>
  </si>
  <si>
    <t>2024/25</t>
  </si>
  <si>
    <t>S Cumulative %</t>
  </si>
  <si>
    <t>Residential and Small Business Indicative Prices</t>
  </si>
  <si>
    <t>2020/21 and 2024/25, excl GST</t>
  </si>
  <si>
    <t>DUoS</t>
  </si>
  <si>
    <t>TUoS</t>
  </si>
  <si>
    <t>PV FiT</t>
  </si>
  <si>
    <t>NUoS</t>
  </si>
  <si>
    <t>Tariff Closed</t>
  </si>
  <si>
    <t>$ pa</t>
  </si>
  <si>
    <t>$/kWh</t>
  </si>
  <si>
    <t>Opt-in Tariff, Type 4 meters</t>
  </si>
  <si>
    <t>Default Tariff, Type 4 meters OPCL</t>
  </si>
  <si>
    <t>Business Unmetered Supply</t>
  </si>
  <si>
    <t>Default Tariff Type 7 meters</t>
  </si>
  <si>
    <t>Usage</t>
  </si>
  <si>
    <t>$/kVA pa</t>
  </si>
  <si>
    <t>$/kVA/mth pa</t>
  </si>
  <si>
    <t>Small Business OPCL Type 5, 6</t>
  </si>
  <si>
    <t>Tariff Closed.  Not available with type 4 meters</t>
  </si>
  <si>
    <t>Notes on Demand Elements</t>
  </si>
  <si>
    <t>highest daily demand each of five months Nov-March charged per month</t>
  </si>
  <si>
    <t>highest daily demand each of twelve months July-June charged per month</t>
  </si>
  <si>
    <t>12 month rolling reset charged proportionally each month</t>
  </si>
  <si>
    <t>agreed demand charged proportionally each month</t>
  </si>
  <si>
    <t>Peak demand not applicable to backup, incurred by principal supply</t>
  </si>
  <si>
    <t>Large LV Business Indicative Prices</t>
  </si>
  <si>
    <t>Large Bus Monthly Demand</t>
  </si>
  <si>
    <t>Opt-In Tariff, Same prices apply to CBD and Rest of SA, Peak demand period differs</t>
  </si>
  <si>
    <t>Large Bus Annual Demand</t>
  </si>
  <si>
    <t>Default Tariff, Same prices apply to CBD and Rest of SA, Peak demand period differs</t>
  </si>
  <si>
    <t>Special Tariff</t>
  </si>
  <si>
    <t>Large Bus Trans Type 6 Single</t>
  </si>
  <si>
    <t>Large Bus Trans Type 6 2-rate</t>
  </si>
  <si>
    <t>HV and Major Business Indicative Prices</t>
  </si>
  <si>
    <t>HV Business Monthly Demand</t>
  </si>
  <si>
    <t>HV Business Annual &lt;500</t>
  </si>
  <si>
    <t>Tariff amended for individual Customers, eg TUoS and some DUoS fixed charges</t>
  </si>
  <si>
    <t>Indicative 2022/23</t>
  </si>
  <si>
    <t>Indicative 2023/24</t>
  </si>
  <si>
    <t>Indicative 2024/25</t>
  </si>
  <si>
    <t>DISTRIBUTION (STANDARD CONTROL SERVICES) COMPLIANCE AND RECOVERY ARRANGEMENTS</t>
  </si>
  <si>
    <t>Tariff Approval Model - SA Power Networks JSO</t>
  </si>
  <si>
    <t>TRANSMISSION RECOVERY ARRANGEMENTS</t>
  </si>
  <si>
    <t>Table 2 - Actual TUoS Invoices/Forecast payments (excl. GST)</t>
  </si>
  <si>
    <t>Month</t>
  </si>
  <si>
    <t>July</t>
  </si>
  <si>
    <t>August</t>
  </si>
  <si>
    <t>September</t>
  </si>
  <si>
    <t>October</t>
  </si>
  <si>
    <t>November</t>
  </si>
  <si>
    <t>December</t>
  </si>
  <si>
    <t>January</t>
  </si>
  <si>
    <t>February</t>
  </si>
  <si>
    <t>March</t>
  </si>
  <si>
    <t>April</t>
  </si>
  <si>
    <t>May</t>
  </si>
  <si>
    <t>June</t>
  </si>
  <si>
    <t>Table 1 - TUoS unders and overs account ($'000, nominal)</t>
  </si>
  <si>
    <t>Table 1 - JSO unders and overs account ($'000, nominal)</t>
  </si>
  <si>
    <t>(A) Revenue from jursidicational schemes</t>
  </si>
  <si>
    <t xml:space="preserve">(B) less jurisidicational scheme payments for regulatory year = </t>
  </si>
  <si>
    <t xml:space="preserve"> + Jurisdictional Scheme Payments - 2028</t>
  </si>
  <si>
    <t xml:space="preserve"> + Jurisdictional Scheme Payments - 2028S</t>
  </si>
  <si>
    <t>Export of PV receiving payment (block one only)</t>
  </si>
  <si>
    <t>Price for PV payment</t>
  </si>
  <si>
    <t>$/MWh</t>
  </si>
  <si>
    <t>Total PV Payment</t>
  </si>
  <si>
    <t>PV Incentice Scheme Payments For Export PV - 2028 Scheme</t>
  </si>
  <si>
    <t>PV Incentice Scheme Payments For Export PV - 2028S Scheme</t>
  </si>
  <si>
    <t>Annual Revenue for year t</t>
  </si>
  <si>
    <t>X-Factor</t>
  </si>
  <si>
    <t>I-factor for year t</t>
  </si>
  <si>
    <t>B-factor for year t *excluding under/over recovery</t>
  </si>
  <si>
    <t>C-factor for year t</t>
  </si>
  <si>
    <t>B-factor Under/over recovery of revenue for year t</t>
  </si>
  <si>
    <t>Table 8 - Compliance with 16.8.5 Pricing Principles</t>
  </si>
  <si>
    <t>Total C factor for year t</t>
  </si>
  <si>
    <t>Tariff Classes</t>
  </si>
  <si>
    <t>Avoidable Cost</t>
  </si>
  <si>
    <t>Stand Alone Cost</t>
  </si>
  <si>
    <t>Expected Revenue</t>
  </si>
  <si>
    <t>Compliant?</t>
  </si>
  <si>
    <t>Residential</t>
  </si>
  <si>
    <t>Small Business</t>
  </si>
  <si>
    <t>Large LV Business</t>
  </si>
  <si>
    <t>HV Business</t>
  </si>
  <si>
    <r>
      <t>Adjustment Annual Smoothed Revenue for year t (AR</t>
    </r>
    <r>
      <rPr>
        <b/>
        <vertAlign val="subscript"/>
        <sz val="9.9"/>
        <rFont val="Calibri"/>
        <family val="2"/>
      </rPr>
      <t>t</t>
    </r>
    <r>
      <rPr>
        <b/>
        <sz val="11"/>
        <rFont val="Calibri"/>
        <family val="2"/>
        <scheme val="minor"/>
      </rPr>
      <t>)</t>
    </r>
  </si>
  <si>
    <t>ENERGY SOLD</t>
  </si>
  <si>
    <r>
      <t xml:space="preserve"> + Incentive Schemes amounts (I</t>
    </r>
    <r>
      <rPr>
        <vertAlign val="subscript"/>
        <sz val="9.9"/>
        <rFont val="Calibri"/>
        <family val="2"/>
      </rPr>
      <t>t</t>
    </r>
    <r>
      <rPr>
        <sz val="11"/>
        <rFont val="Calibri"/>
        <family val="2"/>
        <scheme val="minor"/>
      </rPr>
      <t>)</t>
    </r>
  </si>
  <si>
    <r>
      <t xml:space="preserve"> + Annual adjustments (B</t>
    </r>
    <r>
      <rPr>
        <vertAlign val="subscript"/>
        <sz val="9.9"/>
        <rFont val="Calibri"/>
        <family val="2"/>
      </rPr>
      <t>t</t>
    </r>
    <r>
      <rPr>
        <sz val="11"/>
        <rFont val="Calibri"/>
        <family val="2"/>
        <scheme val="minor"/>
      </rPr>
      <t>)* excludes over/under trueup</t>
    </r>
  </si>
  <si>
    <r>
      <t xml:space="preserve"> + Cost pass through amount (C</t>
    </r>
    <r>
      <rPr>
        <vertAlign val="subscript"/>
        <sz val="9.9"/>
        <rFont val="Calibri"/>
        <family val="2"/>
      </rPr>
      <t>t</t>
    </r>
    <r>
      <rPr>
        <sz val="11"/>
        <rFont val="Calibri"/>
        <family val="2"/>
        <scheme val="minor"/>
      </rPr>
      <t xml:space="preserve">) </t>
    </r>
  </si>
  <si>
    <r>
      <t>Table 2 - Total Annual Revenue for year t (TAR</t>
    </r>
    <r>
      <rPr>
        <b/>
        <vertAlign val="subscript"/>
        <sz val="11"/>
        <color rgb="FF1F4C71"/>
        <rFont val="Calibri"/>
        <family val="2"/>
      </rPr>
      <t>t</t>
    </r>
    <r>
      <rPr>
        <b/>
        <sz val="11"/>
        <color rgb="FF1F4C71"/>
        <rFont val="Calibri"/>
        <family val="2"/>
        <scheme val="minor"/>
      </rPr>
      <t>)</t>
    </r>
  </si>
  <si>
    <r>
      <t>Table 4 - I factor for year t (I</t>
    </r>
    <r>
      <rPr>
        <b/>
        <vertAlign val="subscript"/>
        <sz val="11"/>
        <color rgb="FF1F4C71"/>
        <rFont val="Calibri"/>
        <family val="2"/>
      </rPr>
      <t>t</t>
    </r>
    <r>
      <rPr>
        <b/>
        <sz val="11"/>
        <color rgb="FF1F4C71"/>
        <rFont val="Calibri"/>
        <family val="2"/>
        <scheme val="minor"/>
      </rPr>
      <t>)</t>
    </r>
  </si>
  <si>
    <r>
      <t>Table 5 - B factor for year t (B</t>
    </r>
    <r>
      <rPr>
        <b/>
        <vertAlign val="subscript"/>
        <sz val="11"/>
        <color rgb="FF1F4C71"/>
        <rFont val="Calibri"/>
        <family val="2"/>
      </rPr>
      <t>t</t>
    </r>
    <r>
      <rPr>
        <b/>
        <sz val="11"/>
        <color rgb="FF1F4C71"/>
        <rFont val="Calibri"/>
        <family val="2"/>
        <scheme val="minor"/>
      </rPr>
      <t>) - excludes true-up for DUoS revenue recovery for year t</t>
    </r>
  </si>
  <si>
    <r>
      <t>Table 6 - C Factor for year t (C</t>
    </r>
    <r>
      <rPr>
        <b/>
        <vertAlign val="subscript"/>
        <sz val="11"/>
        <color rgb="FF1F4C71"/>
        <rFont val="Calibri"/>
        <family val="2"/>
      </rPr>
      <t>t</t>
    </r>
    <r>
      <rPr>
        <b/>
        <sz val="11"/>
        <color rgb="FF1F4C71"/>
        <rFont val="Calibri"/>
        <family val="2"/>
        <scheme val="minor"/>
      </rPr>
      <t>)</t>
    </r>
  </si>
  <si>
    <t>Customers/Supply Ch</t>
  </si>
  <si>
    <t>Peak Agreed Demand</t>
  </si>
  <si>
    <t>Anytime Agreed Demand</t>
  </si>
  <si>
    <t>Network Default Tariff</t>
  </si>
  <si>
    <t>Derived Customer Specfic Tariff</t>
  </si>
  <si>
    <t>Default component Not Used</t>
  </si>
  <si>
    <t>Customer Specific Component</t>
  </si>
  <si>
    <t>Individual Large LV Business - Interval Meter Tariffs</t>
  </si>
  <si>
    <t>Individual HV Business - Interval Meter Tariffs</t>
  </si>
  <si>
    <t>&lt; For individual workings details in this tariff group, select plus to ungroup or minus to regroup.</t>
  </si>
  <si>
    <t>Default Component Not Used</t>
  </si>
  <si>
    <t>DUoS at year t price</t>
  </si>
  <si>
    <t>Table 9 - Compliance with 16.8.6 Side Constraints for Standard Control Services</t>
  </si>
  <si>
    <t>Limitation</t>
  </si>
  <si>
    <t>Permissible Percentage</t>
  </si>
  <si>
    <t>Table 9A - DUoS compliance with 16.8.6 Side Constraints for Standard Control Services</t>
  </si>
  <si>
    <t>Change</t>
  </si>
  <si>
    <t>TUoS at t-1 prices</t>
  </si>
  <si>
    <t>TUoS at year t price</t>
  </si>
  <si>
    <t>DUoS at t-1 prices</t>
  </si>
  <si>
    <t>Table 9B - NUoS Change</t>
  </si>
  <si>
    <t>Table 3 - TUoS Movement</t>
  </si>
  <si>
    <t>*Note: Where significant changes to Tariff classes are made for the start of a new Regulatory Control Period, t-1 prices are not comparable.</t>
  </si>
  <si>
    <t>NUoS at t-1 prices</t>
  </si>
  <si>
    <t>NUoS at year t price</t>
  </si>
  <si>
    <t>JSO at t-1 prices</t>
  </si>
  <si>
    <t>JSO at year t price</t>
  </si>
  <si>
    <t>I factor for year t</t>
  </si>
  <si>
    <t>B factor for year t</t>
  </si>
  <si>
    <t>C factor for year t</t>
  </si>
  <si>
    <t xml:space="preserve">TOTAL </t>
  </si>
  <si>
    <t>Table 3 - JSO Movement</t>
  </si>
  <si>
    <t>Economic Benchmarking RIN</t>
  </si>
  <si>
    <t>DREV01</t>
  </si>
  <si>
    <t xml:space="preserve">Revenue </t>
  </si>
  <si>
    <t>Allowed Revenue</t>
  </si>
  <si>
    <t>DREV0113</t>
  </si>
  <si>
    <t>Revenue from other sources</t>
  </si>
  <si>
    <t xml:space="preserve">Annual RIN </t>
  </si>
  <si>
    <t>Distribution Revenue</t>
  </si>
  <si>
    <t>Template 7.10</t>
  </si>
  <si>
    <t>RIN EPORTING</t>
  </si>
  <si>
    <t>Revenue reported in the Economic Benchmarking (EB) and Annual RINs is consistent with annual smoothed revenue (Art) in the Annual Pricing Proposal</t>
  </si>
  <si>
    <t>Check Distribution Revenue Reported</t>
  </si>
  <si>
    <t>RECONCILIATION TO APP</t>
  </si>
  <si>
    <t>[1]</t>
  </si>
  <si>
    <t>Jurisdictional Scheme PV</t>
  </si>
  <si>
    <t>Variance explanation</t>
  </si>
  <si>
    <t>(A minus B plus C) (Under)/Over recovery of revenue for regulatory year</t>
  </si>
  <si>
    <t xml:space="preserve">(B) Less TAR for regulatory year = </t>
  </si>
  <si>
    <t>Tariff Approval Model - SA Power Networks Transmission Use of Services (TUoS)</t>
  </si>
  <si>
    <t>(A) Revenue from designated pricing proposal charges (DPPC)</t>
  </si>
  <si>
    <t>(B) Less DPPC related payments for regualtory year =</t>
  </si>
  <si>
    <t xml:space="preserve"> + DPPC to be paid to TNSP</t>
  </si>
  <si>
    <t xml:space="preserve"> + Avoided TUoS/DPPC payments</t>
  </si>
  <si>
    <t xml:space="preserve"> + Inter-distributor payments</t>
  </si>
  <si>
    <t>(A minus B) (Under)/over recovery of revenue for regulatory year</t>
  </si>
  <si>
    <t>DPPC unders and overs account</t>
  </si>
  <si>
    <t>Jurisdicational scheme unders and overs account</t>
  </si>
  <si>
    <t>$'0</t>
  </si>
  <si>
    <t>DPPC (Transmission) Revenue</t>
  </si>
  <si>
    <t>ACTUAL</t>
  </si>
  <si>
    <t>ESTIMATE</t>
  </si>
  <si>
    <t>FORECAST</t>
  </si>
  <si>
    <t>Total TAR Distribution Revenue (APP)</t>
  </si>
  <si>
    <t>Under/over recovery balance included in RIN reporting (DREV0113) includes accrued sales at 30 June. Sales are reconciled post September each year to account for the actual sales from quarterly billed accounts. This reporting process impacts the reported recovery in the APP through adjustments to the over and under recovery and applicable interest. External assurance over the data provided for both RIN reporting and APP inputs are externally assured.</t>
  </si>
  <si>
    <t>Explanation of Variance</t>
  </si>
  <si>
    <t>Annual RIN - Transmission Payments</t>
  </si>
  <si>
    <t>Table 8.1.1.2</t>
  </si>
  <si>
    <t>Table 8.1.1.1</t>
  </si>
  <si>
    <t>TUoS Expenditure</t>
  </si>
  <si>
    <t>Variance DREV01 and Dist. Rev. Table 8.1.1.1</t>
  </si>
  <si>
    <t>Jurisdictional Scheme Payments</t>
  </si>
  <si>
    <t>Total DPPC related payments for regulatory year</t>
  </si>
  <si>
    <t>Jurisdictional Scheme Payments for regulatory year</t>
  </si>
  <si>
    <t>Tariff Approval Model - SA Power Networks Reconciliation to Standard Control reported RIN data</t>
  </si>
  <si>
    <t>TUoS Revenue</t>
  </si>
  <si>
    <t>Correction t in t+1</t>
  </si>
  <si>
    <t>Correction t-1 in t</t>
  </si>
  <si>
    <t>Unread 30 June corrections</t>
  </si>
  <si>
    <t>Annual RIN - Jurisdictional Scheme Payments</t>
  </si>
  <si>
    <t>Interest recognised in year t</t>
  </si>
  <si>
    <t>Unexplained (Rounding)</t>
  </si>
  <si>
    <t>Variance $</t>
  </si>
  <si>
    <t>Variance %</t>
  </si>
  <si>
    <t>[1] Interest income/charges included in Annual RIN Distribution revenue line, rather than separately identified as interest. Interest not reported in CA RIN revenue following correspondence with the AER during the 2018/19 APP approval process. Annual RIN to be corrected from 2019/20 RIN Reporting</t>
  </si>
  <si>
    <t>Financial reporting interest recognised in year t</t>
  </si>
  <si>
    <t>Annual RIN - Table 8.1.1.1 Distribution Revenue</t>
  </si>
  <si>
    <t>Finance adjustment for +/- variance's</t>
  </si>
  <si>
    <t>is the annual smoothed revenue requirement for year t</t>
  </si>
  <si>
    <t>t = 1,2…,5</t>
  </si>
  <si>
    <t>t = 1</t>
  </si>
  <si>
    <t>t = 2</t>
  </si>
  <si>
    <t>t = 3, 4, 5</t>
  </si>
  <si>
    <t>is the sum of the STPIS (from year t = 3 onwards), demand management incentive scheme and any other related incentive schemes as they relate to year t-2, applied in year t.</t>
  </si>
  <si>
    <t>is the approved cost pass through amounts (positive or negative) with respect to regulatory year t, as determined by the AER. It will also include any end-of-period adjustment in regulatory year t.</t>
  </si>
  <si>
    <t xml:space="preserve">is the X factor for each year of the 2020-25 RCP as determined in the PTRM, and annually revised for the return on debt update in accordance with the formula specified in attachment 3 – rate of return – calculated in the relevant year. </t>
  </si>
  <si>
    <t>Revenue 20/21 $M</t>
  </si>
  <si>
    <t>Tariff Approval Model - SA Power Networks Reconciliation to Tariff Structure Statement</t>
  </si>
  <si>
    <t>[2]</t>
  </si>
  <si>
    <t>[3]</t>
  </si>
  <si>
    <t>[4]</t>
  </si>
  <si>
    <t>[5]</t>
  </si>
  <si>
    <t>[6]</t>
  </si>
  <si>
    <t>Supply Charge NUoS increase by $10 pa</t>
  </si>
  <si>
    <t>OPCL-ToU peak is 125% of single-rate</t>
  </si>
  <si>
    <t>[7]</t>
  </si>
  <si>
    <t>[8]</t>
  </si>
  <si>
    <t>ToU off-peak is 50% of single-rate</t>
  </si>
  <si>
    <t>OPCL-ToU off-peak is 50% of single-rate</t>
  </si>
  <si>
    <t>ToU solar sponge is 25% of single-rate</t>
  </si>
  <si>
    <t>OPCL-ToU solar sponge is 25% of single-rate</t>
  </si>
  <si>
    <t>CHECK</t>
  </si>
  <si>
    <t>Current Year Rate</t>
  </si>
  <si>
    <t xml:space="preserve">ToU peak is 125% of single-rate </t>
  </si>
  <si>
    <t>Prosumer tariff usage rates are 60% of ToU Rates</t>
  </si>
  <si>
    <t>[9]</t>
  </si>
  <si>
    <t>Movement 
$ / %</t>
  </si>
  <si>
    <t>17.5.7 Pricing relativity to be retained through the 2020-25 RCP - Reconciliation</t>
  </si>
  <si>
    <t>Small business supply charge (NUoS) increase by $20 pa</t>
  </si>
  <si>
    <t>Single-rate equals two-rate with 77.5% peak usage</t>
  </si>
  <si>
    <t>NUoS current year single-rate usage $kWh</t>
  </si>
  <si>
    <t>DUoS current year single-rate usage $kWh</t>
  </si>
  <si>
    <t>Two-rate is 112.7% of single-rate</t>
  </si>
  <si>
    <t>Two-rate off-peak is 50% of peak</t>
  </si>
  <si>
    <t>Two-rate off-peak is 56.3% of single-rate</t>
  </si>
  <si>
    <t>ToU peak is 150% of single-rate</t>
  </si>
  <si>
    <t>ToU shoulder is 104.4% of single-rate</t>
  </si>
  <si>
    <t>ToU off-peak is 56.4% of single-rate</t>
  </si>
  <si>
    <t>[10]</t>
  </si>
  <si>
    <t>[11]</t>
  </si>
  <si>
    <t>[12]</t>
  </si>
  <si>
    <t>Prosumer distribution demand charge kW pa is equal to 
840 kWh of distribution single-rate.</t>
  </si>
  <si>
    <t>ToU+MD distribution demand charge kVA/day is equal to 
283.7 kWh of distribution ToU peak rate</t>
  </si>
  <si>
    <t>TUoS current year single-rate usage $kWh</t>
  </si>
  <si>
    <t>COMMENTS</t>
  </si>
  <si>
    <t>Small Business, Large LV Business and HV actual demand (transition):</t>
  </si>
  <si>
    <t>Supply charges increase by $1000 pa post 2020/21</t>
  </si>
  <si>
    <t>Demand charges remain at 2019/20 levels</t>
  </si>
  <si>
    <t>Small business actual demand - Peak</t>
  </si>
  <si>
    <t>Large LV business actual demand - Peak</t>
  </si>
  <si>
    <t>HV Business actual demand - Peak</t>
  </si>
  <si>
    <t>Small business actual demand - Shoulder</t>
  </si>
  <si>
    <t>Large LV business actual demand - Shoulder</t>
  </si>
  <si>
    <t>HV Business actual demand - Shoulder</t>
  </si>
  <si>
    <t>Large LV type-6 meter tariffs</t>
  </si>
  <si>
    <t>Supply charges as per small business type-6 meter tariff</t>
  </si>
  <si>
    <t>Usage charges 120% of small business type-6 meter charges</t>
  </si>
  <si>
    <t>Large LV and HV Business annual demand</t>
  </si>
  <si>
    <t>Peak usage charge is 1.6 times off-peak usage</t>
  </si>
  <si>
    <t>Large LV and HV business monthly demand</t>
  </si>
  <si>
    <t>all other rates are per large business annual demand</t>
  </si>
  <si>
    <t>Tariff Schedules for year (t)</t>
  </si>
  <si>
    <t>Supply Rate</t>
  </si>
  <si>
    <t>$/day</t>
  </si>
  <si>
    <t>$/kVA/day</t>
  </si>
  <si>
    <t>SUPPLY</t>
  </si>
  <si>
    <t>ENERGY BASED USAGE</t>
  </si>
  <si>
    <t>MONTHLY kVA DEMAND</t>
  </si>
  <si>
    <t>MONTHLY kW DEMAND</t>
  </si>
  <si>
    <t xml:space="preserve">Network Use of Service (NUoS) </t>
  </si>
  <si>
    <t>Annual</t>
  </si>
  <si>
    <t>Summer Demand</t>
  </si>
  <si>
    <t>$kW/day</t>
  </si>
  <si>
    <t>RSR/RSRCL</t>
  </si>
  <si>
    <t>RTOU/RTOUCL</t>
  </si>
  <si>
    <t>RPRO/RPROCL</t>
  </si>
  <si>
    <t xml:space="preserve">Distribution Use of Service (DUoS) </t>
  </si>
  <si>
    <t xml:space="preserve">Jurisdication Obligation Scheme (JSO) </t>
  </si>
  <si>
    <t xml:space="preserve">Transmission Use of Service (TUoS) </t>
  </si>
  <si>
    <t>Tariff Approzal Model - SA Power Networks Derization of Indizidual tariffs (Customer Specific)</t>
  </si>
  <si>
    <t>Year t Expected Usage Quantities</t>
  </si>
  <si>
    <t>TARIFF CLASSES</t>
  </si>
  <si>
    <t>2020/21 QTYs</t>
  </si>
  <si>
    <t>ABOVE</t>
  </si>
  <si>
    <t xml:space="preserve">Residential </t>
  </si>
  <si>
    <t>CL/Hot Water</t>
  </si>
  <si>
    <t>Small LV Business</t>
  </si>
  <si>
    <t xml:space="preserve">Major </t>
  </si>
  <si>
    <t>HVAD033</t>
  </si>
  <si>
    <t>HVAD056</t>
  </si>
  <si>
    <t>HVAD089</t>
  </si>
  <si>
    <t>HVAD130</t>
  </si>
  <si>
    <t>HVAD131</t>
  </si>
  <si>
    <t>HVAD265</t>
  </si>
  <si>
    <t>HVAD439</t>
  </si>
  <si>
    <t>ZSN307</t>
  </si>
  <si>
    <t>ZSN767</t>
  </si>
  <si>
    <t>Peak Usage</t>
  </si>
  <si>
    <t>Off-Peak Usage</t>
  </si>
  <si>
    <t>ZSN272</t>
  </si>
  <si>
    <t>ZSN273</t>
  </si>
  <si>
    <t>HVAD078</t>
  </si>
  <si>
    <t>LBAD201</t>
  </si>
  <si>
    <t>LBAD262</t>
  </si>
  <si>
    <t>LBAD292</t>
  </si>
  <si>
    <t>LBAD322</t>
  </si>
  <si>
    <t>LBAD517</t>
  </si>
  <si>
    <t>LBAD342</t>
  </si>
  <si>
    <t>LBAD583</t>
  </si>
  <si>
    <t>LBAD619</t>
  </si>
  <si>
    <t>LBAD711</t>
  </si>
  <si>
    <t>LBAD977</t>
  </si>
  <si>
    <t>LBMD-SA</t>
  </si>
  <si>
    <t>LBMDW-SA</t>
  </si>
  <si>
    <t>LBAD-SA</t>
  </si>
  <si>
    <t>LBAD-CBD</t>
  </si>
  <si>
    <t>LBMD-CBD</t>
  </si>
  <si>
    <t>LBMDW-CBD</t>
  </si>
  <si>
    <t>LBG-SA</t>
  </si>
  <si>
    <t>LBG-CBD</t>
  </si>
  <si>
    <t>HVAD-SA</t>
  </si>
  <si>
    <t>HVAD-CBD</t>
  </si>
  <si>
    <t>HVMD-SA</t>
  </si>
  <si>
    <t>HVMD-CBD</t>
  </si>
  <si>
    <t>HVMDW-SA</t>
  </si>
  <si>
    <t>HVMDW-CBD</t>
  </si>
  <si>
    <t>HVAD500-SA</t>
  </si>
  <si>
    <t>HVAD500-CBD</t>
  </si>
  <si>
    <t>HVBG-SA</t>
  </si>
  <si>
    <t>HVBG-CBD</t>
  </si>
  <si>
    <t>Year t expected revenue ($'000)</t>
  </si>
  <si>
    <t>Total Residential CL</t>
  </si>
  <si>
    <t>Total Residential excl CL</t>
  </si>
  <si>
    <t>Business excl Major Business</t>
  </si>
  <si>
    <t>FORECAST REVENUE $000's</t>
  </si>
  <si>
    <t>Ave $/MWh</t>
  </si>
  <si>
    <t>[14]</t>
  </si>
  <si>
    <t>[13]</t>
  </si>
  <si>
    <t>ToU+MD usage rates are 80% of ToU - off-peak</t>
  </si>
  <si>
    <t>ToU+MD usage rates are 80% of ToU - shoulder</t>
  </si>
  <si>
    <t>ToU+MD usage rates are 80% of ToU - peak</t>
  </si>
  <si>
    <t>usage charges increase by $0.010/kWh pa</t>
  </si>
  <si>
    <t>Large Business singe-rate</t>
  </si>
  <si>
    <t>Large Business singe-rate usage</t>
  </si>
  <si>
    <t>Unmetered supply usage is 65.4% (DUoS) of single rate</t>
  </si>
  <si>
    <t>Unmetered supply usage is 68.7% (TUoS) of single rate</t>
  </si>
  <si>
    <t>Small Business [SBD]</t>
  </si>
  <si>
    <t>Large Business [BD]</t>
  </si>
  <si>
    <t>HV Business [HBD]</t>
  </si>
  <si>
    <t>Peak monthly demand is 1.5 times the peak annual maximum demand price</t>
  </si>
  <si>
    <t>Ratio</t>
  </si>
  <si>
    <t>NUoS peak annual demand $/kVA</t>
  </si>
  <si>
    <t>NUoS Peak monthly demand $/kVA - annualised</t>
  </si>
  <si>
    <t>Large LV Monthly Demand - supply charge</t>
  </si>
  <si>
    <t>Large LV Monthly Demand - anytime demand</t>
  </si>
  <si>
    <t>Large LV Monthly Demand - peak usage</t>
  </si>
  <si>
    <t>Large LV Monthly Demand - off-peak usage</t>
  </si>
  <si>
    <t>HV Business Monthly Demand - supply charge</t>
  </si>
  <si>
    <t>HV Business Monthly Demand - anytime demand</t>
  </si>
  <si>
    <t>HV Business Monthly Demand - peak usage</t>
  </si>
  <si>
    <t>HV Business Monthly Demand - off-peak usage</t>
  </si>
  <si>
    <t>NUoS peak usage $kWh</t>
  </si>
  <si>
    <t>NUoS off-peak usage $kWh</t>
  </si>
  <si>
    <t>Large Business two-rate</t>
  </si>
  <si>
    <t>Large Business two-rate peak usage</t>
  </si>
  <si>
    <t>Large Business two-rate off-peak usage</t>
  </si>
  <si>
    <t>HVAD381</t>
  </si>
  <si>
    <t>LBMD979</t>
  </si>
  <si>
    <t>ANNUAL kVA DEMAND</t>
  </si>
  <si>
    <t>Actual/Agreed Annual</t>
  </si>
  <si>
    <t xml:space="preserve">Actual Monthly </t>
  </si>
  <si>
    <t>Anytime Year</t>
  </si>
  <si>
    <t>Peak Year</t>
  </si>
  <si>
    <t>BD Summer 5</t>
  </si>
  <si>
    <t>BD Shoulder 12</t>
  </si>
  <si>
    <t>Residential Single Rate (Type 4 meter)</t>
  </si>
  <si>
    <t>Residential Single Rate (Type 6 meter)</t>
  </si>
  <si>
    <t>Residential Single Rate (Type 4 meter) - TOUCL</t>
  </si>
  <si>
    <t>RSROPCL</t>
  </si>
  <si>
    <t>RSR/RSROPCL</t>
  </si>
  <si>
    <t>Real Vanilla WACC</t>
  </si>
  <si>
    <t>Adj Nominal WACC</t>
  </si>
  <si>
    <t>Table 17A-8 - Reconcilation</t>
  </si>
  <si>
    <t>Difference $</t>
  </si>
  <si>
    <t>Difference %</t>
  </si>
  <si>
    <t>JSO (PV FiT)</t>
  </si>
  <si>
    <t>LBAD422</t>
  </si>
  <si>
    <t>Large Business Monthly Demand</t>
  </si>
  <si>
    <t>% Total</t>
  </si>
  <si>
    <t>Allocation Model [B]</t>
  </si>
  <si>
    <t>Tariff Approval Model [C]</t>
  </si>
  <si>
    <t>B/A</t>
  </si>
  <si>
    <t>C/A</t>
  </si>
  <si>
    <t>Change in Percentage Total</t>
  </si>
  <si>
    <t>For each regulatory year after the first year of a regulatory control period, side constraints apply to the weighted average revenue raised from each tariff class. In accordance with the NER, the permissible percentage increase is the greater of CPI–X plus 2 per cent or CPI plus 2 per cent. [NER, cl. 6.18.6(c)]</t>
  </si>
  <si>
    <t>Side Constraint Formula</t>
  </si>
  <si>
    <t>For t=1, 2:</t>
  </si>
  <si>
    <t>For t=3, 4, 5:</t>
  </si>
  <si>
    <t>is the price charged for component ‘j’ of tariff 'i' in year t–1.</t>
  </si>
  <si>
    <t>is the forecast quantity of component 'j' of tariff 'i' in year t.</t>
  </si>
  <si>
    <t>is the X factor for each year of the 2020-25 RCP as determined in the PTRM, and annually revised for the return on debt update in accordance with the formula specified in attachment 3 – rate of return – calculated in the relevant year. If X&gt;0, then X will be set equal to zero for the purposed of the side constraint formula.</t>
  </si>
  <si>
    <t>is the s-factor applicable to the regulatory year t. This s-factor reflects perfromance in year t-2 against STPIS targets set in this decision. This factor will only apply in years t=1 and 2, with new STPIS guidelines providing for a change in the application from year t=3 onwards.</t>
  </si>
  <si>
    <t>Default Tariff &lt;120 kVA demand (incl all Whole Current meters), Type 4 and 5 meters</t>
  </si>
  <si>
    <t>$/kW/mth</t>
  </si>
  <si>
    <t>2020/21 to 2024/25, excl GST</t>
  </si>
  <si>
    <t>Default Tariff, Type 4 and 5 meters - Opt-out</t>
  </si>
  <si>
    <t>Default Tariff &gt;120 kVA demand, type 4 and 5 meters, Opt-in &lt;120 kVA</t>
  </si>
  <si>
    <t>$/kVA/mth</t>
  </si>
  <si>
    <t>$/kVA</t>
  </si>
  <si>
    <t>Opt-in</t>
  </si>
  <si>
    <t>BSR/BSROPCL</t>
  </si>
  <si>
    <t>B2R/B2ROPCL</t>
  </si>
  <si>
    <t>M/QOPCL</t>
  </si>
  <si>
    <t>BSRT/BSRTOPCL</t>
  </si>
  <si>
    <t>B2RT/B2RTOPCL</t>
  </si>
  <si>
    <t>LBAD</t>
  </si>
  <si>
    <t>LBMD</t>
  </si>
  <si>
    <t>LBG</t>
  </si>
  <si>
    <t>HVAD</t>
  </si>
  <si>
    <t>HVMD</t>
  </si>
  <si>
    <t>HVAD500</t>
  </si>
  <si>
    <t>HVBG</t>
  </si>
  <si>
    <t>LBADCBD</t>
  </si>
  <si>
    <t>LBMDCBD</t>
  </si>
  <si>
    <t>LBGCBD</t>
  </si>
  <si>
    <t>HVADCBD</t>
  </si>
  <si>
    <t>HVMDCBD</t>
  </si>
  <si>
    <t>HVAD500CBD</t>
  </si>
  <si>
    <t>HVBGCBD</t>
  </si>
  <si>
    <r>
      <t>Table 3 - Adjustment Annual Revenue for year t (AAR</t>
    </r>
    <r>
      <rPr>
        <b/>
        <vertAlign val="subscript"/>
        <sz val="11"/>
        <color rgb="FF1F4C71"/>
        <rFont val="Calibri"/>
        <family val="2"/>
      </rPr>
      <t>t</t>
    </r>
    <r>
      <rPr>
        <b/>
        <sz val="11"/>
        <color rgb="FF1F4C71"/>
        <rFont val="Calibri"/>
        <family val="2"/>
        <scheme val="minor"/>
      </rPr>
      <t>) for year 2 2021/22</t>
    </r>
  </si>
  <si>
    <r>
      <t xml:space="preserve"> + Adjusted Annual Smoothed Revenues (AAR</t>
    </r>
    <r>
      <rPr>
        <vertAlign val="subscript"/>
        <sz val="9.9"/>
        <rFont val="Calibri"/>
        <family val="2"/>
      </rPr>
      <t>t</t>
    </r>
    <r>
      <rPr>
        <sz val="11"/>
        <rFont val="Calibri"/>
        <family val="2"/>
        <scheme val="minor"/>
      </rPr>
      <t xml:space="preserve">) </t>
    </r>
  </si>
  <si>
    <t>no pass-throughs</t>
  </si>
  <si>
    <t>no B factor items apart from unders/overs</t>
  </si>
  <si>
    <t>Export of PV receiving payment</t>
  </si>
  <si>
    <t>RTOU+TR</t>
  </si>
  <si>
    <t>RTOU+CLTR</t>
  </si>
  <si>
    <t>Residential Trial Time of Use Plus</t>
  </si>
  <si>
    <t>Residential Trial Time of Use Plus with controlled load</t>
  </si>
  <si>
    <t>RTOU+/RTOU+CL</t>
  </si>
  <si>
    <t>Residential Time of Use Plus Trial</t>
  </si>
  <si>
    <t>LBAD087</t>
  </si>
  <si>
    <t>LBAD627</t>
  </si>
  <si>
    <t>LBAD432</t>
  </si>
  <si>
    <t>ZSS550</t>
  </si>
  <si>
    <t>Factor</t>
  </si>
  <si>
    <t>Escalation</t>
  </si>
  <si>
    <t>2020/21 APP [A]</t>
  </si>
  <si>
    <t xml:space="preserve">Tariff Approval Model 
Vs 2020/21 APP </t>
  </si>
  <si>
    <t>Approved 2020/21</t>
  </si>
  <si>
    <t>Proposed 2021/22</t>
  </si>
  <si>
    <t>Prior year NUoS supply charge per annum</t>
  </si>
  <si>
    <t>Summer Peak Demand - 2020/21</t>
  </si>
  <si>
    <t>Shoulder Peak Demand - 2020/21</t>
  </si>
  <si>
    <t>Small Business [SBD] - 2020/21 usage</t>
  </si>
  <si>
    <t>Large Business [BD] - 2020/21 usage</t>
  </si>
  <si>
    <t>HV Business [HBD] - 2020/21 usage</t>
  </si>
  <si>
    <t>Res DUoS % NUoS</t>
  </si>
  <si>
    <t>Small Bus DUoS % of NUoS</t>
  </si>
  <si>
    <t>PROPOSED TARIFFS year t</t>
  </si>
  <si>
    <t>FORECAST QUANTITIES year (t-1)</t>
  </si>
  <si>
    <t>FORECAST REVENUE $000's year t qty at year t-1 price</t>
  </si>
  <si>
    <t>FORECAST QUANTITIES year t</t>
  </si>
  <si>
    <t>PROPOSED TARIFFS year t-1</t>
  </si>
  <si>
    <t>FORECAST REVENUE year t-1 quantities at year t prices $000's</t>
  </si>
  <si>
    <t>S factor for period t (year 1, 2)</t>
  </si>
  <si>
    <t>Greater of Permissable and (1+CPI+2%)</t>
  </si>
  <si>
    <t>non-locational</t>
  </si>
  <si>
    <t>2018/20</t>
  </si>
  <si>
    <r>
      <t>Total Annual Revenue for year t (TAR</t>
    </r>
    <r>
      <rPr>
        <b/>
        <vertAlign val="subscript"/>
        <sz val="11"/>
        <rFont val="Calibri"/>
        <family val="2"/>
        <scheme val="minor"/>
      </rPr>
      <t>t</t>
    </r>
    <r>
      <rPr>
        <b/>
        <sz val="11"/>
        <rFont val="Calibri"/>
        <family val="2"/>
        <scheme val="minor"/>
      </rPr>
      <t>)</t>
    </r>
  </si>
  <si>
    <t>Revenue from DUoS charges for year t</t>
  </si>
  <si>
    <r>
      <t>Adjusted annual smoothed revenue for year t (AAR</t>
    </r>
    <r>
      <rPr>
        <vertAlign val="subscript"/>
        <sz val="11"/>
        <rFont val="Calibri"/>
        <family val="2"/>
        <scheme val="minor"/>
      </rPr>
      <t>t</t>
    </r>
    <r>
      <rPr>
        <sz val="11"/>
        <rFont val="Calibri"/>
        <family val="2"/>
        <scheme val="minor"/>
      </rPr>
      <t>)</t>
    </r>
  </si>
  <si>
    <r>
      <t>Annual Smoothed Revenue for year t-1 (AAR</t>
    </r>
    <r>
      <rPr>
        <vertAlign val="subscript"/>
        <sz val="10"/>
        <rFont val="Calibri"/>
        <family val="2"/>
        <scheme val="minor"/>
      </rPr>
      <t>t-1</t>
    </r>
    <r>
      <rPr>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</si>
</sst>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4" formatCode="_-&quot;$&quot;* #,##0.00_-;\-&quot;$&quot;* #,##0.00_-;_-&quot;$&quot;* &quot;-&quot;??_-;_-@_-"/>
    <numFmt numFmtId="43" formatCode="_-* #,##0.00_-;\-* #,##0.00_-;_-* &quot;-&quot;??_-;_-@_-"/>
    <numFmt numFmtId="164" formatCode="_(* #,##0_);_(* \(#,##0\);_(* &quot;-&quot;_);_(@_)"/>
    <numFmt numFmtId="165" formatCode="_-* #,##0_-;\-* #,##0_-;_-* &quot;-&quot;??_-;_-@_-"/>
    <numFmt numFmtId="166" formatCode="0.0"/>
    <numFmt numFmtId="167" formatCode="0.0000"/>
    <numFmt numFmtId="168" formatCode="0.0000%"/>
    <numFmt numFmtId="169" formatCode="_(* #,##0.0000_);_(* \(#,##0.0000\);_(* &quot;-&quot;_);_(@_)"/>
    <numFmt numFmtId="170" formatCode="_-* #,##0.0000_-;\-* #,##0.0000_-;_-* &quot;-&quot;??_-;_-@_-"/>
    <numFmt numFmtId="171" formatCode="&quot;$&quot;#,##0"/>
    <numFmt numFmtId="172" formatCode="0.000"/>
    <numFmt numFmtId="173" formatCode="_(* #,##0.00_);_(* \(#,##0.00\);_(* &quot;-&quot;_);_(@_)"/>
    <numFmt numFmtId="174" formatCode="_-&quot;$&quot;* #,##0.000000_-;\-&quot;$&quot;* #,##0.000000_-;_-&quot;$&quot;* &quot;-&quot;??????_-;_-@_-"/>
    <numFmt numFmtId="175" formatCode="_-&quot;$&quot;* #,##0.0000_-;\-&quot;$&quot;* #,##0.0000_-;_-&quot;$&quot;* &quot;-&quot;??_-;_-@_-"/>
    <numFmt numFmtId="176" formatCode="0.0%"/>
    <numFmt numFmtId="177" formatCode="_(* #,##0.0_);_(* \(#,##0.0\);_(* &quot;-&quot;_);_(@_)"/>
    <numFmt numFmtId="178" formatCode="_-* #,##0.0_-;\-* #,##0.0_-;_-* &quot;-&quot;?_-;_-@_-"/>
    <numFmt numFmtId="179" formatCode="_(* #,##0.000_);_(* \(#,##0.000\);_(* &quot;-&quot;_);_(@_)"/>
    <numFmt numFmtId="180" formatCode="_-* #,##0.0000_-;\-* #,##0.0000_-;_-* &quot;-&quot;????_-;_-@_-"/>
    <numFmt numFmtId="181" formatCode="_(* #,##0.000000_);_(* \(#,##0.000000\);_(* &quot;-&quot;_);_(@_)"/>
    <numFmt numFmtId="182" formatCode="0.00000"/>
    <numFmt numFmtId="183" formatCode="0.000%"/>
  </numFmts>
  <fonts count="54" x14ac:knownFonts="1">
    <font>
      <sz val="10"/>
      <name val="Arial"/>
      <family val="2"/>
    </font>
    <font>
      <sz val="11"/>
      <color theme="1"/>
      <name val="Calibri"/>
      <family val="2"/>
    </font>
    <font>
      <sz val="11"/>
      <color theme="1"/>
      <name val="Calibri"/>
      <family val="2"/>
    </font>
    <font>
      <sz val="10"/>
      <name val="Arial"/>
      <family val="2"/>
    </font>
    <font>
      <b/>
      <sz val="16"/>
      <name val="Calibri"/>
      <family val="2"/>
      <scheme val="minor"/>
    </font>
    <font>
      <sz val="10"/>
      <name val="Calibri"/>
      <family val="2"/>
      <scheme val="minor"/>
    </font>
    <font>
      <b/>
      <sz val="10"/>
      <name val="Calibri"/>
      <family val="2"/>
      <scheme val="minor"/>
    </font>
    <font>
      <b/>
      <sz val="14"/>
      <name val="Arial"/>
      <family val="2"/>
    </font>
    <font>
      <sz val="10"/>
      <color rgb="FFC00000"/>
      <name val="Calibri"/>
      <family val="2"/>
      <scheme val="minor"/>
    </font>
    <font>
      <b/>
      <sz val="14"/>
      <name val="Calibri"/>
      <family val="2"/>
      <scheme val="minor"/>
    </font>
    <font>
      <sz val="10"/>
      <color rgb="FF0000FF"/>
      <name val="Calibri"/>
      <family val="2"/>
      <scheme val="minor"/>
    </font>
    <font>
      <b/>
      <sz val="14"/>
      <color theme="0"/>
      <name val="Calibri"/>
      <family val="2"/>
      <scheme val="minor"/>
    </font>
    <font>
      <b/>
      <u/>
      <sz val="10"/>
      <name val="Calibri"/>
      <family val="2"/>
      <scheme val="minor"/>
    </font>
    <font>
      <b/>
      <sz val="9"/>
      <color indexed="81"/>
      <name val="Tahoma"/>
      <family val="2"/>
    </font>
    <font>
      <sz val="9"/>
      <color indexed="81"/>
      <name val="Tahoma"/>
      <family val="2"/>
    </font>
    <font>
      <b/>
      <sz val="12"/>
      <name val="Calibri"/>
      <family val="2"/>
      <scheme val="minor"/>
    </font>
    <font>
      <sz val="11"/>
      <name val="Calibri"/>
      <family val="2"/>
      <scheme val="minor"/>
    </font>
    <font>
      <b/>
      <sz val="11"/>
      <name val="Calibri"/>
      <family val="2"/>
      <scheme val="minor"/>
    </font>
    <font>
      <sz val="11"/>
      <color rgb="FF0000FF"/>
      <name val="Calibri"/>
      <family val="2"/>
      <scheme val="minor"/>
    </font>
    <font>
      <b/>
      <sz val="16"/>
      <color theme="0"/>
      <name val="Calibri"/>
      <family val="2"/>
      <scheme val="minor"/>
    </font>
    <font>
      <sz val="11"/>
      <color rgb="FFC00000"/>
      <name val="Calibri"/>
      <family val="2"/>
      <scheme val="minor"/>
    </font>
    <font>
      <b/>
      <sz val="11"/>
      <color theme="0"/>
      <name val="Calibri"/>
      <family val="2"/>
      <scheme val="minor"/>
    </font>
    <font>
      <b/>
      <u/>
      <sz val="11"/>
      <name val="Calibri"/>
      <family val="2"/>
      <scheme val="minor"/>
    </font>
    <font>
      <b/>
      <sz val="11"/>
      <color rgb="FF0000FF"/>
      <name val="Calibri"/>
      <family val="2"/>
      <scheme val="minor"/>
    </font>
    <font>
      <b/>
      <sz val="11"/>
      <color rgb="FFC00000"/>
      <name val="Calibri"/>
      <family val="2"/>
      <scheme val="minor"/>
    </font>
    <font>
      <sz val="11"/>
      <name val="Arial"/>
      <family val="2"/>
    </font>
    <font>
      <sz val="8"/>
      <name val="Arial"/>
      <family val="2"/>
    </font>
    <font>
      <sz val="12"/>
      <name val="Calibri"/>
      <family val="2"/>
      <scheme val="minor"/>
    </font>
    <font>
      <b/>
      <sz val="11"/>
      <name val="Calibri"/>
      <family val="2"/>
    </font>
    <font>
      <b/>
      <sz val="12"/>
      <color theme="1"/>
      <name val="Calibri"/>
      <family val="2"/>
    </font>
    <font>
      <b/>
      <i/>
      <sz val="11"/>
      <color theme="1"/>
      <name val="Calibri"/>
      <family val="2"/>
    </font>
    <font>
      <sz val="11"/>
      <color rgb="FF9C0006"/>
      <name val="Calibri"/>
      <family val="2"/>
    </font>
    <font>
      <b/>
      <sz val="12"/>
      <color rgb="FF1F4C71"/>
      <name val="Calibri"/>
      <family val="2"/>
      <scheme val="minor"/>
    </font>
    <font>
      <b/>
      <sz val="11"/>
      <color indexed="10"/>
      <name val="Calibri"/>
      <family val="2"/>
      <scheme val="minor"/>
    </font>
    <font>
      <b/>
      <vertAlign val="subscript"/>
      <sz val="9.9"/>
      <name val="Calibri"/>
      <family val="2"/>
    </font>
    <font>
      <b/>
      <sz val="11"/>
      <color theme="1"/>
      <name val="Calibri"/>
      <family val="2"/>
    </font>
    <font>
      <vertAlign val="subscript"/>
      <sz val="9.9"/>
      <name val="Calibri"/>
      <family val="2"/>
    </font>
    <font>
      <b/>
      <sz val="11"/>
      <color rgb="FF1F4C71"/>
      <name val="Calibri"/>
      <family val="2"/>
      <scheme val="minor"/>
    </font>
    <font>
      <b/>
      <vertAlign val="subscript"/>
      <sz val="11"/>
      <color rgb="FF1F4C71"/>
      <name val="Calibri"/>
      <family val="2"/>
    </font>
    <font>
      <sz val="11"/>
      <color theme="1"/>
      <name val="Calibri"/>
      <family val="2"/>
      <scheme val="minor"/>
    </font>
    <font>
      <b/>
      <sz val="11"/>
      <color theme="1"/>
      <name val="Calibri"/>
      <family val="2"/>
      <scheme val="minor"/>
    </font>
    <font>
      <sz val="9"/>
      <name val="Calibri"/>
      <family val="2"/>
      <scheme val="minor"/>
    </font>
    <font>
      <b/>
      <sz val="11"/>
      <color theme="5"/>
      <name val="Calibri"/>
      <family val="2"/>
      <scheme val="minor"/>
    </font>
    <font>
      <sz val="11"/>
      <name val="Calibri"/>
      <family val="2"/>
    </font>
    <font>
      <sz val="11"/>
      <color rgb="FF0000FF"/>
      <name val="Calibri"/>
      <family val="2"/>
    </font>
    <font>
      <u/>
      <sz val="10"/>
      <name val="Calibri"/>
      <family val="2"/>
      <scheme val="minor"/>
    </font>
    <font>
      <i/>
      <sz val="10"/>
      <name val="Calibri"/>
      <family val="2"/>
      <scheme val="minor"/>
    </font>
    <font>
      <b/>
      <sz val="14"/>
      <color rgb="FFC00000"/>
      <name val="Calibri"/>
      <family val="2"/>
      <scheme val="minor"/>
    </font>
    <font>
      <b/>
      <strike/>
      <sz val="11"/>
      <color rgb="FF0000FF"/>
      <name val="Calibri"/>
      <family val="2"/>
      <scheme val="minor"/>
    </font>
    <font>
      <strike/>
      <sz val="10"/>
      <name val="Calibri"/>
      <family val="2"/>
      <scheme val="minor"/>
    </font>
    <font>
      <strike/>
      <sz val="11"/>
      <name val="Calibri"/>
      <family val="2"/>
      <scheme val="minor"/>
    </font>
    <font>
      <b/>
      <vertAlign val="subscript"/>
      <sz val="11"/>
      <name val="Calibri"/>
      <family val="2"/>
      <scheme val="minor"/>
    </font>
    <font>
      <vertAlign val="subscript"/>
      <sz val="11"/>
      <name val="Calibri"/>
      <family val="2"/>
      <scheme val="minor"/>
    </font>
    <font>
      <vertAlign val="subscript"/>
      <sz val="10"/>
      <name val="Calibri"/>
      <family val="2"/>
      <scheme val="minor"/>
    </font>
  </fonts>
  <fills count="26">
    <fill>
      <patternFill patternType="none"/>
    </fill>
    <fill>
      <patternFill patternType="gray125"/>
    </fill>
    <fill>
      <patternFill patternType="solid">
        <fgColor rgb="FF1F4C71"/>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indexed="27"/>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Gray">
        <fgColor theme="2" tint="-9.9948118533890809E-2"/>
        <bgColor indexed="65"/>
      </patternFill>
    </fill>
    <fill>
      <patternFill patternType="lightGray">
        <fgColor theme="0" tint="-0.14996795556505021"/>
        <bgColor indexed="65"/>
      </patternFill>
    </fill>
    <fill>
      <patternFill patternType="solid">
        <fgColor rgb="FFFFC7CE"/>
      </patternFill>
    </fill>
    <fill>
      <patternFill patternType="solid">
        <fgColor indexed="41"/>
        <bgColor indexed="64"/>
      </patternFill>
    </fill>
    <fill>
      <patternFill patternType="solid">
        <fgColor theme="5" tint="0.59999389629810485"/>
        <bgColor indexed="65"/>
      </patternFill>
    </fill>
    <fill>
      <patternFill patternType="solid">
        <fgColor rgb="FFFFFFCC"/>
        <bgColor indexed="64"/>
      </patternFill>
    </fill>
    <fill>
      <patternFill patternType="lightGray">
        <fgColor theme="0" tint="-0.34998626667073579"/>
        <bgColor auto="1"/>
      </patternFill>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499984740745262"/>
        <bgColor indexed="64"/>
      </patternFill>
    </fill>
  </fills>
  <borders count="39">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mediumDashed">
        <color theme="1" tint="0.499984740745262"/>
      </top>
      <bottom/>
      <diagonal/>
    </border>
    <border>
      <left/>
      <right/>
      <top style="medium">
        <color theme="1" tint="0.499984740745262"/>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10">
    <xf numFmtId="0" fontId="0" fillId="0" borderId="0" applyProtection="0"/>
    <xf numFmtId="164" fontId="3" fillId="0" borderId="0" applyFont="0" applyFill="0" applyBorder="0" applyAlignment="0"/>
    <xf numFmtId="9" fontId="3" fillId="0" borderId="0" applyFont="0" applyFill="0" applyBorder="0" applyAlignment="0" applyProtection="0"/>
    <xf numFmtId="43" fontId="3" fillId="0" borderId="0" applyFont="0" applyFill="0" applyBorder="0" applyAlignment="0" applyProtection="0"/>
    <xf numFmtId="164" fontId="3" fillId="5" borderId="0" applyFont="0" applyBorder="0" applyAlignment="0">
      <alignment horizontal="right"/>
      <protection locked="0"/>
    </xf>
    <xf numFmtId="0" fontId="2" fillId="0" borderId="0"/>
    <xf numFmtId="0" fontId="31" fillId="16" borderId="0" applyNumberFormat="0" applyBorder="0" applyAlignment="0" applyProtection="0"/>
    <xf numFmtId="0" fontId="1" fillId="1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941">
    <xf numFmtId="0" fontId="0" fillId="0" borderId="0" xfId="0"/>
    <xf numFmtId="2" fontId="4" fillId="0" borderId="0" xfId="1" applyNumberFormat="1" applyFont="1" applyAlignment="1">
      <alignment horizontal="left"/>
    </xf>
    <xf numFmtId="0" fontId="5" fillId="0" borderId="0" xfId="0" applyFont="1" applyProtection="1"/>
    <xf numFmtId="0" fontId="5" fillId="0" borderId="0" xfId="0" applyFont="1"/>
    <xf numFmtId="2" fontId="6" fillId="0" borderId="0" xfId="1" applyNumberFormat="1" applyFont="1" applyAlignment="1">
      <alignment horizontal="left"/>
    </xf>
    <xf numFmtId="2" fontId="7" fillId="0" borderId="0" xfId="3" applyNumberFormat="1" applyFont="1" applyAlignment="1" applyProtection="1">
      <alignment horizontal="left"/>
    </xf>
    <xf numFmtId="9" fontId="8" fillId="0" borderId="0" xfId="2" quotePrefix="1" applyFont="1" applyAlignment="1">
      <alignment vertical="center"/>
    </xf>
    <xf numFmtId="2" fontId="9" fillId="0" borderId="0" xfId="1" applyNumberFormat="1" applyFont="1" applyFill="1" applyAlignment="1">
      <alignment horizontal="left"/>
    </xf>
    <xf numFmtId="2" fontId="6" fillId="0" borderId="0" xfId="1" applyNumberFormat="1" applyFont="1" applyFill="1" applyAlignment="1">
      <alignment horizontal="left"/>
    </xf>
    <xf numFmtId="9" fontId="5" fillId="0" borderId="0" xfId="2" applyFont="1"/>
    <xf numFmtId="0" fontId="5" fillId="0" borderId="1" xfId="0" applyFont="1" applyBorder="1"/>
    <xf numFmtId="0" fontId="6" fillId="0" borderId="2" xfId="0" applyFont="1" applyBorder="1"/>
    <xf numFmtId="0" fontId="5" fillId="0" borderId="3" xfId="0" applyFont="1" applyBorder="1"/>
    <xf numFmtId="0" fontId="5" fillId="0" borderId="4" xfId="0" applyFont="1" applyBorder="1"/>
    <xf numFmtId="0" fontId="6" fillId="0" borderId="3" xfId="0" applyFont="1" applyBorder="1"/>
    <xf numFmtId="0" fontId="6" fillId="0" borderId="4" xfId="0" applyFont="1" applyBorder="1"/>
    <xf numFmtId="1" fontId="6" fillId="0" borderId="3" xfId="0" applyNumberFormat="1" applyFont="1" applyBorder="1"/>
    <xf numFmtId="1" fontId="6" fillId="0" borderId="4" xfId="0" applyNumberFormat="1" applyFont="1" applyBorder="1"/>
    <xf numFmtId="0" fontId="6" fillId="0" borderId="6" xfId="0" applyFont="1" applyBorder="1"/>
    <xf numFmtId="0" fontId="5" fillId="0" borderId="6" xfId="0" applyFont="1" applyBorder="1" applyAlignment="1">
      <alignment horizontal="center"/>
    </xf>
    <xf numFmtId="0" fontId="5" fillId="0" borderId="7" xfId="0" applyFont="1" applyBorder="1" applyAlignment="1">
      <alignment horizontal="left"/>
    </xf>
    <xf numFmtId="0" fontId="5" fillId="0" borderId="0" xfId="0" applyFont="1" applyAlignment="1">
      <alignment horizontal="center"/>
    </xf>
    <xf numFmtId="0" fontId="5" fillId="0" borderId="1" xfId="0" applyFont="1" applyBorder="1" applyAlignment="1">
      <alignment horizontal="center"/>
    </xf>
    <xf numFmtId="0" fontId="5" fillId="0" borderId="0" xfId="0" applyFont="1" applyAlignment="1">
      <alignment horizontal="left"/>
    </xf>
    <xf numFmtId="0" fontId="6" fillId="0" borderId="7" xfId="0" applyFont="1" applyBorder="1" applyAlignment="1">
      <alignment horizontal="left"/>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6" fillId="0" borderId="5" xfId="0" applyFont="1" applyBorder="1" applyAlignment="1">
      <alignment horizontal="center"/>
    </xf>
    <xf numFmtId="0" fontId="5" fillId="0" borderId="5"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5" fillId="0" borderId="3"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6" fillId="0" borderId="6" xfId="0" applyFont="1" applyBorder="1" applyAlignment="1">
      <alignment horizontal="center"/>
    </xf>
    <xf numFmtId="0" fontId="6" fillId="0" borderId="0" xfId="0" applyFont="1"/>
    <xf numFmtId="0" fontId="6" fillId="0" borderId="1" xfId="0" applyFont="1" applyBorder="1"/>
    <xf numFmtId="0" fontId="5" fillId="0" borderId="6" xfId="0" applyFont="1" applyBorder="1" applyAlignment="1" applyProtection="1">
      <alignment horizontal="center"/>
      <protection locked="0"/>
    </xf>
    <xf numFmtId="0" fontId="5" fillId="0" borderId="7"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1" xfId="0" applyFont="1" applyBorder="1" applyAlignment="1" applyProtection="1">
      <alignment horizontal="center"/>
      <protection locked="0"/>
    </xf>
    <xf numFmtId="3" fontId="5" fillId="0" borderId="0" xfId="4" applyNumberFormat="1" applyFont="1" applyFill="1" applyBorder="1">
      <alignment horizontal="right"/>
      <protection locked="0"/>
    </xf>
    <xf numFmtId="3" fontId="5" fillId="0" borderId="1" xfId="4" applyNumberFormat="1" applyFont="1" applyFill="1" applyBorder="1">
      <alignment horizontal="right"/>
      <protection locked="0"/>
    </xf>
    <xf numFmtId="164" fontId="5" fillId="6" borderId="0" xfId="4" applyFont="1" applyFill="1" applyBorder="1" applyAlignment="1">
      <alignment horizontal="left" wrapText="1"/>
      <protection locked="0"/>
    </xf>
    <xf numFmtId="164" fontId="5" fillId="6" borderId="1" xfId="4" applyFont="1" applyFill="1" applyBorder="1" applyAlignment="1">
      <alignment horizontal="left" wrapText="1"/>
      <protection locked="0"/>
    </xf>
    <xf numFmtId="164" fontId="5" fillId="5" borderId="1" xfId="4" applyFont="1" applyBorder="1" applyAlignment="1">
      <alignment horizontal="left"/>
      <protection locked="0"/>
    </xf>
    <xf numFmtId="164" fontId="5" fillId="5" borderId="6" xfId="4" applyFont="1" applyBorder="1">
      <alignment horizontal="right"/>
      <protection locked="0"/>
    </xf>
    <xf numFmtId="164" fontId="5" fillId="5" borderId="7" xfId="4" applyFont="1" applyBorder="1">
      <alignment horizontal="right"/>
      <protection locked="0"/>
    </xf>
    <xf numFmtId="0" fontId="5" fillId="0" borderId="0" xfId="0" applyFont="1" applyProtection="1">
      <protection locked="0"/>
    </xf>
    <xf numFmtId="0" fontId="5" fillId="0" borderId="1" xfId="0" applyFont="1" applyBorder="1" applyProtection="1">
      <protection locked="0"/>
    </xf>
    <xf numFmtId="164" fontId="5" fillId="0" borderId="0" xfId="1" applyFont="1" applyFill="1" applyBorder="1"/>
    <xf numFmtId="164" fontId="5" fillId="0" borderId="1" xfId="1" applyFont="1" applyFill="1" applyBorder="1"/>
    <xf numFmtId="164" fontId="5" fillId="5" borderId="0" xfId="4" applyFont="1" applyBorder="1">
      <alignment horizontal="right"/>
      <protection locked="0"/>
    </xf>
    <xf numFmtId="164" fontId="5" fillId="5" borderId="1" xfId="4" applyFont="1" applyBorder="1">
      <alignment horizontal="right"/>
      <protection locked="0"/>
    </xf>
    <xf numFmtId="164" fontId="5" fillId="6" borderId="9" xfId="4" applyFont="1" applyFill="1" applyBorder="1" applyAlignment="1">
      <alignment horizontal="left" wrapText="1"/>
      <protection locked="0"/>
    </xf>
    <xf numFmtId="164" fontId="5" fillId="6" borderId="10" xfId="4" applyFont="1" applyFill="1" applyBorder="1" applyAlignment="1">
      <alignment horizontal="left" wrapText="1"/>
      <protection locked="0"/>
    </xf>
    <xf numFmtId="164" fontId="5" fillId="5" borderId="10" xfId="4" applyFont="1" applyBorder="1" applyAlignment="1">
      <alignment horizontal="left"/>
      <protection locked="0"/>
    </xf>
    <xf numFmtId="164" fontId="5" fillId="5" borderId="8" xfId="4" applyFont="1" applyBorder="1">
      <alignment horizontal="right"/>
      <protection locked="0"/>
    </xf>
    <xf numFmtId="0" fontId="5" fillId="0" borderId="11" xfId="0" applyFont="1" applyBorder="1" applyAlignment="1" applyProtection="1">
      <alignment horizontal="center"/>
      <protection locked="0"/>
    </xf>
    <xf numFmtId="164" fontId="5" fillId="5" borderId="9" xfId="4" applyFont="1" applyBorder="1">
      <alignment horizontal="right"/>
      <protection locked="0"/>
    </xf>
    <xf numFmtId="164" fontId="5" fillId="5" borderId="10" xfId="4" applyFont="1" applyBorder="1">
      <alignment horizontal="right"/>
      <protection locked="0"/>
    </xf>
    <xf numFmtId="0" fontId="5" fillId="0" borderId="9" xfId="0" applyFont="1" applyBorder="1" applyProtection="1">
      <protection locked="0"/>
    </xf>
    <xf numFmtId="0" fontId="5" fillId="0" borderId="9" xfId="0" applyFont="1" applyBorder="1" applyAlignment="1" applyProtection="1">
      <alignment horizontal="center"/>
      <protection locked="0"/>
    </xf>
    <xf numFmtId="0" fontId="5" fillId="0" borderId="10" xfId="0" applyFont="1" applyBorder="1" applyAlignment="1" applyProtection="1">
      <alignment horizontal="center"/>
      <protection locked="0"/>
    </xf>
    <xf numFmtId="164" fontId="5" fillId="5" borderId="11" xfId="4" applyFont="1" applyBorder="1">
      <alignment horizontal="right"/>
      <protection locked="0"/>
    </xf>
    <xf numFmtId="0" fontId="5" fillId="0" borderId="5" xfId="0" applyFont="1" applyBorder="1" applyAlignment="1" applyProtection="1">
      <alignment horizontal="center"/>
    </xf>
    <xf numFmtId="0" fontId="5" fillId="0" borderId="2" xfId="0" applyFont="1" applyBorder="1" applyAlignment="1" applyProtection="1">
      <alignment horizontal="center"/>
    </xf>
    <xf numFmtId="0" fontId="5" fillId="0" borderId="3" xfId="0" applyFont="1" applyBorder="1" applyAlignment="1" applyProtection="1">
      <alignment horizontal="center"/>
    </xf>
    <xf numFmtId="0" fontId="5" fillId="0" borderId="4" xfId="0" applyFont="1" applyBorder="1" applyAlignment="1" applyProtection="1">
      <alignment horizontal="center"/>
    </xf>
    <xf numFmtId="164" fontId="5" fillId="0" borderId="3" xfId="1" applyFont="1" applyFill="1" applyBorder="1"/>
    <xf numFmtId="164" fontId="5" fillId="0" borderId="4" xfId="1" applyFont="1" applyFill="1" applyBorder="1"/>
    <xf numFmtId="0" fontId="5" fillId="0" borderId="6" xfId="0" applyFont="1" applyBorder="1" applyAlignment="1" applyProtection="1">
      <alignment horizontal="center"/>
    </xf>
    <xf numFmtId="0" fontId="5" fillId="0" borderId="7" xfId="0" applyFont="1" applyBorder="1" applyAlignment="1" applyProtection="1">
      <alignment horizontal="center"/>
    </xf>
    <xf numFmtId="0" fontId="5" fillId="0" borderId="0" xfId="0" applyFont="1" applyAlignment="1" applyProtection="1">
      <alignment horizontal="center"/>
    </xf>
    <xf numFmtId="0" fontId="5" fillId="0" borderId="1" xfId="0" applyFont="1" applyBorder="1" applyAlignment="1" applyProtection="1">
      <alignment horizontal="center"/>
    </xf>
    <xf numFmtId="164" fontId="5" fillId="6" borderId="1" xfId="4" applyFont="1" applyFill="1" applyBorder="1" applyAlignment="1">
      <alignment horizontal="left"/>
      <protection locked="0"/>
    </xf>
    <xf numFmtId="164" fontId="5" fillId="6" borderId="6" xfId="4" applyFont="1" applyFill="1" applyBorder="1">
      <alignment horizontal="right"/>
      <protection locked="0"/>
    </xf>
    <xf numFmtId="164" fontId="5" fillId="6" borderId="7" xfId="4" applyFont="1" applyFill="1" applyBorder="1">
      <alignment horizontal="right"/>
      <protection locked="0"/>
    </xf>
    <xf numFmtId="164" fontId="5" fillId="0" borderId="0" xfId="4" applyFont="1" applyFill="1" applyBorder="1">
      <alignment horizontal="right"/>
      <protection locked="0"/>
    </xf>
    <xf numFmtId="164" fontId="5" fillId="0" borderId="1" xfId="4" applyFont="1" applyFill="1" applyBorder="1">
      <alignment horizontal="right"/>
      <protection locked="0"/>
    </xf>
    <xf numFmtId="164" fontId="5" fillId="0" borderId="7" xfId="4" applyFont="1" applyFill="1" applyBorder="1">
      <alignment horizontal="right"/>
      <protection locked="0"/>
    </xf>
    <xf numFmtId="164" fontId="5" fillId="7" borderId="7" xfId="4" applyFont="1" applyFill="1" applyBorder="1">
      <alignment horizontal="right"/>
      <protection locked="0"/>
    </xf>
    <xf numFmtId="164" fontId="5" fillId="7" borderId="1" xfId="4" applyFont="1" applyFill="1" applyBorder="1">
      <alignment horizontal="right"/>
      <protection locked="0"/>
    </xf>
    <xf numFmtId="164" fontId="6" fillId="0" borderId="0" xfId="4" applyFont="1" applyFill="1" applyBorder="1" applyAlignment="1">
      <alignment horizontal="left"/>
      <protection locked="0"/>
    </xf>
    <xf numFmtId="164" fontId="6" fillId="0" borderId="1" xfId="4" applyFont="1" applyFill="1" applyBorder="1" applyAlignment="1">
      <alignment horizontal="left"/>
      <protection locked="0"/>
    </xf>
    <xf numFmtId="164" fontId="5" fillId="0" borderId="6" xfId="4" applyFont="1" applyFill="1" applyBorder="1">
      <alignment horizontal="right"/>
      <protection locked="0"/>
    </xf>
    <xf numFmtId="164" fontId="5" fillId="6" borderId="0" xfId="4" applyFont="1" applyFill="1" applyBorder="1">
      <alignment horizontal="right"/>
      <protection locked="0"/>
    </xf>
    <xf numFmtId="164" fontId="5" fillId="6" borderId="1" xfId="4" applyFont="1" applyFill="1" applyBorder="1">
      <alignment horizontal="right"/>
      <protection locked="0"/>
    </xf>
    <xf numFmtId="164" fontId="5" fillId="6" borderId="10" xfId="4" applyFont="1" applyFill="1" applyBorder="1" applyAlignment="1">
      <alignment horizontal="left"/>
      <protection locked="0"/>
    </xf>
    <xf numFmtId="164" fontId="5" fillId="6" borderId="8" xfId="4" applyFont="1" applyFill="1" applyBorder="1">
      <alignment horizontal="right"/>
      <protection locked="0"/>
    </xf>
    <xf numFmtId="164" fontId="5" fillId="6" borderId="11" xfId="4" applyFont="1" applyFill="1" applyBorder="1">
      <alignment horizontal="right"/>
      <protection locked="0"/>
    </xf>
    <xf numFmtId="164" fontId="5" fillId="0" borderId="9" xfId="4" applyFont="1" applyFill="1" applyBorder="1">
      <alignment horizontal="right"/>
      <protection locked="0"/>
    </xf>
    <xf numFmtId="164" fontId="5" fillId="0" borderId="10" xfId="4" applyFont="1" applyFill="1" applyBorder="1">
      <alignment horizontal="right"/>
      <protection locked="0"/>
    </xf>
    <xf numFmtId="164" fontId="5" fillId="6" borderId="9" xfId="4" applyFont="1" applyFill="1" applyBorder="1">
      <alignment horizontal="right"/>
      <protection locked="0"/>
    </xf>
    <xf numFmtId="164" fontId="5" fillId="6" borderId="10" xfId="4" applyFont="1" applyFill="1" applyBorder="1">
      <alignment horizontal="right"/>
      <protection locked="0"/>
    </xf>
    <xf numFmtId="164" fontId="5" fillId="0" borderId="11" xfId="4" applyFont="1" applyFill="1" applyBorder="1">
      <alignment horizontal="right"/>
      <protection locked="0"/>
    </xf>
    <xf numFmtId="164" fontId="5" fillId="7" borderId="11" xfId="4" applyFont="1" applyFill="1" applyBorder="1">
      <alignment horizontal="right"/>
      <protection locked="0"/>
    </xf>
    <xf numFmtId="164" fontId="5" fillId="7" borderId="10" xfId="4" applyFont="1" applyFill="1" applyBorder="1">
      <alignment horizontal="right"/>
      <protection locked="0"/>
    </xf>
    <xf numFmtId="164" fontId="5" fillId="0" borderId="4" xfId="4" applyFont="1" applyFill="1" applyBorder="1" applyAlignment="1">
      <alignment horizontal="left"/>
      <protection locked="0"/>
    </xf>
    <xf numFmtId="164" fontId="5" fillId="0" borderId="5" xfId="4" applyFont="1" applyFill="1" applyBorder="1">
      <alignment horizontal="right"/>
      <protection locked="0"/>
    </xf>
    <xf numFmtId="164" fontId="5" fillId="0" borderId="2" xfId="4" applyFont="1" applyFill="1" applyBorder="1">
      <alignment horizontal="right"/>
      <protection locked="0"/>
    </xf>
    <xf numFmtId="164" fontId="5" fillId="0" borderId="3" xfId="4" applyFont="1" applyFill="1" applyBorder="1">
      <alignment horizontal="right"/>
      <protection locked="0"/>
    </xf>
    <xf numFmtId="164" fontId="5" fillId="0" borderId="4" xfId="4" applyFont="1" applyFill="1" applyBorder="1">
      <alignment horizontal="right"/>
      <protection locked="0"/>
    </xf>
    <xf numFmtId="164" fontId="5" fillId="6" borderId="6" xfId="4" applyFont="1" applyFill="1" applyBorder="1" applyAlignment="1">
      <alignment horizontal="left"/>
      <protection locked="0"/>
    </xf>
    <xf numFmtId="164" fontId="5" fillId="6" borderId="6" xfId="4" applyFont="1" applyFill="1" applyBorder="1" applyAlignment="1">
      <alignment horizontal="left" wrapText="1"/>
      <protection locked="0"/>
    </xf>
    <xf numFmtId="164" fontId="5" fillId="0" borderId="8" xfId="4" applyFont="1" applyFill="1" applyBorder="1">
      <alignment horizontal="right"/>
      <protection locked="0"/>
    </xf>
    <xf numFmtId="164" fontId="5" fillId="0" borderId="1" xfId="4" applyFont="1" applyFill="1" applyBorder="1" applyAlignment="1">
      <alignment horizontal="left"/>
      <protection locked="0"/>
    </xf>
    <xf numFmtId="0" fontId="5" fillId="0" borderId="9" xfId="0" applyFont="1" applyBorder="1"/>
    <xf numFmtId="164" fontId="5" fillId="6" borderId="8" xfId="4" applyFont="1" applyFill="1" applyBorder="1" applyAlignment="1">
      <alignment horizontal="left" wrapText="1"/>
      <protection locked="0"/>
    </xf>
    <xf numFmtId="164" fontId="5" fillId="0" borderId="0" xfId="1" applyFont="1" applyAlignment="1">
      <alignment horizontal="right"/>
    </xf>
    <xf numFmtId="0" fontId="5" fillId="0" borderId="0" xfId="0" applyFont="1" applyAlignment="1">
      <alignment horizontal="right"/>
    </xf>
    <xf numFmtId="164" fontId="5" fillId="8" borderId="0" xfId="4" applyFont="1" applyFill="1" applyBorder="1" applyAlignment="1">
      <alignment horizontal="left"/>
      <protection locked="0"/>
    </xf>
    <xf numFmtId="0" fontId="5" fillId="8" borderId="0" xfId="0" applyFont="1" applyFill="1"/>
    <xf numFmtId="164" fontId="6" fillId="8" borderId="0" xfId="4" applyFont="1" applyFill="1" applyBorder="1" applyAlignment="1">
      <alignment horizontal="left"/>
      <protection locked="0"/>
    </xf>
    <xf numFmtId="0" fontId="6" fillId="8" borderId="0" xfId="0" applyFont="1" applyFill="1"/>
    <xf numFmtId="164" fontId="5" fillId="0" borderId="0" xfId="1" applyFont="1"/>
    <xf numFmtId="164" fontId="5" fillId="0" borderId="0" xfId="0" applyNumberFormat="1" applyFont="1"/>
    <xf numFmtId="0" fontId="12" fillId="0" borderId="0" xfId="0" applyFont="1"/>
    <xf numFmtId="164" fontId="5" fillId="8" borderId="0" xfId="1" applyFont="1" applyFill="1"/>
    <xf numFmtId="164" fontId="6" fillId="8" borderId="12" xfId="1" applyFont="1" applyFill="1" applyBorder="1"/>
    <xf numFmtId="1" fontId="6" fillId="0" borderId="5" xfId="0" applyNumberFormat="1" applyFont="1" applyBorder="1" applyAlignment="1">
      <alignment horizontal="center"/>
    </xf>
    <xf numFmtId="1" fontId="6" fillId="0" borderId="2" xfId="0" applyNumberFormat="1" applyFont="1" applyBorder="1" applyAlignment="1">
      <alignment horizontal="center"/>
    </xf>
    <xf numFmtId="2" fontId="9" fillId="0" borderId="0" xfId="3" applyNumberFormat="1" applyFont="1" applyAlignment="1" applyProtection="1">
      <alignment horizontal="left"/>
    </xf>
    <xf numFmtId="0" fontId="5" fillId="0" borderId="6" xfId="0" applyFont="1" applyBorder="1" applyProtection="1"/>
    <xf numFmtId="0" fontId="16" fillId="3" borderId="0" xfId="0" applyFont="1" applyFill="1"/>
    <xf numFmtId="0" fontId="17" fillId="0" borderId="0" xfId="0" applyFont="1"/>
    <xf numFmtId="0" fontId="9" fillId="0" borderId="0" xfId="0" applyFont="1"/>
    <xf numFmtId="0" fontId="16" fillId="0" borderId="0" xfId="0" applyFont="1"/>
    <xf numFmtId="0" fontId="16" fillId="0" borderId="0" xfId="0" applyFont="1" applyAlignment="1">
      <alignment horizontal="center"/>
    </xf>
    <xf numFmtId="0" fontId="17" fillId="0" borderId="0" xfId="0" applyFont="1" applyAlignment="1">
      <alignment horizontal="center"/>
    </xf>
    <xf numFmtId="0" fontId="19" fillId="3" borderId="0" xfId="0" applyFont="1" applyFill="1"/>
    <xf numFmtId="0" fontId="16" fillId="2" borderId="0" xfId="0" applyFont="1" applyFill="1"/>
    <xf numFmtId="0" fontId="16" fillId="0" borderId="0" xfId="0" applyFont="1" applyAlignment="1">
      <alignment horizontal="left" vertical="center"/>
    </xf>
    <xf numFmtId="0" fontId="16" fillId="0" borderId="0" xfId="0" applyFont="1" applyAlignment="1">
      <alignment vertical="center"/>
    </xf>
    <xf numFmtId="0" fontId="16" fillId="0" borderId="0" xfId="0" applyFont="1" applyAlignment="1">
      <alignment horizontal="left"/>
    </xf>
    <xf numFmtId="164" fontId="16" fillId="0" borderId="0" xfId="1" applyFont="1"/>
    <xf numFmtId="164" fontId="16" fillId="0" borderId="0" xfId="0" applyNumberFormat="1" applyFont="1"/>
    <xf numFmtId="0" fontId="20" fillId="0" borderId="0" xfId="0" applyFont="1"/>
    <xf numFmtId="0" fontId="19" fillId="2" borderId="0" xfId="0" applyFont="1" applyFill="1"/>
    <xf numFmtId="2" fontId="17" fillId="0" borderId="0" xfId="1" applyNumberFormat="1" applyFont="1" applyAlignment="1">
      <alignment horizontal="left"/>
    </xf>
    <xf numFmtId="0" fontId="16" fillId="0" borderId="0" xfId="0" applyFont="1" applyProtection="1"/>
    <xf numFmtId="9" fontId="20" fillId="0" borderId="0" xfId="2" quotePrefix="1" applyFont="1" applyAlignment="1">
      <alignment vertical="center"/>
    </xf>
    <xf numFmtId="2" fontId="17" fillId="0" borderId="0" xfId="1" applyNumberFormat="1" applyFont="1" applyFill="1" applyAlignment="1">
      <alignment horizontal="left"/>
    </xf>
    <xf numFmtId="9" fontId="16" fillId="0" borderId="0" xfId="2" applyFont="1"/>
    <xf numFmtId="0" fontId="16" fillId="0" borderId="1" xfId="0" applyFont="1" applyBorder="1"/>
    <xf numFmtId="0" fontId="17" fillId="0" borderId="2" xfId="0" applyFont="1" applyBorder="1"/>
    <xf numFmtId="0" fontId="16" fillId="0" borderId="3" xfId="0" applyFont="1" applyBorder="1"/>
    <xf numFmtId="0" fontId="16" fillId="0" borderId="4" xfId="0" applyFont="1" applyBorder="1"/>
    <xf numFmtId="1" fontId="17" fillId="0" borderId="5" xfId="0" applyNumberFormat="1" applyFont="1" applyBorder="1" applyAlignment="1">
      <alignment horizontal="center"/>
    </xf>
    <xf numFmtId="1" fontId="17" fillId="0" borderId="2" xfId="0" applyNumberFormat="1" applyFont="1" applyBorder="1" applyAlignment="1">
      <alignment horizontal="center"/>
    </xf>
    <xf numFmtId="0" fontId="17" fillId="0" borderId="3" xfId="0" applyFont="1" applyBorder="1"/>
    <xf numFmtId="0" fontId="17" fillId="0" borderId="4" xfId="0" applyFont="1" applyBorder="1"/>
    <xf numFmtId="1" fontId="17" fillId="0" borderId="3" xfId="0" applyNumberFormat="1" applyFont="1" applyBorder="1"/>
    <xf numFmtId="1" fontId="17" fillId="0" borderId="4" xfId="0" applyNumberFormat="1" applyFont="1" applyBorder="1"/>
    <xf numFmtId="0" fontId="17" fillId="0" borderId="6" xfId="0" applyFont="1" applyBorder="1"/>
    <xf numFmtId="0" fontId="16" fillId="0" borderId="6" xfId="0" applyFont="1" applyBorder="1" applyAlignment="1">
      <alignment horizontal="center"/>
    </xf>
    <xf numFmtId="0" fontId="16" fillId="0" borderId="7" xfId="0" applyFont="1" applyBorder="1" applyAlignment="1">
      <alignment horizontal="left"/>
    </xf>
    <xf numFmtId="0" fontId="16" fillId="0" borderId="1" xfId="0" applyFont="1" applyBorder="1" applyAlignment="1">
      <alignment horizontal="center"/>
    </xf>
    <xf numFmtId="0" fontId="16" fillId="0" borderId="1" xfId="0" applyFont="1" applyBorder="1" applyAlignment="1">
      <alignment horizontal="left"/>
    </xf>
    <xf numFmtId="0" fontId="16" fillId="0" borderId="7" xfId="0" applyFont="1" applyBorder="1" applyAlignment="1">
      <alignment horizontal="center"/>
    </xf>
    <xf numFmtId="0" fontId="17" fillId="0" borderId="7" xfId="0" applyFont="1" applyBorder="1" applyAlignment="1">
      <alignment horizontal="left"/>
    </xf>
    <xf numFmtId="0" fontId="16" fillId="0" borderId="8" xfId="0" applyFont="1" applyBorder="1" applyAlignment="1">
      <alignment horizont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6" fillId="0" borderId="10" xfId="0" applyFont="1" applyBorder="1" applyAlignment="1">
      <alignment horizontal="left"/>
    </xf>
    <xf numFmtId="0" fontId="17" fillId="0" borderId="5" xfId="0" applyFont="1" applyBorder="1" applyAlignment="1">
      <alignment horizontal="center"/>
    </xf>
    <xf numFmtId="164" fontId="16" fillId="0" borderId="5" xfId="1" applyFont="1" applyFill="1" applyBorder="1" applyAlignment="1">
      <alignment horizontal="center"/>
    </xf>
    <xf numFmtId="164" fontId="16" fillId="0" borderId="2" xfId="1" applyFont="1" applyFill="1" applyBorder="1" applyAlignment="1">
      <alignment horizontal="center"/>
    </xf>
    <xf numFmtId="164" fontId="16" fillId="0" borderId="3" xfId="1" applyFont="1" applyFill="1" applyBorder="1" applyAlignment="1">
      <alignment horizontal="center"/>
    </xf>
    <xf numFmtId="164" fontId="16" fillId="0" borderId="4" xfId="1" applyFont="1" applyFill="1" applyBorder="1" applyAlignment="1">
      <alignment horizontal="center"/>
    </xf>
    <xf numFmtId="0" fontId="17" fillId="0" borderId="6" xfId="0" applyFont="1" applyBorder="1" applyAlignment="1">
      <alignment horizontal="center"/>
    </xf>
    <xf numFmtId="0" fontId="17" fillId="0" borderId="1" xfId="0" applyFont="1" applyBorder="1"/>
    <xf numFmtId="164" fontId="16" fillId="0" borderId="6" xfId="1" applyFont="1" applyFill="1" applyBorder="1" applyAlignment="1">
      <alignment horizontal="center"/>
    </xf>
    <xf numFmtId="164" fontId="16" fillId="0" borderId="7" xfId="1" applyFont="1" applyFill="1" applyBorder="1" applyAlignment="1">
      <alignment horizontal="center"/>
    </xf>
    <xf numFmtId="164" fontId="16" fillId="0" borderId="0" xfId="1" applyFont="1" applyFill="1" applyBorder="1" applyAlignment="1">
      <alignment horizontal="center"/>
    </xf>
    <xf numFmtId="164" fontId="16" fillId="0" borderId="1" xfId="1" applyFont="1" applyFill="1" applyBorder="1" applyAlignment="1">
      <alignment horizontal="center"/>
    </xf>
    <xf numFmtId="164" fontId="16" fillId="0" borderId="0" xfId="1" applyFont="1" applyFill="1" applyBorder="1" applyAlignment="1">
      <alignment horizontal="right"/>
    </xf>
    <xf numFmtId="164" fontId="16" fillId="0" borderId="1" xfId="1" applyFont="1" applyFill="1" applyBorder="1" applyAlignment="1">
      <alignment horizontal="right"/>
    </xf>
    <xf numFmtId="164" fontId="16" fillId="6" borderId="0" xfId="4" applyFont="1" applyFill="1" applyBorder="1" applyAlignment="1">
      <alignment horizontal="left" wrapText="1"/>
      <protection locked="0"/>
    </xf>
    <xf numFmtId="164" fontId="16" fillId="6" borderId="1" xfId="4" applyFont="1" applyFill="1" applyBorder="1" applyAlignment="1">
      <alignment horizontal="left" wrapText="1"/>
      <protection locked="0"/>
    </xf>
    <xf numFmtId="164" fontId="16" fillId="5" borderId="1" xfId="4" applyFont="1" applyBorder="1" applyAlignment="1">
      <alignment horizontal="left"/>
      <protection locked="0"/>
    </xf>
    <xf numFmtId="164" fontId="16" fillId="0" borderId="6" xfId="1" applyFont="1" applyFill="1" applyBorder="1" applyAlignment="1">
      <alignment horizontal="right"/>
    </xf>
    <xf numFmtId="164" fontId="16" fillId="0" borderId="7" xfId="1" applyFont="1" applyFill="1" applyBorder="1" applyAlignment="1">
      <alignment horizontal="right"/>
    </xf>
    <xf numFmtId="164" fontId="16" fillId="0" borderId="0" xfId="1" applyFont="1" applyFill="1" applyBorder="1"/>
    <xf numFmtId="164" fontId="16" fillId="0" borderId="1" xfId="1" applyFont="1" applyFill="1" applyBorder="1"/>
    <xf numFmtId="164" fontId="16" fillId="6" borderId="9" xfId="4" applyFont="1" applyFill="1" applyBorder="1" applyAlignment="1">
      <alignment horizontal="left" wrapText="1"/>
      <protection locked="0"/>
    </xf>
    <xf numFmtId="164" fontId="16" fillId="6" borderId="10" xfId="4" applyFont="1" applyFill="1" applyBorder="1" applyAlignment="1">
      <alignment horizontal="left" wrapText="1"/>
      <protection locked="0"/>
    </xf>
    <xf numFmtId="164" fontId="16" fillId="5" borderId="10" xfId="4" applyFont="1" applyBorder="1" applyAlignment="1">
      <alignment horizontal="left"/>
      <protection locked="0"/>
    </xf>
    <xf numFmtId="164" fontId="16" fillId="0" borderId="8" xfId="1" applyFont="1" applyFill="1" applyBorder="1" applyAlignment="1">
      <alignment horizontal="right"/>
    </xf>
    <xf numFmtId="164" fontId="16" fillId="0" borderId="11" xfId="1" applyFont="1" applyFill="1" applyBorder="1" applyAlignment="1">
      <alignment horizontal="center"/>
    </xf>
    <xf numFmtId="164" fontId="16" fillId="0" borderId="9" xfId="1" applyFont="1" applyFill="1" applyBorder="1" applyAlignment="1">
      <alignment horizontal="right"/>
    </xf>
    <xf numFmtId="164" fontId="16" fillId="0" borderId="10" xfId="1" applyFont="1" applyFill="1" applyBorder="1" applyAlignment="1">
      <alignment horizontal="right"/>
    </xf>
    <xf numFmtId="164" fontId="16" fillId="0" borderId="9" xfId="1" applyFont="1" applyFill="1" applyBorder="1"/>
    <xf numFmtId="164" fontId="16" fillId="0" borderId="9" xfId="1" applyFont="1" applyFill="1" applyBorder="1" applyAlignment="1">
      <alignment horizontal="center"/>
    </xf>
    <xf numFmtId="164" fontId="16" fillId="0" borderId="10" xfId="1" applyFont="1" applyFill="1" applyBorder="1" applyAlignment="1">
      <alignment horizontal="center"/>
    </xf>
    <xf numFmtId="164" fontId="16" fillId="0" borderId="11" xfId="1" applyFont="1" applyFill="1" applyBorder="1" applyAlignment="1">
      <alignment horizontal="right"/>
    </xf>
    <xf numFmtId="164" fontId="16" fillId="0" borderId="3" xfId="1" applyFont="1" applyFill="1" applyBorder="1"/>
    <xf numFmtId="164" fontId="16" fillId="0" borderId="4" xfId="1" applyFont="1" applyFill="1" applyBorder="1"/>
    <xf numFmtId="164" fontId="16" fillId="6" borderId="1" xfId="4" applyFont="1" applyFill="1" applyBorder="1" applyAlignment="1">
      <alignment horizontal="left"/>
      <protection locked="0"/>
    </xf>
    <xf numFmtId="164" fontId="17" fillId="0" borderId="0" xfId="4" applyFont="1" applyFill="1" applyBorder="1" applyAlignment="1">
      <alignment horizontal="left"/>
      <protection locked="0"/>
    </xf>
    <xf numFmtId="164" fontId="17" fillId="0" borderId="1" xfId="4" applyFont="1" applyFill="1" applyBorder="1" applyAlignment="1">
      <alignment horizontal="left"/>
      <protection locked="0"/>
    </xf>
    <xf numFmtId="164" fontId="16" fillId="6" borderId="10" xfId="4" applyFont="1" applyFill="1" applyBorder="1" applyAlignment="1">
      <alignment horizontal="left"/>
      <protection locked="0"/>
    </xf>
    <xf numFmtId="164" fontId="16" fillId="0" borderId="4" xfId="4" applyFont="1" applyFill="1" applyBorder="1" applyAlignment="1">
      <alignment horizontal="left"/>
      <protection locked="0"/>
    </xf>
    <xf numFmtId="164" fontId="16" fillId="0" borderId="5" xfId="1" applyFont="1" applyFill="1" applyBorder="1" applyAlignment="1">
      <alignment horizontal="right"/>
    </xf>
    <xf numFmtId="164" fontId="16" fillId="0" borderId="2" xfId="1" applyFont="1" applyFill="1" applyBorder="1" applyAlignment="1">
      <alignment horizontal="right"/>
    </xf>
    <xf numFmtId="164" fontId="16" fillId="0" borderId="3" xfId="1" applyFont="1" applyFill="1" applyBorder="1" applyAlignment="1">
      <alignment horizontal="right"/>
    </xf>
    <xf numFmtId="164" fontId="16" fillId="0" borderId="4" xfId="1" applyFont="1" applyFill="1" applyBorder="1" applyAlignment="1">
      <alignment horizontal="right"/>
    </xf>
    <xf numFmtId="164" fontId="16" fillId="6" borderId="6" xfId="4" applyFont="1" applyFill="1" applyBorder="1" applyAlignment="1">
      <alignment horizontal="left"/>
      <protection locked="0"/>
    </xf>
    <xf numFmtId="164" fontId="16" fillId="6" borderId="6" xfId="4" applyFont="1" applyFill="1" applyBorder="1" applyAlignment="1">
      <alignment horizontal="left" wrapText="1"/>
      <protection locked="0"/>
    </xf>
    <xf numFmtId="164" fontId="16" fillId="0" borderId="0" xfId="4" applyFont="1" applyFill="1" applyBorder="1" applyAlignment="1">
      <alignment horizontal="left" wrapText="1"/>
      <protection locked="0"/>
    </xf>
    <xf numFmtId="164" fontId="16" fillId="0" borderId="1" xfId="4" applyFont="1" applyFill="1" applyBorder="1" applyAlignment="1">
      <alignment horizontal="left" wrapText="1"/>
      <protection locked="0"/>
    </xf>
    <xf numFmtId="164" fontId="17" fillId="0" borderId="6" xfId="4" applyFont="1" applyFill="1" applyBorder="1" applyAlignment="1">
      <alignment horizontal="left" wrapText="1"/>
      <protection locked="0"/>
    </xf>
    <xf numFmtId="0" fontId="16" fillId="0" borderId="9" xfId="0" applyFont="1" applyBorder="1"/>
    <xf numFmtId="0" fontId="16" fillId="0" borderId="0" xfId="0" applyFont="1" applyAlignment="1">
      <alignment horizontal="right"/>
    </xf>
    <xf numFmtId="164" fontId="16" fillId="8" borderId="0" xfId="4" applyFont="1" applyFill="1" applyBorder="1" applyAlignment="1">
      <alignment horizontal="left"/>
      <protection locked="0"/>
    </xf>
    <xf numFmtId="0" fontId="16" fillId="8" borderId="0" xfId="0" applyFont="1" applyFill="1"/>
    <xf numFmtId="164" fontId="16" fillId="8" borderId="0" xfId="0" applyNumberFormat="1" applyFont="1" applyFill="1"/>
    <xf numFmtId="164" fontId="17" fillId="8" borderId="0" xfId="4" applyFont="1" applyFill="1" applyBorder="1" applyAlignment="1">
      <alignment horizontal="left"/>
      <protection locked="0"/>
    </xf>
    <xf numFmtId="0" fontId="17" fillId="8" borderId="0" xfId="0" applyFont="1" applyFill="1"/>
    <xf numFmtId="164" fontId="17" fillId="8" borderId="12" xfId="0" applyNumberFormat="1" applyFont="1" applyFill="1" applyBorder="1"/>
    <xf numFmtId="0" fontId="17" fillId="9" borderId="0" xfId="0" applyFont="1" applyFill="1"/>
    <xf numFmtId="0" fontId="17" fillId="9" borderId="0" xfId="0" applyFont="1" applyFill="1" applyAlignment="1">
      <alignment horizontal="center"/>
    </xf>
    <xf numFmtId="0" fontId="16" fillId="9" borderId="0" xfId="0" applyFont="1" applyFill="1"/>
    <xf numFmtId="164" fontId="16" fillId="9" borderId="0" xfId="0" applyNumberFormat="1" applyFont="1" applyFill="1"/>
    <xf numFmtId="164" fontId="17" fillId="9" borderId="12" xfId="0" applyNumberFormat="1" applyFont="1" applyFill="1" applyBorder="1"/>
    <xf numFmtId="165" fontId="17" fillId="9" borderId="0" xfId="0" applyNumberFormat="1" applyFont="1" applyFill="1"/>
    <xf numFmtId="164" fontId="17" fillId="9" borderId="0" xfId="0" applyNumberFormat="1" applyFont="1" applyFill="1"/>
    <xf numFmtId="0" fontId="22" fillId="0" borderId="0" xfId="0" applyFont="1"/>
    <xf numFmtId="2" fontId="17" fillId="0" borderId="0" xfId="3" applyNumberFormat="1" applyFont="1" applyAlignment="1" applyProtection="1">
      <alignment horizontal="left"/>
    </xf>
    <xf numFmtId="0" fontId="16" fillId="0" borderId="15" xfId="0" applyFont="1" applyBorder="1"/>
    <xf numFmtId="0" fontId="16" fillId="0" borderId="7" xfId="0" applyFont="1" applyBorder="1"/>
    <xf numFmtId="0" fontId="16" fillId="0" borderId="0" xfId="0" applyFont="1" applyBorder="1"/>
    <xf numFmtId="0" fontId="17" fillId="0" borderId="7"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16" fillId="0" borderId="0" xfId="0" applyFont="1" applyBorder="1" applyAlignment="1">
      <alignment horizontal="center"/>
    </xf>
    <xf numFmtId="164" fontId="17" fillId="9" borderId="13" xfId="1" applyFont="1" applyFill="1" applyBorder="1"/>
    <xf numFmtId="164" fontId="17" fillId="9" borderId="14" xfId="1" applyFont="1" applyFill="1" applyBorder="1"/>
    <xf numFmtId="0" fontId="17" fillId="0" borderId="11" xfId="0" applyFont="1" applyBorder="1" applyAlignment="1">
      <alignment horizontal="center"/>
    </xf>
    <xf numFmtId="0" fontId="17" fillId="0" borderId="10" xfId="0" applyFont="1" applyBorder="1" applyAlignment="1">
      <alignment horizontal="center"/>
    </xf>
    <xf numFmtId="164" fontId="17" fillId="9" borderId="2" xfId="1" applyFont="1" applyFill="1" applyBorder="1"/>
    <xf numFmtId="164" fontId="17" fillId="9" borderId="4" xfId="1" applyFont="1" applyFill="1" applyBorder="1"/>
    <xf numFmtId="164" fontId="17" fillId="9" borderId="7" xfId="1" applyFont="1" applyFill="1" applyBorder="1"/>
    <xf numFmtId="164" fontId="17" fillId="9" borderId="1" xfId="1" applyFont="1" applyFill="1" applyBorder="1"/>
    <xf numFmtId="164" fontId="17" fillId="9" borderId="11" xfId="1" applyFont="1" applyFill="1" applyBorder="1"/>
    <xf numFmtId="164" fontId="17" fillId="9" borderId="10" xfId="1" applyFont="1" applyFill="1" applyBorder="1"/>
    <xf numFmtId="164" fontId="17" fillId="0" borderId="0" xfId="1" applyFont="1" applyAlignment="1">
      <alignment horizontal="right"/>
    </xf>
    <xf numFmtId="0" fontId="17" fillId="0" borderId="0" xfId="0" applyFont="1" applyAlignment="1">
      <alignment horizontal="right"/>
    </xf>
    <xf numFmtId="164" fontId="17" fillId="0" borderId="0" xfId="1" applyFont="1"/>
    <xf numFmtId="0" fontId="23" fillId="11" borderId="0" xfId="0" applyFont="1" applyFill="1" applyAlignment="1">
      <alignment horizontal="center"/>
    </xf>
    <xf numFmtId="164" fontId="17" fillId="8" borderId="7" xfId="1" applyFont="1" applyFill="1" applyBorder="1"/>
    <xf numFmtId="164" fontId="17" fillId="12" borderId="7" xfId="1" applyFont="1" applyFill="1" applyBorder="1"/>
    <xf numFmtId="164" fontId="17" fillId="12" borderId="6" xfId="1" applyFont="1" applyFill="1" applyBorder="1"/>
    <xf numFmtId="164" fontId="16" fillId="11" borderId="7" xfId="1" applyFont="1" applyFill="1" applyBorder="1"/>
    <xf numFmtId="164" fontId="16" fillId="11" borderId="6" xfId="1" applyFont="1" applyFill="1" applyBorder="1"/>
    <xf numFmtId="164" fontId="16" fillId="12" borderId="6" xfId="1" applyFont="1" applyFill="1" applyBorder="1"/>
    <xf numFmtId="164" fontId="16" fillId="11" borderId="11" xfId="1" applyFont="1" applyFill="1" applyBorder="1"/>
    <xf numFmtId="164" fontId="16" fillId="11" borderId="8" xfId="1" applyFont="1" applyFill="1" applyBorder="1"/>
    <xf numFmtId="164" fontId="17" fillId="8" borderId="6" xfId="1" applyFont="1" applyFill="1" applyBorder="1"/>
    <xf numFmtId="164" fontId="17" fillId="8" borderId="0" xfId="1" applyFont="1" applyFill="1" applyBorder="1"/>
    <xf numFmtId="164" fontId="16" fillId="11" borderId="0" xfId="1" applyFont="1" applyFill="1" applyBorder="1"/>
    <xf numFmtId="164" fontId="16" fillId="11" borderId="9" xfId="1" applyFont="1" applyFill="1" applyBorder="1"/>
    <xf numFmtId="164" fontId="16" fillId="12" borderId="8" xfId="1" applyFont="1" applyFill="1" applyBorder="1"/>
    <xf numFmtId="164" fontId="16" fillId="0" borderId="15" xfId="1" applyFont="1" applyBorder="1"/>
    <xf numFmtId="0" fontId="24" fillId="10" borderId="15" xfId="0" applyFont="1" applyFill="1" applyBorder="1" applyAlignment="1" applyProtection="1">
      <alignment horizontal="right" vertical="center"/>
    </xf>
    <xf numFmtId="0" fontId="17" fillId="0" borderId="15" xfId="0" applyFont="1" applyBorder="1"/>
    <xf numFmtId="164" fontId="17" fillId="9" borderId="15" xfId="1" applyFont="1" applyFill="1" applyBorder="1"/>
    <xf numFmtId="0" fontId="17" fillId="0" borderId="2" xfId="0" applyFont="1" applyBorder="1" applyProtection="1"/>
    <xf numFmtId="0" fontId="16" fillId="10" borderId="4" xfId="0" applyFont="1" applyFill="1" applyBorder="1" applyProtection="1"/>
    <xf numFmtId="0" fontId="17" fillId="10" borderId="4" xfId="0" applyFont="1" applyFill="1" applyBorder="1" applyAlignment="1" applyProtection="1">
      <alignment horizontal="center"/>
    </xf>
    <xf numFmtId="0" fontId="17" fillId="10" borderId="5" xfId="0" applyFont="1" applyFill="1" applyBorder="1" applyAlignment="1" applyProtection="1">
      <alignment horizontal="center"/>
    </xf>
    <xf numFmtId="0" fontId="16" fillId="10" borderId="7" xfId="0" applyFont="1" applyFill="1" applyBorder="1" applyProtection="1"/>
    <xf numFmtId="0" fontId="16" fillId="10" borderId="1" xfId="0" applyFont="1" applyFill="1" applyBorder="1" applyProtection="1"/>
    <xf numFmtId="1" fontId="17" fillId="10" borderId="1" xfId="0" applyNumberFormat="1" applyFont="1" applyFill="1" applyBorder="1" applyAlignment="1" applyProtection="1">
      <alignment horizontal="center"/>
    </xf>
    <xf numFmtId="1" fontId="17" fillId="10" borderId="6" xfId="0" applyNumberFormat="1" applyFont="1" applyFill="1" applyBorder="1" applyAlignment="1" applyProtection="1">
      <alignment horizontal="center"/>
    </xf>
    <xf numFmtId="0" fontId="16" fillId="10" borderId="11" xfId="0" applyFont="1" applyFill="1" applyBorder="1" applyProtection="1"/>
    <xf numFmtId="0" fontId="16" fillId="10" borderId="10" xfId="0" applyFont="1" applyFill="1" applyBorder="1" applyProtection="1"/>
    <xf numFmtId="0" fontId="16" fillId="0" borderId="2" xfId="0" applyFont="1" applyBorder="1" applyProtection="1"/>
    <xf numFmtId="0" fontId="16" fillId="0" borderId="4" xfId="0" applyFont="1" applyBorder="1" applyProtection="1"/>
    <xf numFmtId="0" fontId="16" fillId="0" borderId="5" xfId="0" applyFont="1" applyBorder="1" applyProtection="1"/>
    <xf numFmtId="0" fontId="17" fillId="10" borderId="7" xfId="0" applyFont="1" applyFill="1" applyBorder="1" applyAlignment="1" applyProtection="1">
      <alignment wrapText="1"/>
    </xf>
    <xf numFmtId="0" fontId="16" fillId="10" borderId="1" xfId="0" applyFont="1" applyFill="1" applyBorder="1" applyAlignment="1" applyProtection="1">
      <alignment horizontal="center"/>
    </xf>
    <xf numFmtId="164" fontId="23" fillId="0" borderId="6" xfId="4" applyFont="1" applyFill="1" applyBorder="1" applyAlignment="1">
      <protection locked="0"/>
    </xf>
    <xf numFmtId="0" fontId="16" fillId="10" borderId="7" xfId="0" applyFont="1" applyFill="1" applyBorder="1" applyAlignment="1" applyProtection="1">
      <alignment wrapText="1"/>
    </xf>
    <xf numFmtId="0" fontId="16" fillId="0" borderId="6" xfId="0" applyFont="1" applyBorder="1" applyProtection="1"/>
    <xf numFmtId="164" fontId="16" fillId="0" borderId="7" xfId="0" applyNumberFormat="1" applyFont="1" applyBorder="1" applyAlignment="1" applyProtection="1">
      <alignment horizontal="right"/>
      <protection locked="0"/>
    </xf>
    <xf numFmtId="164" fontId="23" fillId="0" borderId="7" xfId="4" applyFont="1" applyFill="1" applyBorder="1" applyAlignment="1">
      <alignment horizontal="right"/>
      <protection locked="0"/>
    </xf>
    <xf numFmtId="0" fontId="17" fillId="10" borderId="7" xfId="0" applyFont="1" applyFill="1" applyBorder="1" applyProtection="1"/>
    <xf numFmtId="164" fontId="17" fillId="10" borderId="7" xfId="0" applyNumberFormat="1" applyFont="1" applyFill="1" applyBorder="1" applyProtection="1"/>
    <xf numFmtId="0" fontId="16" fillId="10" borderId="0" xfId="0" applyFont="1" applyFill="1" applyAlignment="1" applyProtection="1">
      <alignment horizontal="center"/>
    </xf>
    <xf numFmtId="164" fontId="16" fillId="0" borderId="6" xfId="4" applyFont="1" applyFill="1" applyBorder="1" applyAlignment="1" applyProtection="1"/>
    <xf numFmtId="164" fontId="16" fillId="10" borderId="6" xfId="3" applyNumberFormat="1" applyFont="1" applyFill="1" applyBorder="1" applyProtection="1"/>
    <xf numFmtId="164" fontId="16" fillId="10" borderId="7" xfId="3" applyNumberFormat="1" applyFont="1" applyFill="1" applyBorder="1" applyProtection="1"/>
    <xf numFmtId="0" fontId="17" fillId="10" borderId="11" xfId="0" applyFont="1" applyFill="1" applyBorder="1" applyProtection="1"/>
    <xf numFmtId="0" fontId="16" fillId="10" borderId="9" xfId="0" applyFont="1" applyFill="1" applyBorder="1" applyAlignment="1" applyProtection="1">
      <alignment horizontal="center"/>
    </xf>
    <xf numFmtId="164" fontId="17" fillId="0" borderId="11" xfId="2" applyNumberFormat="1" applyFont="1" applyFill="1" applyBorder="1" applyProtection="1"/>
    <xf numFmtId="164" fontId="17" fillId="10" borderId="11" xfId="2" applyNumberFormat="1" applyFont="1" applyFill="1" applyBorder="1" applyProtection="1"/>
    <xf numFmtId="0" fontId="25" fillId="0" borderId="0" xfId="0" applyFont="1" applyProtection="1"/>
    <xf numFmtId="0" fontId="16" fillId="10" borderId="7" xfId="0" applyFont="1" applyFill="1" applyBorder="1" applyAlignment="1" applyProtection="1">
      <alignment horizontal="left" wrapText="1" indent="1"/>
    </xf>
    <xf numFmtId="164" fontId="5" fillId="9" borderId="2" xfId="1" applyFont="1" applyFill="1" applyBorder="1"/>
    <xf numFmtId="164" fontId="5" fillId="9" borderId="4" xfId="1" applyFont="1" applyFill="1" applyBorder="1"/>
    <xf numFmtId="164" fontId="5" fillId="9" borderId="7" xfId="1" applyFont="1" applyFill="1" applyBorder="1"/>
    <xf numFmtId="164" fontId="5" fillId="9" borderId="1" xfId="1" applyFont="1" applyFill="1" applyBorder="1"/>
    <xf numFmtId="164" fontId="5" fillId="9" borderId="11" xfId="1" applyFont="1" applyFill="1" applyBorder="1"/>
    <xf numFmtId="164" fontId="5" fillId="9" borderId="10" xfId="1" applyFont="1" applyFill="1" applyBorder="1"/>
    <xf numFmtId="164" fontId="6" fillId="9" borderId="13" xfId="1" applyFont="1" applyFill="1" applyBorder="1"/>
    <xf numFmtId="164" fontId="6" fillId="9" borderId="14" xfId="1" applyFont="1" applyFill="1" applyBorder="1"/>
    <xf numFmtId="164" fontId="16" fillId="10" borderId="7" xfId="0" applyNumberFormat="1" applyFont="1" applyFill="1" applyBorder="1" applyProtection="1"/>
    <xf numFmtId="0" fontId="17" fillId="0" borderId="7" xfId="0" applyFont="1" applyBorder="1" applyProtection="1"/>
    <xf numFmtId="0" fontId="17" fillId="10" borderId="6" xfId="0" applyFont="1" applyFill="1" applyBorder="1" applyAlignment="1" applyProtection="1">
      <alignment horizontal="center"/>
    </xf>
    <xf numFmtId="10" fontId="17" fillId="0" borderId="6" xfId="2" applyNumberFormat="1" applyFont="1" applyFill="1" applyBorder="1" applyProtection="1"/>
    <xf numFmtId="0" fontId="17" fillId="0" borderId="2" xfId="0" applyFont="1" applyBorder="1" applyAlignment="1" applyProtection="1">
      <alignment horizontal="left"/>
    </xf>
    <xf numFmtId="0" fontId="16" fillId="0" borderId="3" xfId="0" applyFont="1" applyBorder="1" applyProtection="1"/>
    <xf numFmtId="0" fontId="16" fillId="0" borderId="3" xfId="0" applyFont="1" applyBorder="1" applyProtection="1">
      <protection locked="0"/>
    </xf>
    <xf numFmtId="0" fontId="17" fillId="0" borderId="0" xfId="0" applyFont="1" applyProtection="1"/>
    <xf numFmtId="164" fontId="17" fillId="0" borderId="0" xfId="0" applyNumberFormat="1" applyFont="1" applyProtection="1"/>
    <xf numFmtId="164" fontId="17" fillId="0" borderId="1" xfId="0" applyNumberFormat="1" applyFont="1" applyBorder="1" applyProtection="1"/>
    <xf numFmtId="0" fontId="16" fillId="0" borderId="7" xfId="0" applyFont="1" applyBorder="1" applyProtection="1">
      <protection locked="0"/>
    </xf>
    <xf numFmtId="0" fontId="16" fillId="0" borderId="1" xfId="0" applyFont="1" applyBorder="1" applyProtection="1"/>
    <xf numFmtId="0" fontId="16" fillId="0" borderId="7" xfId="0" applyFont="1" applyBorder="1" applyProtection="1"/>
    <xf numFmtId="164" fontId="16" fillId="0" borderId="0" xfId="0" applyNumberFormat="1" applyFont="1" applyProtection="1"/>
    <xf numFmtId="164" fontId="16" fillId="0" borderId="1" xfId="0" applyNumberFormat="1" applyFont="1" applyBorder="1" applyProtection="1"/>
    <xf numFmtId="164" fontId="16" fillId="0" borderId="9" xfId="0" applyNumberFormat="1" applyFont="1" applyBorder="1" applyProtection="1"/>
    <xf numFmtId="164" fontId="16" fillId="0" borderId="10" xfId="0" applyNumberFormat="1" applyFont="1" applyBorder="1" applyProtection="1"/>
    <xf numFmtId="0" fontId="16" fillId="0" borderId="11" xfId="0" applyFont="1" applyBorder="1" applyProtection="1"/>
    <xf numFmtId="0" fontId="16" fillId="0" borderId="9" xfId="0" applyFont="1" applyBorder="1" applyProtection="1"/>
    <xf numFmtId="0" fontId="27" fillId="3" borderId="0" xfId="0" applyFont="1" applyFill="1"/>
    <xf numFmtId="0" fontId="27" fillId="0" borderId="0" xfId="0" applyFont="1"/>
    <xf numFmtId="0" fontId="27" fillId="0" borderId="0" xfId="0" applyFont="1" applyAlignment="1" applyProtection="1">
      <alignment horizontal="center"/>
      <protection locked="0"/>
    </xf>
    <xf numFmtId="0" fontId="27" fillId="0" borderId="0" xfId="0" applyFont="1" applyProtection="1">
      <protection locked="0"/>
    </xf>
    <xf numFmtId="166" fontId="27" fillId="0" borderId="0" xfId="0" applyNumberFormat="1" applyFont="1"/>
    <xf numFmtId="0" fontId="15" fillId="10" borderId="0" xfId="0" applyFont="1" applyFill="1" applyAlignment="1">
      <alignment horizontal="right"/>
    </xf>
    <xf numFmtId="167" fontId="27" fillId="0" borderId="0" xfId="0" applyNumberFormat="1" applyFont="1" applyProtection="1">
      <protection locked="0"/>
    </xf>
    <xf numFmtId="168" fontId="27" fillId="0" borderId="0" xfId="2" applyNumberFormat="1" applyFont="1" applyProtection="1">
      <protection locked="0"/>
    </xf>
    <xf numFmtId="164" fontId="23" fillId="10" borderId="7" xfId="0" applyNumberFormat="1" applyFont="1" applyFill="1" applyBorder="1" applyProtection="1"/>
    <xf numFmtId="0" fontId="17" fillId="10" borderId="2" xfId="0" applyFont="1" applyFill="1" applyBorder="1" applyAlignment="1" applyProtection="1">
      <alignment horizontal="center"/>
    </xf>
    <xf numFmtId="1" fontId="17" fillId="10" borderId="7" xfId="0" applyNumberFormat="1" applyFont="1" applyFill="1" applyBorder="1" applyAlignment="1" applyProtection="1">
      <alignment horizontal="center"/>
    </xf>
    <xf numFmtId="164" fontId="16" fillId="0" borderId="7" xfId="4" applyFont="1" applyFill="1" applyBorder="1" applyAlignment="1">
      <protection locked="0"/>
    </xf>
    <xf numFmtId="164" fontId="16" fillId="0" borderId="7" xfId="3" applyNumberFormat="1" applyFont="1" applyFill="1" applyBorder="1" applyProtection="1"/>
    <xf numFmtId="0" fontId="17" fillId="10" borderId="7" xfId="0" applyFont="1" applyFill="1" applyBorder="1" applyAlignment="1" applyProtection="1">
      <alignment horizontal="center"/>
    </xf>
    <xf numFmtId="10" fontId="17" fillId="0" borderId="7" xfId="2" applyNumberFormat="1" applyFont="1" applyFill="1" applyBorder="1" applyProtection="1"/>
    <xf numFmtId="164" fontId="16" fillId="0" borderId="7" xfId="4" applyFont="1" applyFill="1" applyBorder="1" applyAlignment="1" applyProtection="1">
      <alignment horizontal="right"/>
    </xf>
    <xf numFmtId="0" fontId="28" fillId="0" borderId="0" xfId="0" applyFont="1"/>
    <xf numFmtId="0" fontId="17" fillId="0" borderId="3" xfId="0" applyFont="1" applyBorder="1" applyAlignment="1">
      <alignment horizontal="center"/>
    </xf>
    <xf numFmtId="168" fontId="16" fillId="0" borderId="0" xfId="2" applyNumberFormat="1" applyFont="1" applyBorder="1"/>
    <xf numFmtId="168" fontId="16" fillId="0" borderId="9" xfId="2" applyNumberFormat="1" applyFont="1" applyBorder="1"/>
    <xf numFmtId="0" fontId="17" fillId="0" borderId="2" xfId="0" applyFont="1" applyBorder="1" applyAlignment="1">
      <alignment horizontal="center"/>
    </xf>
    <xf numFmtId="168" fontId="16" fillId="0" borderId="3" xfId="2" applyNumberFormat="1" applyFont="1" applyBorder="1"/>
    <xf numFmtId="0" fontId="2" fillId="0" borderId="0" xfId="5"/>
    <xf numFmtId="0" fontId="29" fillId="0" borderId="0" xfId="5" applyFont="1"/>
    <xf numFmtId="0" fontId="29" fillId="0" borderId="18" xfId="5" applyFont="1" applyBorder="1"/>
    <xf numFmtId="0" fontId="29" fillId="9" borderId="21" xfId="5" applyFont="1" applyFill="1" applyBorder="1" applyAlignment="1">
      <alignment horizontal="center"/>
    </xf>
    <xf numFmtId="0" fontId="29" fillId="9" borderId="22" xfId="5" applyFont="1" applyFill="1" applyBorder="1" applyAlignment="1">
      <alignment horizontal="center"/>
    </xf>
    <xf numFmtId="0" fontId="29" fillId="0" borderId="22" xfId="5" applyFont="1" applyBorder="1" applyAlignment="1">
      <alignment horizontal="center"/>
    </xf>
    <xf numFmtId="0" fontId="29" fillId="13" borderId="23" xfId="5" applyFont="1" applyFill="1" applyBorder="1" applyAlignment="1">
      <alignment horizontal="center"/>
    </xf>
    <xf numFmtId="0" fontId="2" fillId="0" borderId="19" xfId="5" applyBorder="1"/>
    <xf numFmtId="0" fontId="2" fillId="9" borderId="18" xfId="5" applyFill="1" applyBorder="1"/>
    <xf numFmtId="0" fontId="2" fillId="9" borderId="19" xfId="5" applyFill="1" applyBorder="1"/>
    <xf numFmtId="0" fontId="2" fillId="13" borderId="20" xfId="5" applyFill="1" applyBorder="1"/>
    <xf numFmtId="0" fontId="2" fillId="0" borderId="24" xfId="5" applyBorder="1"/>
    <xf numFmtId="0" fontId="30" fillId="0" borderId="3" xfId="5" applyFont="1" applyBorder="1"/>
    <xf numFmtId="0" fontId="2" fillId="0" borderId="3" xfId="5" applyBorder="1"/>
    <xf numFmtId="0" fontId="2" fillId="9" borderId="24" xfId="5" applyFill="1" applyBorder="1"/>
    <xf numFmtId="0" fontId="2" fillId="9" borderId="3" xfId="5" applyFill="1" applyBorder="1"/>
    <xf numFmtId="0" fontId="2" fillId="13" borderId="25" xfId="5" applyFill="1" applyBorder="1"/>
    <xf numFmtId="0" fontId="2" fillId="0" borderId="26" xfId="5" applyBorder="1"/>
    <xf numFmtId="0" fontId="30" fillId="0" borderId="0" xfId="5" applyFont="1"/>
    <xf numFmtId="43" fontId="2" fillId="9" borderId="26" xfId="5" applyNumberFormat="1" applyFill="1" applyBorder="1"/>
    <xf numFmtId="43" fontId="2" fillId="9" borderId="0" xfId="5" applyNumberFormat="1" applyFill="1"/>
    <xf numFmtId="43" fontId="2" fillId="0" borderId="0" xfId="5" applyNumberFormat="1"/>
    <xf numFmtId="43" fontId="2" fillId="13" borderId="27" xfId="5" applyNumberFormat="1" applyFill="1" applyBorder="1"/>
    <xf numFmtId="0" fontId="2" fillId="0" borderId="28" xfId="5" applyBorder="1"/>
    <xf numFmtId="0" fontId="30" fillId="0" borderId="9" xfId="5" applyFont="1" applyBorder="1"/>
    <xf numFmtId="0" fontId="2" fillId="0" borderId="9" xfId="5" applyBorder="1"/>
    <xf numFmtId="170" fontId="2" fillId="9" borderId="28" xfId="5" applyNumberFormat="1" applyFill="1" applyBorder="1"/>
    <xf numFmtId="170" fontId="2" fillId="9" borderId="9" xfId="5" applyNumberFormat="1" applyFill="1" applyBorder="1"/>
    <xf numFmtId="170" fontId="2" fillId="0" borderId="9" xfId="5" applyNumberFormat="1" applyBorder="1"/>
    <xf numFmtId="170" fontId="2" fillId="13" borderId="29" xfId="5" applyNumberFormat="1" applyFill="1" applyBorder="1"/>
    <xf numFmtId="43" fontId="2" fillId="9" borderId="24" xfId="5" applyNumberFormat="1" applyFill="1" applyBorder="1"/>
    <xf numFmtId="43" fontId="2" fillId="9" borderId="3" xfId="5" applyNumberFormat="1" applyFill="1" applyBorder="1"/>
    <xf numFmtId="43" fontId="2" fillId="0" borderId="3" xfId="5" applyNumberFormat="1" applyBorder="1"/>
    <xf numFmtId="43" fontId="2" fillId="13" borderId="25" xfId="5" applyNumberFormat="1" applyFill="1" applyBorder="1"/>
    <xf numFmtId="170" fontId="2" fillId="9" borderId="26" xfId="5" applyNumberFormat="1" applyFill="1" applyBorder="1"/>
    <xf numFmtId="170" fontId="2" fillId="9" borderId="0" xfId="5" applyNumberFormat="1" applyFill="1"/>
    <xf numFmtId="170" fontId="2" fillId="0" borderId="0" xfId="5" applyNumberFormat="1"/>
    <xf numFmtId="170" fontId="2" fillId="13" borderId="27" xfId="5" applyNumberFormat="1" applyFill="1" applyBorder="1"/>
    <xf numFmtId="43" fontId="2" fillId="9" borderId="28" xfId="5" applyNumberFormat="1" applyFill="1" applyBorder="1"/>
    <xf numFmtId="43" fontId="2" fillId="9" borderId="9" xfId="5" applyNumberFormat="1" applyFill="1" applyBorder="1"/>
    <xf numFmtId="43" fontId="2" fillId="0" borderId="9" xfId="5" applyNumberFormat="1" applyBorder="1"/>
    <xf numFmtId="43" fontId="2" fillId="13" borderId="29" xfId="5" applyNumberFormat="1" applyFill="1" applyBorder="1"/>
    <xf numFmtId="0" fontId="2" fillId="0" borderId="21" xfId="5" applyBorder="1"/>
    <xf numFmtId="0" fontId="2" fillId="0" borderId="22" xfId="5" applyBorder="1"/>
    <xf numFmtId="170" fontId="2" fillId="9" borderId="21" xfId="5" applyNumberFormat="1" applyFill="1" applyBorder="1"/>
    <xf numFmtId="170" fontId="2" fillId="9" borderId="22" xfId="5" applyNumberFormat="1" applyFill="1" applyBorder="1"/>
    <xf numFmtId="170" fontId="2" fillId="0" borderId="22" xfId="5" applyNumberFormat="1" applyBorder="1"/>
    <xf numFmtId="170" fontId="2" fillId="13" borderId="23" xfId="5" applyNumberFormat="1" applyFill="1" applyBorder="1"/>
    <xf numFmtId="0" fontId="29" fillId="0" borderId="24" xfId="5" applyFont="1" applyBorder="1"/>
    <xf numFmtId="0" fontId="29" fillId="0" borderId="3" xfId="5" applyFont="1" applyBorder="1"/>
    <xf numFmtId="170" fontId="2" fillId="9" borderId="24" xfId="5" applyNumberFormat="1" applyFill="1" applyBorder="1"/>
    <xf numFmtId="170" fontId="2" fillId="9" borderId="3" xfId="5" applyNumberFormat="1" applyFill="1" applyBorder="1"/>
    <xf numFmtId="170" fontId="2" fillId="0" borderId="3" xfId="5" applyNumberFormat="1" applyBorder="1"/>
    <xf numFmtId="170" fontId="2" fillId="13" borderId="25" xfId="5" applyNumberFormat="1" applyFill="1" applyBorder="1"/>
    <xf numFmtId="0" fontId="2" fillId="0" borderId="0" xfId="5" applyAlignment="1">
      <alignment horizontal="left"/>
    </xf>
    <xf numFmtId="165" fontId="2" fillId="9" borderId="26" xfId="5" applyNumberFormat="1" applyFill="1" applyBorder="1"/>
    <xf numFmtId="165" fontId="2" fillId="9" borderId="0" xfId="5" applyNumberFormat="1" applyFill="1"/>
    <xf numFmtId="165" fontId="2" fillId="0" borderId="0" xfId="5" applyNumberFormat="1"/>
    <xf numFmtId="165" fontId="2" fillId="13" borderId="27" xfId="5" applyNumberFormat="1" applyFill="1" applyBorder="1"/>
    <xf numFmtId="0" fontId="2" fillId="0" borderId="18" xfId="5" applyBorder="1"/>
    <xf numFmtId="0" fontId="2" fillId="0" borderId="20" xfId="5" applyBorder="1"/>
    <xf numFmtId="164" fontId="16" fillId="14" borderId="15" xfId="1" applyFont="1" applyFill="1" applyBorder="1"/>
    <xf numFmtId="0" fontId="17" fillId="0" borderId="17" xfId="0" applyFont="1" applyBorder="1" applyAlignment="1">
      <alignment horizontal="center"/>
    </xf>
    <xf numFmtId="0" fontId="17" fillId="0" borderId="16" xfId="0" applyFont="1" applyBorder="1" applyAlignment="1">
      <alignment horizontal="center"/>
    </xf>
    <xf numFmtId="169" fontId="16" fillId="0" borderId="0" xfId="1" applyNumberFormat="1" applyFont="1"/>
    <xf numFmtId="169" fontId="16" fillId="0" borderId="1" xfId="1" applyNumberFormat="1" applyFont="1" applyBorder="1"/>
    <xf numFmtId="169" fontId="16" fillId="0" borderId="9" xfId="1" applyNumberFormat="1" applyFont="1" applyBorder="1"/>
    <xf numFmtId="168" fontId="16" fillId="0" borderId="1" xfId="2" applyNumberFormat="1" applyFont="1" applyBorder="1"/>
    <xf numFmtId="168" fontId="16" fillId="0" borderId="10" xfId="2" applyNumberFormat="1" applyFont="1" applyBorder="1"/>
    <xf numFmtId="164" fontId="23" fillId="15" borderId="6" xfId="4" applyFont="1" applyFill="1" applyBorder="1" applyAlignment="1">
      <protection locked="0"/>
    </xf>
    <xf numFmtId="164" fontId="23" fillId="15" borderId="7" xfId="4" applyFont="1" applyFill="1" applyBorder="1" applyAlignment="1">
      <alignment horizontal="right"/>
      <protection locked="0"/>
    </xf>
    <xf numFmtId="1" fontId="17" fillId="10" borderId="0" xfId="0" applyNumberFormat="1" applyFont="1" applyFill="1" applyBorder="1" applyAlignment="1" applyProtection="1">
      <alignment horizontal="center"/>
    </xf>
    <xf numFmtId="0" fontId="17" fillId="0" borderId="30" xfId="0" applyFont="1" applyBorder="1"/>
    <xf numFmtId="0" fontId="17" fillId="0" borderId="17" xfId="0" applyFont="1" applyBorder="1"/>
    <xf numFmtId="164" fontId="17" fillId="0" borderId="17" xfId="0" applyNumberFormat="1" applyFont="1" applyBorder="1"/>
    <xf numFmtId="0" fontId="17" fillId="10" borderId="7" xfId="0" applyFont="1" applyFill="1" applyBorder="1" applyAlignment="1" applyProtection="1">
      <alignment horizontal="left" wrapText="1"/>
    </xf>
    <xf numFmtId="164" fontId="17" fillId="0" borderId="6" xfId="0" applyNumberFormat="1" applyFont="1" applyBorder="1" applyProtection="1"/>
    <xf numFmtId="0" fontId="27" fillId="0" borderId="17" xfId="0" applyFont="1" applyBorder="1" applyProtection="1"/>
    <xf numFmtId="0" fontId="15" fillId="0" borderId="15" xfId="0" applyFont="1" applyBorder="1" applyAlignment="1" applyProtection="1">
      <alignment horizontal="center"/>
    </xf>
    <xf numFmtId="0" fontId="5" fillId="0" borderId="7" xfId="0" applyFont="1" applyBorder="1" applyProtection="1"/>
    <xf numFmtId="0" fontId="5" fillId="0" borderId="1" xfId="0" applyFont="1" applyBorder="1" applyProtection="1"/>
    <xf numFmtId="0" fontId="5" fillId="0" borderId="11" xfId="0" applyFont="1" applyBorder="1" applyProtection="1"/>
    <xf numFmtId="0" fontId="6" fillId="0" borderId="11" xfId="0" applyFont="1" applyBorder="1" applyProtection="1"/>
    <xf numFmtId="0" fontId="6" fillId="0" borderId="9" xfId="0" applyFont="1" applyBorder="1" applyAlignment="1" applyProtection="1">
      <alignment horizontal="center"/>
    </xf>
    <xf numFmtId="171" fontId="6" fillId="0" borderId="8" xfId="0" applyNumberFormat="1" applyFont="1" applyBorder="1" applyProtection="1"/>
    <xf numFmtId="171" fontId="6" fillId="0" borderId="10" xfId="0" applyNumberFormat="1" applyFont="1" applyBorder="1" applyProtection="1"/>
    <xf numFmtId="0" fontId="5" fillId="0" borderId="17" xfId="0" applyFont="1" applyBorder="1" applyProtection="1"/>
    <xf numFmtId="0" fontId="17" fillId="0" borderId="30" xfId="0" applyFont="1" applyBorder="1" applyProtection="1"/>
    <xf numFmtId="0" fontId="6" fillId="0" borderId="16" xfId="0" applyFont="1" applyBorder="1" applyAlignment="1" applyProtection="1">
      <alignment horizontal="center"/>
    </xf>
    <xf numFmtId="0" fontId="5" fillId="0" borderId="10" xfId="0" applyFont="1" applyBorder="1" applyAlignment="1" applyProtection="1">
      <alignment horizontal="center"/>
    </xf>
    <xf numFmtId="164" fontId="16" fillId="9" borderId="15" xfId="1" applyFont="1" applyFill="1" applyBorder="1"/>
    <xf numFmtId="0" fontId="32" fillId="0" borderId="0" xfId="0" applyFont="1"/>
    <xf numFmtId="164" fontId="23" fillId="5" borderId="6" xfId="4" applyFont="1" applyBorder="1" applyAlignment="1">
      <alignment horizontal="right"/>
      <protection locked="0"/>
    </xf>
    <xf numFmtId="164" fontId="23" fillId="5" borderId="6" xfId="4" applyFont="1" applyBorder="1" applyAlignment="1">
      <protection locked="0"/>
    </xf>
    <xf numFmtId="164" fontId="23" fillId="5" borderId="7" xfId="4" applyFont="1" applyBorder="1" applyAlignment="1">
      <alignment horizontal="right"/>
      <protection locked="0"/>
    </xf>
    <xf numFmtId="10" fontId="16" fillId="0" borderId="0" xfId="2" applyNumberFormat="1" applyFont="1" applyFill="1" applyAlignment="1">
      <alignment horizontal="center"/>
    </xf>
    <xf numFmtId="172" fontId="17" fillId="0" borderId="15" xfId="0" applyNumberFormat="1" applyFont="1" applyBorder="1" applyAlignment="1" applyProtection="1">
      <alignment horizontal="center"/>
    </xf>
    <xf numFmtId="0" fontId="17" fillId="0" borderId="15" xfId="0" applyFont="1" applyBorder="1" applyAlignment="1" applyProtection="1">
      <alignment horizontal="center"/>
      <protection locked="0"/>
    </xf>
    <xf numFmtId="0" fontId="33" fillId="0" borderId="15" xfId="0" applyFont="1" applyBorder="1" applyAlignment="1" applyProtection="1">
      <alignment horizontal="center"/>
      <protection locked="0"/>
    </xf>
    <xf numFmtId="0" fontId="16" fillId="0" borderId="30" xfId="0" applyFont="1" applyBorder="1" applyProtection="1"/>
    <xf numFmtId="164" fontId="18" fillId="17" borderId="15" xfId="1" applyFont="1" applyFill="1" applyBorder="1" applyAlignment="1">
      <alignment horizontal="center"/>
    </xf>
    <xf numFmtId="164" fontId="16" fillId="0" borderId="15" xfId="1" applyFont="1" applyBorder="1" applyAlignment="1">
      <alignment horizontal="center"/>
    </xf>
    <xf numFmtId="0" fontId="5" fillId="0" borderId="2" xfId="0" applyFont="1" applyBorder="1"/>
    <xf numFmtId="169" fontId="16" fillId="0" borderId="5" xfId="1" applyNumberFormat="1" applyFont="1" applyBorder="1" applyAlignment="1">
      <alignment horizontal="center"/>
    </xf>
    <xf numFmtId="169" fontId="16" fillId="0" borderId="2" xfId="1" applyNumberFormat="1" applyFont="1" applyBorder="1" applyAlignment="1">
      <alignment horizontal="center"/>
    </xf>
    <xf numFmtId="169" fontId="16" fillId="0" borderId="3" xfId="1" applyNumberFormat="1" applyFont="1" applyBorder="1" applyAlignment="1">
      <alignment horizontal="center"/>
    </xf>
    <xf numFmtId="169" fontId="16" fillId="0" borderId="4" xfId="1" applyNumberFormat="1" applyFont="1" applyBorder="1" applyAlignment="1">
      <alignment horizontal="center"/>
    </xf>
    <xf numFmtId="169" fontId="16" fillId="0" borderId="6" xfId="1" applyNumberFormat="1" applyFont="1" applyBorder="1" applyAlignment="1">
      <alignment horizontal="center"/>
    </xf>
    <xf numFmtId="169" fontId="16" fillId="0" borderId="7" xfId="1" applyNumberFormat="1" applyFont="1" applyBorder="1" applyAlignment="1">
      <alignment horizontal="center"/>
    </xf>
    <xf numFmtId="169" fontId="16" fillId="0" borderId="0" xfId="1" applyNumberFormat="1" applyFont="1" applyAlignment="1">
      <alignment horizontal="center"/>
    </xf>
    <xf numFmtId="169" fontId="16" fillId="0" borderId="1" xfId="1" applyNumberFormat="1" applyFont="1" applyBorder="1" applyAlignment="1">
      <alignment horizontal="center"/>
    </xf>
    <xf numFmtId="169" fontId="16" fillId="0" borderId="0" xfId="1" applyNumberFormat="1" applyFont="1" applyFill="1" applyBorder="1" applyAlignment="1">
      <alignment horizontal="right"/>
    </xf>
    <xf numFmtId="169" fontId="16" fillId="0" borderId="1" xfId="1" applyNumberFormat="1" applyFont="1" applyFill="1" applyBorder="1" applyAlignment="1">
      <alignment horizontal="right"/>
    </xf>
    <xf numFmtId="169" fontId="16" fillId="5" borderId="6" xfId="1" applyNumberFormat="1" applyFont="1" applyFill="1" applyBorder="1" applyAlignment="1">
      <alignment horizontal="right"/>
    </xf>
    <xf numFmtId="169" fontId="16" fillId="5" borderId="7" xfId="1" applyNumberFormat="1" applyFont="1" applyFill="1" applyBorder="1" applyAlignment="1">
      <alignment horizontal="right"/>
    </xf>
    <xf numFmtId="169" fontId="16" fillId="5" borderId="0" xfId="1" applyNumberFormat="1" applyFont="1" applyFill="1" applyBorder="1" applyAlignment="1">
      <alignment horizontal="right"/>
    </xf>
    <xf numFmtId="169" fontId="16" fillId="5" borderId="1" xfId="1" applyNumberFormat="1" applyFont="1" applyFill="1" applyBorder="1" applyAlignment="1">
      <alignment horizontal="right"/>
    </xf>
    <xf numFmtId="169" fontId="16" fillId="5" borderId="8" xfId="1" applyNumberFormat="1" applyFont="1" applyFill="1" applyBorder="1" applyAlignment="1">
      <alignment horizontal="right"/>
    </xf>
    <xf numFmtId="169" fontId="16" fillId="0" borderId="11" xfId="1" applyNumberFormat="1" applyFont="1" applyBorder="1" applyAlignment="1">
      <alignment horizontal="center"/>
    </xf>
    <xf numFmtId="169" fontId="16" fillId="5" borderId="9" xfId="1" applyNumberFormat="1" applyFont="1" applyFill="1" applyBorder="1" applyAlignment="1">
      <alignment horizontal="right"/>
    </xf>
    <xf numFmtId="169" fontId="16" fillId="5" borderId="10" xfId="1" applyNumberFormat="1" applyFont="1" applyFill="1" applyBorder="1" applyAlignment="1">
      <alignment horizontal="right"/>
    </xf>
    <xf numFmtId="169" fontId="16" fillId="0" borderId="9" xfId="1" applyNumberFormat="1" applyFont="1" applyBorder="1" applyAlignment="1">
      <alignment horizontal="center"/>
    </xf>
    <xf numFmtId="169" fontId="16" fillId="0" borderId="10" xfId="1" applyNumberFormat="1" applyFont="1" applyBorder="1" applyAlignment="1">
      <alignment horizontal="center"/>
    </xf>
    <xf numFmtId="169" fontId="16" fillId="0" borderId="3" xfId="1" applyNumberFormat="1" applyFont="1" applyFill="1" applyBorder="1"/>
    <xf numFmtId="169" fontId="16" fillId="0" borderId="4" xfId="1" applyNumberFormat="1" applyFont="1" applyFill="1" applyBorder="1"/>
    <xf numFmtId="169" fontId="16" fillId="0" borderId="0" xfId="1" applyNumberFormat="1" applyFont="1" applyFill="1" applyBorder="1"/>
    <xf numFmtId="169" fontId="16" fillId="0" borderId="1" xfId="1" applyNumberFormat="1" applyFont="1" applyFill="1" applyBorder="1"/>
    <xf numFmtId="169" fontId="16" fillId="6" borderId="6" xfId="1" applyNumberFormat="1" applyFont="1" applyFill="1" applyBorder="1" applyAlignment="1">
      <alignment horizontal="right"/>
    </xf>
    <xf numFmtId="169" fontId="16" fillId="6" borderId="7" xfId="1" applyNumberFormat="1" applyFont="1" applyFill="1" applyBorder="1" applyAlignment="1">
      <alignment horizontal="right"/>
    </xf>
    <xf numFmtId="169" fontId="16" fillId="0" borderId="7" xfId="1" applyNumberFormat="1" applyFont="1" applyFill="1" applyBorder="1" applyAlignment="1">
      <alignment horizontal="right"/>
    </xf>
    <xf numFmtId="169" fontId="16" fillId="7" borderId="7" xfId="1" applyNumberFormat="1" applyFont="1" applyFill="1" applyBorder="1" applyAlignment="1">
      <alignment horizontal="right"/>
    </xf>
    <xf numFmtId="169" fontId="16" fillId="7" borderId="1" xfId="1" applyNumberFormat="1" applyFont="1" applyFill="1" applyBorder="1" applyAlignment="1">
      <alignment horizontal="right"/>
    </xf>
    <xf numFmtId="169" fontId="16" fillId="0" borderId="6" xfId="1" applyNumberFormat="1" applyFont="1" applyFill="1" applyBorder="1" applyAlignment="1">
      <alignment horizontal="right"/>
    </xf>
    <xf numFmtId="169" fontId="16" fillId="6" borderId="0" xfId="1" applyNumberFormat="1" applyFont="1" applyFill="1" applyBorder="1" applyAlignment="1">
      <alignment horizontal="right"/>
    </xf>
    <xf numFmtId="169" fontId="16" fillId="6" borderId="1" xfId="1" applyNumberFormat="1" applyFont="1" applyFill="1" applyBorder="1" applyAlignment="1">
      <alignment horizontal="right"/>
    </xf>
    <xf numFmtId="169" fontId="16" fillId="6" borderId="8" xfId="1" applyNumberFormat="1" applyFont="1" applyFill="1" applyBorder="1" applyAlignment="1">
      <alignment horizontal="right"/>
    </xf>
    <xf numFmtId="169" fontId="16" fillId="6" borderId="11" xfId="1" applyNumberFormat="1" applyFont="1" applyFill="1" applyBorder="1" applyAlignment="1">
      <alignment horizontal="right"/>
    </xf>
    <xf numFmtId="169" fontId="16" fillId="0" borderId="9" xfId="1" applyNumberFormat="1" applyFont="1" applyFill="1" applyBorder="1" applyAlignment="1">
      <alignment horizontal="right"/>
    </xf>
    <xf numFmtId="169" fontId="16" fillId="0" borderId="10" xfId="1" applyNumberFormat="1" applyFont="1" applyFill="1" applyBorder="1" applyAlignment="1">
      <alignment horizontal="right"/>
    </xf>
    <xf numFmtId="169" fontId="16" fillId="6" borderId="9" xfId="1" applyNumberFormat="1" applyFont="1" applyFill="1" applyBorder="1" applyAlignment="1">
      <alignment horizontal="right"/>
    </xf>
    <xf numFmtId="169" fontId="16" fillId="6" borderId="10" xfId="1" applyNumberFormat="1" applyFont="1" applyFill="1" applyBorder="1" applyAlignment="1">
      <alignment horizontal="right"/>
    </xf>
    <xf numFmtId="169" fontId="16" fillId="0" borderId="11" xfId="1" applyNumberFormat="1" applyFont="1" applyFill="1" applyBorder="1" applyAlignment="1">
      <alignment horizontal="right"/>
    </xf>
    <xf numFmtId="169" fontId="16" fillId="7" borderId="11" xfId="1" applyNumberFormat="1" applyFont="1" applyFill="1" applyBorder="1" applyAlignment="1">
      <alignment horizontal="right"/>
    </xf>
    <xf numFmtId="169" fontId="16" fillId="7" borderId="10" xfId="1" applyNumberFormat="1" applyFont="1" applyFill="1" applyBorder="1" applyAlignment="1">
      <alignment horizontal="right"/>
    </xf>
    <xf numFmtId="169" fontId="16" fillId="0" borderId="5" xfId="1" applyNumberFormat="1" applyFont="1" applyFill="1" applyBorder="1" applyAlignment="1">
      <alignment horizontal="right"/>
    </xf>
    <xf numFmtId="169" fontId="16" fillId="0" borderId="2" xfId="1" applyNumberFormat="1" applyFont="1" applyFill="1" applyBorder="1" applyAlignment="1">
      <alignment horizontal="right"/>
    </xf>
    <xf numFmtId="169" fontId="16" fillId="0" borderId="3" xfId="1" applyNumberFormat="1" applyFont="1" applyFill="1" applyBorder="1" applyAlignment="1">
      <alignment horizontal="right"/>
    </xf>
    <xf numFmtId="169" fontId="16" fillId="0" borderId="4" xfId="1" applyNumberFormat="1" applyFont="1" applyFill="1" applyBorder="1" applyAlignment="1">
      <alignment horizontal="right"/>
    </xf>
    <xf numFmtId="169" fontId="16" fillId="0" borderId="8" xfId="1" applyNumberFormat="1" applyFont="1" applyFill="1" applyBorder="1" applyAlignment="1">
      <alignment horizontal="right"/>
    </xf>
    <xf numFmtId="170" fontId="2" fillId="9" borderId="0" xfId="5" applyNumberFormat="1" applyFill="1" applyBorder="1"/>
    <xf numFmtId="0" fontId="2" fillId="0" borderId="0" xfId="5" applyBorder="1"/>
    <xf numFmtId="169" fontId="2" fillId="9" borderId="26" xfId="1" applyNumberFormat="1" applyFont="1" applyFill="1" applyBorder="1"/>
    <xf numFmtId="169" fontId="2" fillId="9" borderId="18" xfId="1" applyNumberFormat="1" applyFont="1" applyFill="1" applyBorder="1"/>
    <xf numFmtId="169" fontId="2" fillId="9" borderId="24" xfId="1" applyNumberFormat="1" applyFont="1" applyFill="1" applyBorder="1"/>
    <xf numFmtId="169" fontId="2" fillId="9" borderId="28" xfId="1" applyNumberFormat="1" applyFont="1" applyFill="1" applyBorder="1"/>
    <xf numFmtId="169" fontId="2" fillId="9" borderId="21" xfId="1" applyNumberFormat="1" applyFont="1" applyFill="1" applyBorder="1"/>
    <xf numFmtId="169" fontId="2" fillId="0" borderId="19" xfId="1" applyNumberFormat="1" applyFont="1" applyBorder="1"/>
    <xf numFmtId="169" fontId="2" fillId="13" borderId="20" xfId="1" applyNumberFormat="1" applyFont="1" applyFill="1" applyBorder="1"/>
    <xf numFmtId="169" fontId="2" fillId="0" borderId="3" xfId="1" applyNumberFormat="1" applyFont="1" applyBorder="1"/>
    <xf numFmtId="169" fontId="2" fillId="13" borderId="25" xfId="1" applyNumberFormat="1" applyFont="1" applyFill="1" applyBorder="1"/>
    <xf numFmtId="169" fontId="2" fillId="0" borderId="0" xfId="1" applyNumberFormat="1" applyFont="1" applyBorder="1"/>
    <xf numFmtId="169" fontId="2" fillId="13" borderId="27" xfId="1" applyNumberFormat="1" applyFont="1" applyFill="1" applyBorder="1"/>
    <xf numFmtId="169" fontId="2" fillId="0" borderId="9" xfId="1" applyNumberFormat="1" applyFont="1" applyBorder="1"/>
    <xf numFmtId="169" fontId="2" fillId="13" borderId="29" xfId="1" applyNumberFormat="1" applyFont="1" applyFill="1" applyBorder="1"/>
    <xf numFmtId="169" fontId="2" fillId="0" borderId="22" xfId="1" applyNumberFormat="1" applyFont="1" applyBorder="1"/>
    <xf numFmtId="169" fontId="2" fillId="13" borderId="23" xfId="1" applyNumberFormat="1" applyFont="1" applyFill="1" applyBorder="1"/>
    <xf numFmtId="169" fontId="2" fillId="0" borderId="20" xfId="1" applyNumberFormat="1" applyFont="1" applyBorder="1"/>
    <xf numFmtId="169" fontId="2" fillId="0" borderId="18" xfId="1" applyNumberFormat="1" applyFont="1" applyBorder="1"/>
    <xf numFmtId="164" fontId="1" fillId="18" borderId="0" xfId="7" applyNumberFormat="1" applyAlignment="1" applyProtection="1">
      <protection locked="0"/>
    </xf>
    <xf numFmtId="0" fontId="35" fillId="18" borderId="0" xfId="7" applyNumberFormat="1" applyFont="1" applyAlignment="1" applyProtection="1">
      <alignment horizontal="center"/>
      <protection locked="0"/>
    </xf>
    <xf numFmtId="0" fontId="37" fillId="0" borderId="0" xfId="0" applyFont="1"/>
    <xf numFmtId="164" fontId="23" fillId="5" borderId="2" xfId="4" applyFont="1" applyBorder="1" applyAlignment="1">
      <alignment horizontal="center"/>
      <protection locked="0"/>
    </xf>
    <xf numFmtId="164" fontId="23" fillId="5" borderId="7" xfId="4" applyFont="1" applyBorder="1" applyAlignment="1">
      <alignment horizontal="center"/>
      <protection locked="0"/>
    </xf>
    <xf numFmtId="164" fontId="23" fillId="5" borderId="11" xfId="4" applyFont="1" applyBorder="1" applyAlignment="1">
      <alignment horizontal="center"/>
      <protection locked="0"/>
    </xf>
    <xf numFmtId="164" fontId="18" fillId="5" borderId="0" xfId="4" applyFont="1" applyAlignment="1">
      <alignment horizontal="left"/>
      <protection locked="0"/>
    </xf>
    <xf numFmtId="164" fontId="16" fillId="5" borderId="0" xfId="4" applyFont="1" applyAlignment="1">
      <alignment horizontal="left"/>
      <protection locked="0"/>
    </xf>
    <xf numFmtId="164" fontId="18" fillId="5" borderId="0" xfId="4" applyFont="1" applyAlignment="1">
      <alignment horizontal="center"/>
      <protection locked="0"/>
    </xf>
    <xf numFmtId="164" fontId="18" fillId="5" borderId="2" xfId="4" applyFont="1" applyBorder="1" applyAlignment="1">
      <alignment horizontal="center"/>
      <protection locked="0"/>
    </xf>
    <xf numFmtId="164" fontId="18" fillId="5" borderId="3" xfId="4" applyFont="1" applyBorder="1" applyAlignment="1">
      <alignment horizontal="center"/>
      <protection locked="0"/>
    </xf>
    <xf numFmtId="164" fontId="18" fillId="5" borderId="7" xfId="4" applyFont="1" applyBorder="1" applyAlignment="1">
      <alignment horizontal="center"/>
      <protection locked="0"/>
    </xf>
    <xf numFmtId="164" fontId="18" fillId="5" borderId="0" xfId="4" applyFont="1" applyBorder="1" applyAlignment="1">
      <alignment horizontal="center"/>
      <protection locked="0"/>
    </xf>
    <xf numFmtId="164" fontId="18" fillId="5" borderId="0" xfId="4" applyFont="1" applyBorder="1" applyAlignment="1">
      <alignment horizontal="right"/>
      <protection locked="0"/>
    </xf>
    <xf numFmtId="164" fontId="18" fillId="5" borderId="11" xfId="4" applyFont="1" applyBorder="1" applyAlignment="1">
      <alignment horizontal="center"/>
      <protection locked="0"/>
    </xf>
    <xf numFmtId="164" fontId="18" fillId="5" borderId="9" xfId="4" applyFont="1" applyBorder="1" applyAlignment="1">
      <alignment horizontal="center"/>
      <protection locked="0"/>
    </xf>
    <xf numFmtId="164" fontId="23" fillId="5" borderId="0" xfId="4" applyFont="1" applyAlignment="1">
      <alignment horizontal="center"/>
      <protection locked="0"/>
    </xf>
    <xf numFmtId="164" fontId="18" fillId="5" borderId="3" xfId="4" applyFont="1" applyBorder="1" applyAlignment="1">
      <protection locked="0"/>
    </xf>
    <xf numFmtId="164" fontId="23" fillId="5" borderId="17" xfId="4" applyFont="1" applyBorder="1" applyAlignment="1">
      <alignment horizontal="right"/>
      <protection locked="0"/>
    </xf>
    <xf numFmtId="164" fontId="23" fillId="5" borderId="16" xfId="4" applyFont="1" applyBorder="1" applyAlignment="1">
      <alignment horizontal="right"/>
      <protection locked="0"/>
    </xf>
    <xf numFmtId="164" fontId="16" fillId="0" borderId="6" xfId="4" applyFont="1" applyFill="1" applyBorder="1" applyAlignment="1">
      <protection locked="0"/>
    </xf>
    <xf numFmtId="171" fontId="5" fillId="0" borderId="8" xfId="0" applyNumberFormat="1" applyFont="1" applyFill="1" applyBorder="1" applyProtection="1"/>
    <xf numFmtId="171" fontId="5" fillId="0" borderId="10" xfId="0" applyNumberFormat="1" applyFont="1" applyFill="1" applyBorder="1" applyProtection="1"/>
    <xf numFmtId="164" fontId="10" fillId="5" borderId="6" xfId="4" applyFont="1" applyBorder="1" applyAlignment="1">
      <protection locked="0"/>
    </xf>
    <xf numFmtId="0" fontId="39" fillId="0" borderId="24" xfId="5" applyFont="1" applyBorder="1"/>
    <xf numFmtId="0" fontId="39" fillId="0" borderId="3" xfId="5" applyFont="1" applyBorder="1"/>
    <xf numFmtId="0" fontId="39" fillId="0" borderId="26" xfId="5" applyFont="1" applyBorder="1"/>
    <xf numFmtId="0" fontId="39" fillId="0" borderId="0" xfId="5" applyFont="1"/>
    <xf numFmtId="0" fontId="39" fillId="0" borderId="28" xfId="5" applyFont="1" applyBorder="1"/>
    <xf numFmtId="0" fontId="39" fillId="0" borderId="9" xfId="5" applyFont="1" applyBorder="1"/>
    <xf numFmtId="0" fontId="40" fillId="0" borderId="21" xfId="5" applyFont="1" applyFill="1" applyBorder="1" applyAlignment="1">
      <alignment horizontal="center"/>
    </xf>
    <xf numFmtId="0" fontId="40" fillId="0" borderId="22" xfId="5" applyFont="1" applyFill="1" applyBorder="1" applyAlignment="1">
      <alignment horizontal="center"/>
    </xf>
    <xf numFmtId="0" fontId="40" fillId="0" borderId="23" xfId="5" applyFont="1" applyFill="1" applyBorder="1" applyAlignment="1">
      <alignment horizontal="center"/>
    </xf>
    <xf numFmtId="0" fontId="16" fillId="0" borderId="0" xfId="0" applyFont="1" applyFill="1"/>
    <xf numFmtId="169" fontId="39" fillId="0" borderId="24" xfId="1" applyNumberFormat="1" applyFont="1" applyFill="1" applyBorder="1"/>
    <xf numFmtId="169" fontId="39" fillId="0" borderId="3" xfId="1" applyNumberFormat="1" applyFont="1" applyFill="1" applyBorder="1"/>
    <xf numFmtId="169" fontId="39" fillId="0" borderId="25" xfId="1" applyNumberFormat="1" applyFont="1" applyFill="1" applyBorder="1"/>
    <xf numFmtId="169" fontId="39" fillId="0" borderId="0" xfId="1" applyNumberFormat="1" applyFont="1" applyFill="1" applyBorder="1"/>
    <xf numFmtId="169" fontId="39" fillId="0" borderId="28" xfId="1" applyNumberFormat="1" applyFont="1" applyFill="1" applyBorder="1"/>
    <xf numFmtId="169" fontId="39" fillId="0" borderId="9" xfId="1" applyNumberFormat="1" applyFont="1" applyFill="1" applyBorder="1"/>
    <xf numFmtId="169" fontId="39" fillId="0" borderId="29" xfId="1" applyNumberFormat="1" applyFont="1" applyFill="1" applyBorder="1"/>
    <xf numFmtId="164" fontId="23" fillId="6" borderId="0" xfId="4" applyFont="1" applyFill="1" applyBorder="1" applyAlignment="1">
      <alignment horizontal="left" wrapText="1"/>
      <protection locked="0"/>
    </xf>
    <xf numFmtId="169" fontId="18" fillId="5" borderId="28" xfId="1" applyNumberFormat="1" applyFont="1" applyFill="1" applyBorder="1" applyAlignment="1"/>
    <xf numFmtId="169" fontId="18" fillId="5" borderId="9" xfId="1" applyNumberFormat="1" applyFont="1" applyFill="1" applyBorder="1" applyAlignment="1"/>
    <xf numFmtId="0" fontId="39" fillId="0" borderId="0" xfId="5" applyFont="1" applyBorder="1"/>
    <xf numFmtId="0" fontId="41" fillId="0" borderId="0" xfId="0" applyFont="1"/>
    <xf numFmtId="173" fontId="18" fillId="5" borderId="3" xfId="4" applyNumberFormat="1" applyFont="1" applyBorder="1" applyAlignment="1">
      <alignment horizontal="right"/>
      <protection locked="0"/>
    </xf>
    <xf numFmtId="173" fontId="18" fillId="5" borderId="0" xfId="4" applyNumberFormat="1" applyFont="1" applyBorder="1" applyAlignment="1">
      <alignment horizontal="right"/>
      <protection locked="0"/>
    </xf>
    <xf numFmtId="173" fontId="18" fillId="5" borderId="9" xfId="4" applyNumberFormat="1" applyFont="1" applyBorder="1" applyAlignment="1">
      <alignment horizontal="right"/>
      <protection locked="0"/>
    </xf>
    <xf numFmtId="168" fontId="18" fillId="5" borderId="3" xfId="4" applyNumberFormat="1" applyFont="1" applyBorder="1" applyAlignment="1">
      <protection locked="0"/>
    </xf>
    <xf numFmtId="168" fontId="18" fillId="5" borderId="0" xfId="4" applyNumberFormat="1" applyFont="1" applyBorder="1" applyAlignment="1">
      <protection locked="0"/>
    </xf>
    <xf numFmtId="168" fontId="18" fillId="5" borderId="9" xfId="4" applyNumberFormat="1" applyFont="1" applyBorder="1" applyAlignment="1">
      <protection locked="0"/>
    </xf>
    <xf numFmtId="168" fontId="16" fillId="0" borderId="0" xfId="0" applyNumberFormat="1" applyFont="1" applyAlignment="1">
      <alignment horizontal="center"/>
    </xf>
    <xf numFmtId="168" fontId="16" fillId="0" borderId="0" xfId="0" applyNumberFormat="1" applyFont="1" applyBorder="1" applyAlignment="1">
      <alignment horizontal="center"/>
    </xf>
    <xf numFmtId="168" fontId="16" fillId="0" borderId="0" xfId="0" applyNumberFormat="1" applyFont="1"/>
    <xf numFmtId="168" fontId="16" fillId="0" borderId="0" xfId="0" applyNumberFormat="1" applyFont="1" applyBorder="1"/>
    <xf numFmtId="168" fontId="17" fillId="0" borderId="3" xfId="0" applyNumberFormat="1" applyFont="1" applyBorder="1" applyAlignment="1">
      <alignment horizontal="center"/>
    </xf>
    <xf numFmtId="164" fontId="18" fillId="0" borderId="15" xfId="1" applyFont="1" applyFill="1" applyBorder="1" applyAlignment="1">
      <alignment horizontal="center"/>
    </xf>
    <xf numFmtId="0" fontId="42" fillId="0" borderId="0" xfId="0" applyFont="1"/>
    <xf numFmtId="0" fontId="18" fillId="5" borderId="0" xfId="4" applyNumberFormat="1" applyFont="1" applyAlignment="1">
      <alignment horizontal="center"/>
      <protection locked="0"/>
    </xf>
    <xf numFmtId="10" fontId="16" fillId="0" borderId="15" xfId="2" applyNumberFormat="1" applyFont="1" applyBorder="1" applyAlignment="1">
      <alignment horizontal="center"/>
    </xf>
    <xf numFmtId="0" fontId="17" fillId="9" borderId="15" xfId="0" applyFont="1" applyFill="1" applyBorder="1"/>
    <xf numFmtId="0" fontId="24" fillId="0" borderId="15" xfId="0" applyFont="1" applyBorder="1" applyAlignment="1" applyProtection="1">
      <alignment horizontal="center"/>
      <protection locked="0"/>
    </xf>
    <xf numFmtId="0" fontId="17" fillId="0" borderId="15" xfId="0" applyFont="1" applyBorder="1" applyProtection="1"/>
    <xf numFmtId="164" fontId="23" fillId="0" borderId="15" xfId="1" applyFont="1" applyFill="1" applyBorder="1" applyAlignment="1">
      <alignment horizontal="center"/>
    </xf>
    <xf numFmtId="0" fontId="43" fillId="0" borderId="0" xfId="0" applyFont="1"/>
    <xf numFmtId="168" fontId="18" fillId="6" borderId="0" xfId="4" applyNumberFormat="1" applyFont="1" applyFill="1" applyBorder="1" applyAlignment="1">
      <protection locked="0"/>
    </xf>
    <xf numFmtId="168" fontId="44" fillId="6" borderId="3" xfId="6" applyNumberFormat="1" applyFont="1" applyFill="1" applyBorder="1" applyAlignment="1" applyProtection="1">
      <protection locked="0"/>
    </xf>
    <xf numFmtId="0" fontId="17" fillId="0" borderId="15" xfId="0" applyFont="1" applyBorder="1" applyAlignment="1">
      <alignment horizontal="center"/>
    </xf>
    <xf numFmtId="0" fontId="16" fillId="0" borderId="6" xfId="0" applyFont="1" applyBorder="1"/>
    <xf numFmtId="0" fontId="16" fillId="0" borderId="8" xfId="0" applyFont="1" applyBorder="1"/>
    <xf numFmtId="174" fontId="44" fillId="6" borderId="5" xfId="6" applyNumberFormat="1" applyFont="1" applyFill="1" applyBorder="1" applyAlignment="1" applyProtection="1">
      <protection locked="0"/>
    </xf>
    <xf numFmtId="164" fontId="23" fillId="19" borderId="15" xfId="1" applyFont="1" applyFill="1" applyBorder="1"/>
    <xf numFmtId="164" fontId="16" fillId="0" borderId="15" xfId="1" applyFont="1" applyFill="1" applyBorder="1"/>
    <xf numFmtId="0" fontId="6" fillId="12" borderId="0" xfId="0" applyFont="1" applyFill="1"/>
    <xf numFmtId="0" fontId="6" fillId="0" borderId="0" xfId="0" applyFont="1" applyAlignment="1">
      <alignment horizontal="center"/>
    </xf>
    <xf numFmtId="164" fontId="10" fillId="0" borderId="0" xfId="1" applyFont="1"/>
    <xf numFmtId="164" fontId="10" fillId="0" borderId="0" xfId="1" applyFont="1" applyBorder="1"/>
    <xf numFmtId="164" fontId="6" fillId="0" borderId="12" xfId="1" applyFont="1" applyBorder="1"/>
    <xf numFmtId="0" fontId="45" fillId="0" borderId="0" xfId="0" applyFont="1"/>
    <xf numFmtId="164" fontId="6" fillId="0" borderId="17" xfId="1" applyFont="1" applyBorder="1"/>
    <xf numFmtId="164" fontId="6" fillId="0" borderId="0" xfId="1" applyFont="1" applyBorder="1"/>
    <xf numFmtId="0" fontId="46" fillId="0" borderId="0" xfId="0" applyFont="1"/>
    <xf numFmtId="10" fontId="46" fillId="0" borderId="0" xfId="2" applyNumberFormat="1" applyFont="1" applyBorder="1"/>
    <xf numFmtId="0" fontId="40" fillId="0" borderId="0" xfId="0" applyFont="1"/>
    <xf numFmtId="0" fontId="5" fillId="0" borderId="31" xfId="0" applyFont="1" applyBorder="1"/>
    <xf numFmtId="10" fontId="5" fillId="0" borderId="0" xfId="2" applyNumberFormat="1" applyFont="1"/>
    <xf numFmtId="44" fontId="23" fillId="5" borderId="0" xfId="8" applyNumberFormat="1" applyFont="1" applyFill="1" applyBorder="1" applyAlignment="1" applyProtection="1">
      <protection locked="0"/>
    </xf>
    <xf numFmtId="44" fontId="5" fillId="0" borderId="0" xfId="0" applyNumberFormat="1" applyFont="1"/>
    <xf numFmtId="175" fontId="5" fillId="0" borderId="0" xfId="8" applyNumberFormat="1" applyFont="1"/>
    <xf numFmtId="176" fontId="5" fillId="0" borderId="0" xfId="2" applyNumberFormat="1" applyFont="1"/>
    <xf numFmtId="44" fontId="5" fillId="0" borderId="0" xfId="8" applyNumberFormat="1" applyFont="1"/>
    <xf numFmtId="0" fontId="5"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wrapText="1"/>
    </xf>
    <xf numFmtId="0" fontId="17" fillId="12" borderId="0" xfId="0" applyFont="1" applyFill="1"/>
    <xf numFmtId="44" fontId="5" fillId="0" borderId="0" xfId="8" applyFont="1" applyAlignment="1">
      <alignment vertical="top"/>
    </xf>
    <xf numFmtId="44" fontId="5" fillId="0" borderId="0" xfId="0" applyNumberFormat="1" applyFont="1" applyAlignment="1">
      <alignment vertical="top"/>
    </xf>
    <xf numFmtId="0" fontId="16" fillId="3" borderId="0" xfId="0" applyFont="1" applyFill="1" applyAlignment="1">
      <alignment horizontal="center"/>
    </xf>
    <xf numFmtId="0" fontId="6" fillId="12" borderId="0" xfId="0" applyFont="1" applyFill="1" applyAlignment="1">
      <alignment horizontal="center"/>
    </xf>
    <xf numFmtId="0" fontId="22" fillId="0" borderId="0" xfId="0" applyFont="1" applyAlignment="1">
      <alignment horizontal="center"/>
    </xf>
    <xf numFmtId="0" fontId="5" fillId="0" borderId="0" xfId="0" applyFont="1" applyAlignment="1">
      <alignment horizontal="center" vertical="top"/>
    </xf>
    <xf numFmtId="44" fontId="5" fillId="0" borderId="0" xfId="8" applyNumberFormat="1" applyFont="1" applyAlignment="1">
      <alignment vertical="top"/>
    </xf>
    <xf numFmtId="0" fontId="6" fillId="0" borderId="0" xfId="0" applyFont="1" applyAlignment="1">
      <alignment horizontal="left" vertical="center"/>
    </xf>
    <xf numFmtId="164" fontId="10" fillId="5" borderId="0" xfId="4" applyFont="1" applyAlignment="1">
      <protection locked="0"/>
    </xf>
    <xf numFmtId="0" fontId="5" fillId="9" borderId="0" xfId="0" applyFont="1" applyFill="1"/>
    <xf numFmtId="0" fontId="22" fillId="9" borderId="0" xfId="0" applyFont="1" applyFill="1" applyAlignment="1">
      <alignment horizontal="left"/>
    </xf>
    <xf numFmtId="44" fontId="5" fillId="20" borderId="0" xfId="8" applyNumberFormat="1" applyFont="1" applyFill="1"/>
    <xf numFmtId="44" fontId="5" fillId="20" borderId="0" xfId="0" applyNumberFormat="1" applyFont="1" applyFill="1"/>
    <xf numFmtId="0" fontId="5" fillId="20" borderId="0" xfId="0" applyFont="1" applyFill="1" applyAlignment="1">
      <alignment horizontal="center"/>
    </xf>
    <xf numFmtId="175" fontId="5" fillId="20" borderId="0" xfId="8" applyNumberFormat="1" applyFont="1" applyFill="1"/>
    <xf numFmtId="175" fontId="5" fillId="20" borderId="0" xfId="0" applyNumberFormat="1" applyFont="1" applyFill="1"/>
    <xf numFmtId="175" fontId="5" fillId="0" borderId="0" xfId="0" applyNumberFormat="1" applyFont="1" applyAlignment="1">
      <alignment horizontal="right"/>
    </xf>
    <xf numFmtId="44" fontId="5" fillId="0" borderId="0" xfId="1" applyNumberFormat="1" applyFont="1"/>
    <xf numFmtId="0" fontId="5" fillId="0" borderId="32" xfId="0" applyFont="1" applyBorder="1"/>
    <xf numFmtId="0" fontId="5" fillId="0" borderId="32" xfId="0" applyFont="1" applyBorder="1" applyAlignment="1">
      <alignment horizontal="center"/>
    </xf>
    <xf numFmtId="2" fontId="15" fillId="0" borderId="0" xfId="1" applyNumberFormat="1" applyFont="1" applyAlignment="1">
      <alignment horizontal="left"/>
    </xf>
    <xf numFmtId="2" fontId="15" fillId="0" borderId="0" xfId="3" applyNumberFormat="1" applyFont="1" applyAlignment="1" applyProtection="1">
      <alignment horizontal="left"/>
    </xf>
    <xf numFmtId="0" fontId="5" fillId="0" borderId="1"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18" xfId="0" applyFont="1" applyBorder="1"/>
    <xf numFmtId="0" fontId="5" fillId="0" borderId="19" xfId="0" applyFont="1" applyBorder="1"/>
    <xf numFmtId="0" fontId="5" fillId="0" borderId="33" xfId="0" applyFont="1" applyBorder="1"/>
    <xf numFmtId="0" fontId="5" fillId="0" borderId="26" xfId="0" applyFont="1" applyBorder="1" applyAlignment="1">
      <alignment horizontal="center"/>
    </xf>
    <xf numFmtId="0" fontId="5" fillId="0" borderId="28" xfId="0" applyFont="1" applyBorder="1" applyAlignment="1">
      <alignment horizontal="center"/>
    </xf>
    <xf numFmtId="0" fontId="6" fillId="0" borderId="24" xfId="0" applyFont="1" applyBorder="1"/>
    <xf numFmtId="0" fontId="6" fillId="0" borderId="26" xfId="0" applyFont="1" applyBorder="1"/>
    <xf numFmtId="164" fontId="6" fillId="0" borderId="26" xfId="4" applyFont="1" applyFill="1" applyBorder="1" applyAlignment="1">
      <alignment horizontal="left"/>
      <protection locked="0"/>
    </xf>
    <xf numFmtId="2" fontId="47" fillId="0" borderId="0" xfId="1" applyNumberFormat="1" applyFont="1" applyFill="1" applyAlignment="1">
      <alignment horizontal="left"/>
    </xf>
    <xf numFmtId="0" fontId="9" fillId="0" borderId="26" xfId="0" applyFont="1" applyBorder="1"/>
    <xf numFmtId="164" fontId="5" fillId="11" borderId="26" xfId="4" applyFont="1" applyFill="1" applyBorder="1" applyAlignment="1">
      <alignment horizontal="left" wrapText="1"/>
      <protection locked="0"/>
    </xf>
    <xf numFmtId="164" fontId="5" fillId="11" borderId="1" xfId="4" applyFont="1" applyFill="1" applyBorder="1" applyAlignment="1">
      <alignment horizontal="left" wrapText="1"/>
      <protection locked="0"/>
    </xf>
    <xf numFmtId="164" fontId="5" fillId="11" borderId="1" xfId="4" applyFont="1" applyFill="1" applyBorder="1" applyAlignment="1">
      <alignment horizontal="left"/>
      <protection locked="0"/>
    </xf>
    <xf numFmtId="164" fontId="5" fillId="11" borderId="6" xfId="4" applyFont="1" applyFill="1" applyBorder="1" applyAlignment="1">
      <alignment horizontal="left" wrapText="1"/>
      <protection locked="0"/>
    </xf>
    <xf numFmtId="164" fontId="5" fillId="11" borderId="21" xfId="4" applyFont="1" applyFill="1" applyBorder="1" applyAlignment="1">
      <alignment horizontal="left" wrapText="1"/>
      <protection locked="0"/>
    </xf>
    <xf numFmtId="164" fontId="5" fillId="11" borderId="36" xfId="4" applyFont="1" applyFill="1" applyBorder="1" applyAlignment="1">
      <alignment horizontal="left" wrapText="1"/>
      <protection locked="0"/>
    </xf>
    <xf numFmtId="164" fontId="5" fillId="11" borderId="37" xfId="4" applyFont="1" applyFill="1" applyBorder="1" applyAlignment="1">
      <alignment horizontal="left" wrapText="1"/>
      <protection locked="0"/>
    </xf>
    <xf numFmtId="177" fontId="16" fillId="0" borderId="0" xfId="1" applyNumberFormat="1" applyFont="1" applyFill="1"/>
    <xf numFmtId="178" fontId="16" fillId="0" borderId="0" xfId="0" applyNumberFormat="1" applyFont="1"/>
    <xf numFmtId="43" fontId="16" fillId="0" borderId="0" xfId="0" applyNumberFormat="1" applyFont="1"/>
    <xf numFmtId="177" fontId="17" fillId="0" borderId="12" xfId="1" applyNumberFormat="1" applyFont="1" applyFill="1" applyBorder="1"/>
    <xf numFmtId="164" fontId="5" fillId="11" borderId="0" xfId="4" applyFont="1" applyFill="1" applyBorder="1" applyAlignment="1">
      <alignment horizontal="left" wrapText="1"/>
      <protection locked="0"/>
    </xf>
    <xf numFmtId="0" fontId="17" fillId="0" borderId="0" xfId="0" applyFont="1" applyBorder="1" applyAlignment="1">
      <alignment horizontal="center"/>
    </xf>
    <xf numFmtId="169" fontId="39" fillId="0" borderId="26" xfId="1" applyNumberFormat="1" applyFont="1" applyFill="1" applyBorder="1"/>
    <xf numFmtId="169" fontId="39" fillId="0" borderId="27" xfId="1" applyNumberFormat="1" applyFont="1" applyFill="1" applyBorder="1"/>
    <xf numFmtId="175" fontId="6" fillId="0" borderId="0" xfId="8" applyNumberFormat="1" applyFont="1" applyAlignment="1">
      <alignment horizontal="left"/>
    </xf>
    <xf numFmtId="175" fontId="8" fillId="0" borderId="0" xfId="8" quotePrefix="1" applyNumberFormat="1" applyFont="1" applyAlignment="1">
      <alignment vertical="center"/>
    </xf>
    <xf numFmtId="175" fontId="5" fillId="0" borderId="0" xfId="8" applyNumberFormat="1" applyFont="1" applyBorder="1"/>
    <xf numFmtId="175" fontId="6" fillId="0" borderId="34" xfId="8" applyNumberFormat="1" applyFont="1" applyBorder="1" applyAlignment="1">
      <alignment horizontal="center"/>
    </xf>
    <xf numFmtId="175" fontId="5" fillId="0" borderId="6" xfId="8" applyNumberFormat="1" applyFont="1" applyBorder="1" applyAlignment="1">
      <alignment horizontal="center"/>
    </xf>
    <xf numFmtId="175" fontId="5" fillId="0" borderId="7" xfId="8" applyNumberFormat="1" applyFont="1" applyBorder="1" applyAlignment="1">
      <alignment horizontal="center"/>
    </xf>
    <xf numFmtId="175" fontId="5" fillId="0" borderId="0" xfId="8" applyNumberFormat="1" applyFont="1" applyBorder="1" applyAlignment="1">
      <alignment horizontal="center"/>
    </xf>
    <xf numFmtId="175" fontId="5" fillId="0" borderId="1" xfId="8" applyNumberFormat="1" applyFont="1" applyBorder="1" applyAlignment="1">
      <alignment horizontal="center"/>
    </xf>
    <xf numFmtId="175" fontId="5" fillId="0" borderId="1" xfId="8" applyNumberFormat="1" applyFont="1" applyBorder="1" applyAlignment="1">
      <alignment horizontal="left"/>
    </xf>
    <xf numFmtId="175" fontId="5" fillId="0" borderId="8" xfId="8" applyNumberFormat="1" applyFont="1" applyBorder="1" applyAlignment="1">
      <alignment horizontal="center"/>
    </xf>
    <xf numFmtId="175" fontId="5" fillId="0" borderId="11" xfId="8" applyNumberFormat="1" applyFont="1" applyBorder="1" applyAlignment="1">
      <alignment horizontal="center"/>
    </xf>
    <xf numFmtId="175" fontId="5" fillId="0" borderId="9" xfId="8" applyNumberFormat="1" applyFont="1" applyBorder="1" applyAlignment="1">
      <alignment horizontal="center"/>
    </xf>
    <xf numFmtId="175" fontId="5" fillId="0" borderId="10" xfId="8" applyNumberFormat="1" applyFont="1" applyBorder="1" applyAlignment="1">
      <alignment horizontal="center"/>
    </xf>
    <xf numFmtId="175" fontId="5" fillId="0" borderId="2" xfId="8" applyNumberFormat="1" applyFont="1" applyBorder="1" applyAlignment="1">
      <alignment horizontal="center"/>
    </xf>
    <xf numFmtId="175" fontId="5" fillId="0" borderId="3" xfId="8" applyNumberFormat="1" applyFont="1" applyBorder="1" applyAlignment="1">
      <alignment horizontal="center"/>
    </xf>
    <xf numFmtId="175" fontId="5" fillId="0" borderId="2" xfId="8" applyNumberFormat="1" applyFont="1" applyBorder="1"/>
    <xf numFmtId="175" fontId="5" fillId="0" borderId="3" xfId="8" applyNumberFormat="1" applyFont="1" applyBorder="1"/>
    <xf numFmtId="175" fontId="5" fillId="0" borderId="4" xfId="8" applyNumberFormat="1" applyFont="1" applyBorder="1" applyAlignment="1">
      <alignment horizontal="center"/>
    </xf>
    <xf numFmtId="175" fontId="5" fillId="0" borderId="7" xfId="8" applyNumberFormat="1" applyFont="1" applyBorder="1"/>
    <xf numFmtId="175" fontId="5" fillId="11" borderId="0" xfId="8" applyNumberFormat="1" applyFont="1" applyFill="1" applyBorder="1"/>
    <xf numFmtId="175" fontId="5" fillId="11" borderId="7" xfId="8" applyNumberFormat="1" applyFont="1" applyFill="1" applyBorder="1"/>
    <xf numFmtId="175" fontId="5" fillId="11" borderId="1" xfId="8" applyNumberFormat="1" applyFont="1" applyFill="1" applyBorder="1"/>
    <xf numFmtId="175" fontId="5" fillId="11" borderId="0" xfId="8" applyNumberFormat="1" applyFont="1" applyFill="1" applyBorder="1" applyAlignment="1">
      <alignment horizontal="center"/>
    </xf>
    <xf numFmtId="175" fontId="5" fillId="11" borderId="1" xfId="8" applyNumberFormat="1" applyFont="1" applyFill="1" applyBorder="1" applyAlignment="1">
      <alignment horizontal="center"/>
    </xf>
    <xf numFmtId="175" fontId="5" fillId="11" borderId="7" xfId="8" applyNumberFormat="1" applyFont="1" applyFill="1" applyBorder="1" applyAlignment="1">
      <alignment horizontal="center"/>
    </xf>
    <xf numFmtId="175" fontId="5" fillId="0" borderId="5" xfId="8" applyNumberFormat="1" applyFont="1" applyBorder="1"/>
    <xf numFmtId="175" fontId="5" fillId="0" borderId="0" xfId="8" applyNumberFormat="1" applyFont="1" applyFill="1" applyBorder="1"/>
    <xf numFmtId="175" fontId="5" fillId="0" borderId="1" xfId="8" applyNumberFormat="1" applyFont="1" applyFill="1" applyBorder="1"/>
    <xf numFmtId="175" fontId="5" fillId="11" borderId="0" xfId="8" applyNumberFormat="1" applyFont="1" applyFill="1" applyBorder="1" applyAlignment="1">
      <alignment horizontal="right"/>
    </xf>
    <xf numFmtId="175" fontId="5" fillId="11" borderId="1" xfId="8" applyNumberFormat="1" applyFont="1" applyFill="1" applyBorder="1" applyAlignment="1">
      <alignment horizontal="right"/>
    </xf>
    <xf numFmtId="175" fontId="5" fillId="11" borderId="7" xfId="8" applyNumberFormat="1" applyFont="1" applyFill="1" applyBorder="1" applyAlignment="1">
      <alignment horizontal="right"/>
    </xf>
    <xf numFmtId="175" fontId="5" fillId="11" borderId="27" xfId="8" applyNumberFormat="1" applyFont="1" applyFill="1" applyBorder="1" applyAlignment="1">
      <alignment horizontal="right"/>
    </xf>
    <xf numFmtId="175" fontId="5" fillId="0" borderId="7" xfId="8" applyNumberFormat="1" applyFont="1" applyFill="1" applyBorder="1" applyAlignment="1">
      <alignment horizontal="right"/>
    </xf>
    <xf numFmtId="175" fontId="5" fillId="0" borderId="0" xfId="8" applyNumberFormat="1" applyFont="1" applyFill="1" applyBorder="1" applyAlignment="1">
      <alignment horizontal="right"/>
    </xf>
    <xf numFmtId="175" fontId="5" fillId="0" borderId="1" xfId="8" applyNumberFormat="1" applyFont="1" applyFill="1" applyBorder="1" applyAlignment="1">
      <alignment horizontal="right"/>
    </xf>
    <xf numFmtId="175" fontId="5" fillId="0" borderId="27" xfId="8" applyNumberFormat="1" applyFont="1" applyFill="1" applyBorder="1" applyAlignment="1">
      <alignment horizontal="right"/>
    </xf>
    <xf numFmtId="175" fontId="5" fillId="0" borderId="5" xfId="8" applyNumberFormat="1" applyFont="1" applyFill="1" applyBorder="1" applyAlignment="1">
      <alignment horizontal="right"/>
    </xf>
    <xf numFmtId="175" fontId="5" fillId="0" borderId="2" xfId="8" applyNumberFormat="1" applyFont="1" applyFill="1" applyBorder="1" applyAlignment="1">
      <alignment horizontal="right"/>
    </xf>
    <xf numFmtId="175" fontId="5" fillId="0" borderId="3" xfId="8" applyNumberFormat="1" applyFont="1" applyFill="1" applyBorder="1" applyAlignment="1">
      <alignment horizontal="right"/>
    </xf>
    <xf numFmtId="175" fontId="5" fillId="0" borderId="4" xfId="8" applyNumberFormat="1" applyFont="1" applyFill="1" applyBorder="1" applyAlignment="1">
      <alignment horizontal="right"/>
    </xf>
    <xf numFmtId="175" fontId="5" fillId="0" borderId="25" xfId="8" applyNumberFormat="1" applyFont="1" applyFill="1" applyBorder="1" applyAlignment="1">
      <alignment horizontal="right"/>
    </xf>
    <xf numFmtId="175" fontId="5" fillId="0" borderId="6" xfId="8" applyNumberFormat="1" applyFont="1" applyFill="1" applyBorder="1" applyAlignment="1">
      <alignment horizontal="right"/>
    </xf>
    <xf numFmtId="175" fontId="5" fillId="11" borderId="27" xfId="8" applyNumberFormat="1" applyFont="1" applyFill="1" applyBorder="1"/>
    <xf numFmtId="175" fontId="5" fillId="11" borderId="38" xfId="8" applyNumberFormat="1" applyFont="1" applyFill="1" applyBorder="1"/>
    <xf numFmtId="175" fontId="5" fillId="11" borderId="22" xfId="8" applyNumberFormat="1" applyFont="1" applyFill="1" applyBorder="1" applyAlignment="1">
      <alignment horizontal="right"/>
    </xf>
    <xf numFmtId="175" fontId="5" fillId="11" borderId="36" xfId="8" applyNumberFormat="1" applyFont="1" applyFill="1" applyBorder="1" applyAlignment="1">
      <alignment horizontal="right"/>
    </xf>
    <xf numFmtId="175" fontId="5" fillId="11" borderId="38" xfId="8" applyNumberFormat="1" applyFont="1" applyFill="1" applyBorder="1" applyAlignment="1">
      <alignment horizontal="right"/>
    </xf>
    <xf numFmtId="175" fontId="5" fillId="11" borderId="23" xfId="8" applyNumberFormat="1" applyFont="1" applyFill="1" applyBorder="1" applyAlignment="1">
      <alignment horizontal="right"/>
    </xf>
    <xf numFmtId="44" fontId="16" fillId="0" borderId="0" xfId="0" applyNumberFormat="1" applyFont="1"/>
    <xf numFmtId="44" fontId="16" fillId="8" borderId="0" xfId="0" applyNumberFormat="1" applyFont="1" applyFill="1"/>
    <xf numFmtId="44" fontId="17" fillId="8" borderId="12" xfId="0" applyNumberFormat="1" applyFont="1" applyFill="1" applyBorder="1"/>
    <xf numFmtId="164" fontId="17" fillId="9" borderId="0" xfId="1" applyFont="1" applyFill="1" applyBorder="1"/>
    <xf numFmtId="177" fontId="5" fillId="0" borderId="0" xfId="0" applyNumberFormat="1" applyFont="1"/>
    <xf numFmtId="176" fontId="16" fillId="0" borderId="0" xfId="2" applyNumberFormat="1" applyFont="1"/>
    <xf numFmtId="167" fontId="5" fillId="0" borderId="0" xfId="0" applyNumberFormat="1" applyFont="1"/>
    <xf numFmtId="44" fontId="5" fillId="0" borderId="0" xfId="8" applyNumberFormat="1" applyFont="1" applyFill="1"/>
    <xf numFmtId="175" fontId="5" fillId="0" borderId="0" xfId="8" applyNumberFormat="1" applyFont="1" applyFill="1"/>
    <xf numFmtId="175" fontId="5" fillId="0" borderId="0" xfId="0" applyNumberFormat="1" applyFont="1" applyFill="1"/>
    <xf numFmtId="175" fontId="23" fillId="5" borderId="0" xfId="8" applyNumberFormat="1" applyFont="1" applyFill="1" applyBorder="1" applyAlignment="1" applyProtection="1">
      <protection locked="0"/>
    </xf>
    <xf numFmtId="0" fontId="46" fillId="0" borderId="0" xfId="0" applyFont="1" applyAlignment="1">
      <alignment wrapText="1"/>
    </xf>
    <xf numFmtId="177" fontId="5" fillId="0" borderId="0" xfId="1" applyNumberFormat="1" applyFont="1"/>
    <xf numFmtId="179" fontId="5" fillId="0" borderId="0" xfId="1" applyNumberFormat="1" applyFont="1"/>
    <xf numFmtId="173" fontId="2" fillId="9" borderId="26" xfId="1" applyNumberFormat="1" applyFont="1" applyFill="1" applyBorder="1"/>
    <xf numFmtId="173" fontId="2" fillId="0" borderId="0" xfId="1" applyNumberFormat="1" applyFont="1" applyBorder="1"/>
    <xf numFmtId="173" fontId="2" fillId="13" borderId="27" xfId="1" applyNumberFormat="1" applyFont="1" applyFill="1" applyBorder="1"/>
    <xf numFmtId="164" fontId="2" fillId="9" borderId="26" xfId="1" applyNumberFormat="1" applyFont="1" applyFill="1" applyBorder="1"/>
    <xf numFmtId="164" fontId="2" fillId="0" borderId="0" xfId="1" applyNumberFormat="1" applyFont="1" applyBorder="1"/>
    <xf numFmtId="164" fontId="2" fillId="13" borderId="27" xfId="1" applyNumberFormat="1" applyFont="1" applyFill="1" applyBorder="1"/>
    <xf numFmtId="169" fontId="18" fillId="5" borderId="0" xfId="1" applyNumberFormat="1" applyFont="1" applyFill="1" applyBorder="1" applyAlignment="1"/>
    <xf numFmtId="169" fontId="18" fillId="5" borderId="26" xfId="1" applyNumberFormat="1" applyFont="1" applyFill="1" applyBorder="1" applyAlignment="1"/>
    <xf numFmtId="180" fontId="39" fillId="0" borderId="26" xfId="1" applyNumberFormat="1" applyFont="1" applyFill="1" applyBorder="1"/>
    <xf numFmtId="180" fontId="39" fillId="0" borderId="0" xfId="1" applyNumberFormat="1" applyFont="1" applyFill="1" applyBorder="1"/>
    <xf numFmtId="180" fontId="39" fillId="0" borderId="27" xfId="1" applyNumberFormat="1" applyFont="1" applyFill="1" applyBorder="1"/>
    <xf numFmtId="180" fontId="39" fillId="0" borderId="28" xfId="1" applyNumberFormat="1" applyFont="1" applyFill="1" applyBorder="1"/>
    <xf numFmtId="180" fontId="39" fillId="0" borderId="9" xfId="1" applyNumberFormat="1" applyFont="1" applyFill="1" applyBorder="1"/>
    <xf numFmtId="180" fontId="39" fillId="0" borderId="29" xfId="1" applyNumberFormat="1" applyFont="1" applyFill="1" applyBorder="1"/>
    <xf numFmtId="180" fontId="16" fillId="0" borderId="0" xfId="0" applyNumberFormat="1" applyFont="1"/>
    <xf numFmtId="180" fontId="16" fillId="0" borderId="0" xfId="0" applyNumberFormat="1" applyFont="1" applyFill="1"/>
    <xf numFmtId="180" fontId="39" fillId="0" borderId="24" xfId="1" applyNumberFormat="1" applyFont="1" applyFill="1" applyBorder="1"/>
    <xf numFmtId="180" fontId="39" fillId="0" borderId="3" xfId="1" applyNumberFormat="1" applyFont="1" applyFill="1" applyBorder="1"/>
    <xf numFmtId="180" fontId="39" fillId="0" borderId="25" xfId="1" applyNumberFormat="1" applyFont="1" applyFill="1" applyBorder="1"/>
    <xf numFmtId="169" fontId="16" fillId="0" borderId="0" xfId="1" applyNumberFormat="1" applyFont="1" applyFill="1"/>
    <xf numFmtId="169" fontId="16" fillId="3" borderId="0" xfId="1" applyNumberFormat="1" applyFont="1" applyFill="1"/>
    <xf numFmtId="169" fontId="40" fillId="0" borderId="21" xfId="1" applyNumberFormat="1" applyFont="1" applyFill="1" applyBorder="1" applyAlignment="1">
      <alignment horizontal="center"/>
    </xf>
    <xf numFmtId="169" fontId="40" fillId="0" borderId="22" xfId="1" applyNumberFormat="1" applyFont="1" applyFill="1" applyBorder="1" applyAlignment="1">
      <alignment horizontal="center"/>
    </xf>
    <xf numFmtId="169" fontId="40" fillId="0" borderId="23" xfId="1" applyNumberFormat="1" applyFont="1" applyFill="1" applyBorder="1" applyAlignment="1">
      <alignment horizontal="center"/>
    </xf>
    <xf numFmtId="0" fontId="17" fillId="0" borderId="0" xfId="0" applyFont="1" applyBorder="1" applyAlignment="1">
      <alignment horizontal="center"/>
    </xf>
    <xf numFmtId="175" fontId="5" fillId="0" borderId="7" xfId="8" applyNumberFormat="1" applyFont="1" applyBorder="1" applyAlignment="1">
      <alignment horizontal="center"/>
    </xf>
    <xf numFmtId="175" fontId="5" fillId="0" borderId="0" xfId="8" applyNumberFormat="1" applyFont="1" applyBorder="1" applyAlignment="1">
      <alignment horizontal="center"/>
    </xf>
    <xf numFmtId="175" fontId="5" fillId="0" borderId="1" xfId="8" applyNumberFormat="1" applyFont="1" applyBorder="1" applyAlignment="1">
      <alignment horizontal="center"/>
    </xf>
    <xf numFmtId="176" fontId="16" fillId="0" borderId="0" xfId="0" applyNumberFormat="1" applyFont="1"/>
    <xf numFmtId="164" fontId="16" fillId="0" borderId="7" xfId="0" applyNumberFormat="1" applyFont="1" applyBorder="1"/>
    <xf numFmtId="176" fontId="16" fillId="0" borderId="7" xfId="2" applyNumberFormat="1" applyFont="1" applyBorder="1"/>
    <xf numFmtId="169" fontId="16" fillId="6" borderId="7" xfId="1" applyNumberFormat="1" applyFont="1" applyFill="1" applyBorder="1" applyAlignment="1">
      <alignment horizontal="center"/>
    </xf>
    <xf numFmtId="169" fontId="16" fillId="6" borderId="0" xfId="1" applyNumberFormat="1" applyFont="1" applyFill="1"/>
    <xf numFmtId="169" fontId="16" fillId="6" borderId="1" xfId="1" applyNumberFormat="1" applyFont="1" applyFill="1" applyBorder="1"/>
    <xf numFmtId="0" fontId="17" fillId="0" borderId="0" xfId="0" applyFont="1" applyBorder="1" applyAlignment="1">
      <alignment horizontal="left"/>
    </xf>
    <xf numFmtId="0" fontId="17" fillId="0" borderId="9" xfId="0" applyFont="1" applyBorder="1" applyAlignment="1">
      <alignment horizontal="center"/>
    </xf>
    <xf numFmtId="168" fontId="44" fillId="6" borderId="5" xfId="2" applyNumberFormat="1" applyFont="1" applyFill="1" applyBorder="1" applyAlignment="1" applyProtection="1">
      <protection locked="0"/>
    </xf>
    <xf numFmtId="175" fontId="5" fillId="0" borderId="7" xfId="8" applyNumberFormat="1" applyFont="1" applyBorder="1" applyAlignment="1">
      <alignment horizontal="center"/>
    </xf>
    <xf numFmtId="175" fontId="5" fillId="0" borderId="0" xfId="8" applyNumberFormat="1" applyFont="1" applyBorder="1" applyAlignment="1">
      <alignment horizontal="center"/>
    </xf>
    <xf numFmtId="175" fontId="5" fillId="0" borderId="1" xfId="8" applyNumberFormat="1" applyFont="1" applyBorder="1" applyAlignment="1">
      <alignment horizontal="center"/>
    </xf>
    <xf numFmtId="175" fontId="5" fillId="0" borderId="27" xfId="8" applyNumberFormat="1" applyFont="1" applyBorder="1" applyAlignment="1">
      <alignment horizontal="center"/>
    </xf>
    <xf numFmtId="181" fontId="2" fillId="9" borderId="26" xfId="1" applyNumberFormat="1" applyFont="1" applyFill="1" applyBorder="1"/>
    <xf numFmtId="181" fontId="2" fillId="0" borderId="0" xfId="1" applyNumberFormat="1" applyFont="1" applyBorder="1"/>
    <xf numFmtId="181" fontId="2" fillId="13" borderId="27" xfId="1" applyNumberFormat="1" applyFont="1" applyFill="1" applyBorder="1"/>
    <xf numFmtId="164" fontId="5" fillId="0" borderId="26" xfId="4" applyFont="1" applyFill="1" applyBorder="1" applyAlignment="1">
      <alignment horizontal="left" wrapText="1"/>
      <protection locked="0"/>
    </xf>
    <xf numFmtId="164" fontId="5" fillId="0" borderId="1" xfId="4" applyFont="1" applyFill="1" applyBorder="1" applyAlignment="1">
      <alignment horizontal="left" wrapText="1"/>
      <protection locked="0"/>
    </xf>
    <xf numFmtId="175" fontId="5" fillId="0" borderId="7" xfId="8" applyNumberFormat="1" applyFont="1" applyFill="1" applyBorder="1"/>
    <xf numFmtId="175" fontId="5" fillId="0" borderId="0" xfId="8" applyNumberFormat="1" applyFont="1" applyFill="1" applyBorder="1" applyAlignment="1">
      <alignment horizontal="center"/>
    </xf>
    <xf numFmtId="175" fontId="5" fillId="0" borderId="1" xfId="8" applyNumberFormat="1" applyFont="1" applyFill="1" applyBorder="1" applyAlignment="1">
      <alignment horizontal="center"/>
    </xf>
    <xf numFmtId="175" fontId="5" fillId="0" borderId="7" xfId="8" applyNumberFormat="1" applyFont="1" applyFill="1" applyBorder="1" applyAlignment="1">
      <alignment horizontal="center"/>
    </xf>
    <xf numFmtId="164" fontId="5" fillId="0" borderId="28" xfId="4" applyFont="1" applyFill="1" applyBorder="1" applyAlignment="1">
      <alignment horizontal="left" wrapText="1"/>
      <protection locked="0"/>
    </xf>
    <xf numFmtId="164" fontId="5" fillId="0" borderId="10" xfId="4" applyFont="1" applyFill="1" applyBorder="1" applyAlignment="1">
      <alignment horizontal="left" wrapText="1"/>
      <protection locked="0"/>
    </xf>
    <xf numFmtId="164" fontId="5" fillId="0" borderId="10" xfId="4" applyFont="1" applyFill="1" applyBorder="1" applyAlignment="1">
      <alignment horizontal="left"/>
      <protection locked="0"/>
    </xf>
    <xf numFmtId="175" fontId="5" fillId="0" borderId="9" xfId="8" applyNumberFormat="1" applyFont="1" applyFill="1" applyBorder="1" applyAlignment="1">
      <alignment horizontal="right"/>
    </xf>
    <xf numFmtId="175" fontId="5" fillId="0" borderId="11" xfId="8" applyNumberFormat="1" applyFont="1" applyFill="1" applyBorder="1" applyAlignment="1">
      <alignment horizontal="right"/>
    </xf>
    <xf numFmtId="175" fontId="5" fillId="0" borderId="29" xfId="8" applyNumberFormat="1" applyFont="1" applyFill="1" applyBorder="1" applyAlignment="1">
      <alignment horizontal="right"/>
    </xf>
    <xf numFmtId="164" fontId="5" fillId="0" borderId="6" xfId="4" applyFont="1" applyFill="1" applyBorder="1" applyAlignment="1">
      <alignment horizontal="left" wrapText="1"/>
      <protection locked="0"/>
    </xf>
    <xf numFmtId="175" fontId="5" fillId="0" borderId="27" xfId="8" applyNumberFormat="1" applyFont="1" applyFill="1" applyBorder="1"/>
    <xf numFmtId="164" fontId="5" fillId="0" borderId="0" xfId="4" applyFont="1" applyFill="1" applyBorder="1" applyAlignment="1">
      <alignment horizontal="left" wrapText="1"/>
      <protection locked="0"/>
    </xf>
    <xf numFmtId="164" fontId="5" fillId="0" borderId="37" xfId="4" applyFont="1" applyFill="1" applyBorder="1" applyAlignment="1">
      <alignment horizontal="left" wrapText="1"/>
      <protection locked="0"/>
    </xf>
    <xf numFmtId="175" fontId="5" fillId="0" borderId="0" xfId="8" applyNumberFormat="1" applyFont="1" applyBorder="1" applyAlignment="1">
      <alignment horizontal="left"/>
    </xf>
    <xf numFmtId="175" fontId="5" fillId="0" borderId="38" xfId="8" applyNumberFormat="1" applyFont="1" applyFill="1" applyBorder="1" applyAlignment="1">
      <alignment horizontal="right"/>
    </xf>
    <xf numFmtId="175" fontId="5" fillId="0" borderId="22" xfId="8" applyNumberFormat="1" applyFont="1" applyFill="1" applyBorder="1" applyAlignment="1">
      <alignment horizontal="right"/>
    </xf>
    <xf numFmtId="175" fontId="5" fillId="0" borderId="36" xfId="8" applyNumberFormat="1" applyFont="1" applyFill="1" applyBorder="1" applyAlignment="1">
      <alignment horizontal="right"/>
    </xf>
    <xf numFmtId="175" fontId="5" fillId="0" borderId="25" xfId="8" applyNumberFormat="1" applyFont="1" applyBorder="1"/>
    <xf numFmtId="175" fontId="5" fillId="0" borderId="27" xfId="8" applyNumberFormat="1" applyFont="1" applyBorder="1"/>
    <xf numFmtId="175" fontId="5" fillId="11" borderId="22" xfId="8" applyNumberFormat="1" applyFont="1" applyFill="1" applyBorder="1"/>
    <xf numFmtId="10" fontId="16" fillId="0" borderId="0" xfId="2" applyNumberFormat="1" applyFont="1"/>
    <xf numFmtId="164" fontId="5" fillId="0" borderId="21" xfId="4" applyFont="1" applyFill="1" applyBorder="1" applyAlignment="1">
      <alignment horizontal="left" wrapText="1"/>
      <protection locked="0"/>
    </xf>
    <xf numFmtId="175" fontId="5" fillId="0" borderId="22" xfId="8" applyNumberFormat="1" applyFont="1" applyFill="1" applyBorder="1"/>
    <xf numFmtId="175" fontId="5" fillId="0" borderId="38" xfId="8" applyNumberFormat="1" applyFont="1" applyFill="1" applyBorder="1"/>
    <xf numFmtId="175" fontId="5" fillId="0" borderId="23" xfId="8" applyNumberFormat="1" applyFont="1" applyFill="1" applyBorder="1" applyAlignment="1">
      <alignment horizontal="right"/>
    </xf>
    <xf numFmtId="164" fontId="6" fillId="0" borderId="12" xfId="0" applyNumberFormat="1" applyFont="1" applyBorder="1"/>
    <xf numFmtId="176" fontId="6" fillId="0" borderId="12" xfId="2" applyNumberFormat="1" applyFont="1" applyBorder="1"/>
    <xf numFmtId="177" fontId="16" fillId="0" borderId="0" xfId="1" applyNumberFormat="1" applyFont="1"/>
    <xf numFmtId="173" fontId="16" fillId="0" borderId="0" xfId="1" applyNumberFormat="1" applyFont="1"/>
    <xf numFmtId="173" fontId="17" fillId="0" borderId="12" xfId="1" applyNumberFormat="1" applyFont="1" applyFill="1" applyBorder="1"/>
    <xf numFmtId="10" fontId="20" fillId="0" borderId="0" xfId="2" quotePrefix="1" applyNumberFormat="1" applyFont="1" applyAlignment="1">
      <alignment vertical="center"/>
    </xf>
    <xf numFmtId="10" fontId="17" fillId="0" borderId="0" xfId="2" applyNumberFormat="1" applyFont="1"/>
    <xf numFmtId="41" fontId="5" fillId="0" borderId="0" xfId="0" applyNumberFormat="1" applyFont="1"/>
    <xf numFmtId="0" fontId="6" fillId="0" borderId="0" xfId="0" applyFont="1" applyAlignment="1">
      <alignment horizontal="center" wrapText="1"/>
    </xf>
    <xf numFmtId="176" fontId="6" fillId="0" borderId="0" xfId="2" applyNumberFormat="1" applyFont="1" applyBorder="1"/>
    <xf numFmtId="173" fontId="2" fillId="9" borderId="28" xfId="1" applyNumberFormat="1" applyFont="1" applyFill="1" applyBorder="1"/>
    <xf numFmtId="173" fontId="2" fillId="0" borderId="9" xfId="1" applyNumberFormat="1" applyFont="1" applyBorder="1"/>
    <xf numFmtId="173" fontId="2" fillId="13" borderId="29" xfId="1" applyNumberFormat="1" applyFont="1" applyFill="1" applyBorder="1"/>
    <xf numFmtId="0" fontId="30" fillId="0" borderId="0" xfId="5" applyFont="1" applyBorder="1"/>
    <xf numFmtId="170" fontId="2" fillId="0" borderId="0" xfId="5" applyNumberFormat="1" applyBorder="1"/>
    <xf numFmtId="0" fontId="29" fillId="0" borderId="21" xfId="5" applyFont="1" applyBorder="1"/>
    <xf numFmtId="0" fontId="29" fillId="0" borderId="22" xfId="5" applyFont="1" applyBorder="1"/>
    <xf numFmtId="0" fontId="35" fillId="9" borderId="3" xfId="5" applyFont="1" applyFill="1" applyBorder="1"/>
    <xf numFmtId="169" fontId="35" fillId="9" borderId="24" xfId="1" applyNumberFormat="1" applyFont="1" applyFill="1" applyBorder="1"/>
    <xf numFmtId="164" fontId="16" fillId="0" borderId="0" xfId="4" applyFont="1" applyFill="1" applyBorder="1" applyAlignment="1">
      <alignment horizontal="right"/>
      <protection locked="0"/>
    </xf>
    <xf numFmtId="173" fontId="2" fillId="0" borderId="0" xfId="5" applyNumberFormat="1"/>
    <xf numFmtId="173" fontId="2" fillId="13" borderId="27" xfId="5" applyNumberFormat="1" applyFill="1" applyBorder="1"/>
    <xf numFmtId="173" fontId="2" fillId="9" borderId="26" xfId="5" applyNumberFormat="1" applyFill="1" applyBorder="1"/>
    <xf numFmtId="173" fontId="2" fillId="9" borderId="0" xfId="5" applyNumberFormat="1" applyFill="1"/>
    <xf numFmtId="175" fontId="5" fillId="0" borderId="7" xfId="8" applyNumberFormat="1" applyFont="1" applyBorder="1" applyAlignment="1">
      <alignment horizontal="center"/>
    </xf>
    <xf numFmtId="0" fontId="5" fillId="0" borderId="0" xfId="0" applyFont="1" applyFill="1"/>
    <xf numFmtId="0" fontId="17" fillId="0" borderId="7"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168" fontId="44" fillId="6" borderId="6" xfId="2" applyNumberFormat="1" applyFont="1" applyFill="1" applyBorder="1" applyAlignment="1" applyProtection="1">
      <protection locked="0"/>
    </xf>
    <xf numFmtId="10" fontId="16" fillId="0" borderId="6" xfId="0" applyNumberFormat="1" applyFont="1" applyBorder="1"/>
    <xf numFmtId="164" fontId="18" fillId="5" borderId="0" xfId="4" quotePrefix="1" applyFont="1" applyAlignment="1">
      <alignment horizontal="center"/>
      <protection locked="0"/>
    </xf>
    <xf numFmtId="164" fontId="48" fillId="6" borderId="0" xfId="4" applyFont="1" applyFill="1" applyBorder="1" applyAlignment="1">
      <alignment horizontal="left" wrapText="1"/>
      <protection locked="0"/>
    </xf>
    <xf numFmtId="169" fontId="16" fillId="21" borderId="0" xfId="1" applyNumberFormat="1" applyFont="1" applyFill="1"/>
    <xf numFmtId="164" fontId="49" fillId="6" borderId="0" xfId="4" applyFont="1" applyFill="1" applyBorder="1" applyAlignment="1">
      <alignment horizontal="left" wrapText="1"/>
      <protection locked="0"/>
    </xf>
    <xf numFmtId="164" fontId="49" fillId="6" borderId="1" xfId="4" applyFont="1" applyFill="1" applyBorder="1" applyAlignment="1">
      <alignment horizontal="left" wrapText="1"/>
      <protection locked="0"/>
    </xf>
    <xf numFmtId="164" fontId="49" fillId="6" borderId="6" xfId="4" applyFont="1" applyFill="1" applyBorder="1" applyAlignment="1">
      <alignment horizontal="left" wrapText="1"/>
      <protection locked="0"/>
    </xf>
    <xf numFmtId="164" fontId="6" fillId="0" borderId="6" xfId="4" applyFont="1" applyFill="1" applyBorder="1" applyAlignment="1">
      <alignment horizontal="left" wrapText="1"/>
      <protection locked="0"/>
    </xf>
    <xf numFmtId="164" fontId="5" fillId="0" borderId="9" xfId="4" applyFont="1" applyFill="1" applyBorder="1" applyAlignment="1">
      <alignment horizontal="left" wrapText="1"/>
      <protection locked="0"/>
    </xf>
    <xf numFmtId="164" fontId="6" fillId="0" borderId="8" xfId="4" applyFont="1" applyFill="1" applyBorder="1" applyAlignment="1">
      <alignment horizontal="left" wrapText="1"/>
      <protection locked="0"/>
    </xf>
    <xf numFmtId="164" fontId="49" fillId="6" borderId="9" xfId="4" applyFont="1" applyFill="1" applyBorder="1" applyAlignment="1">
      <alignment horizontal="left" wrapText="1"/>
      <protection locked="0"/>
    </xf>
    <xf numFmtId="164" fontId="49" fillId="6" borderId="8" xfId="4" applyFont="1" applyFill="1" applyBorder="1" applyAlignment="1">
      <alignment horizontal="left" wrapText="1"/>
      <protection locked="0"/>
    </xf>
    <xf numFmtId="164" fontId="5" fillId="6" borderId="11" xfId="4" applyFont="1" applyFill="1" applyBorder="1" applyAlignment="1">
      <alignment horizontal="left" wrapText="1"/>
      <protection locked="0"/>
    </xf>
    <xf numFmtId="164" fontId="50" fillId="6" borderId="0" xfId="4" applyFont="1" applyFill="1" applyBorder="1" applyAlignment="1">
      <alignment horizontal="left" wrapText="1"/>
      <protection locked="0"/>
    </xf>
    <xf numFmtId="164" fontId="50" fillId="6" borderId="1" xfId="4" applyFont="1" applyFill="1" applyBorder="1" applyAlignment="1">
      <alignment horizontal="left" wrapText="1"/>
      <protection locked="0"/>
    </xf>
    <xf numFmtId="164" fontId="50" fillId="6" borderId="6" xfId="4" applyFont="1" applyFill="1" applyBorder="1" applyAlignment="1">
      <alignment horizontal="left" wrapText="1"/>
      <protection locked="0"/>
    </xf>
    <xf numFmtId="164" fontId="5" fillId="6" borderId="0" xfId="4" applyFont="1" applyFill="1" applyBorder="1" applyAlignment="1">
      <alignment horizontal="left"/>
      <protection locked="0"/>
    </xf>
    <xf numFmtId="164" fontId="49" fillId="6" borderId="0" xfId="4" applyFont="1" applyFill="1" applyBorder="1" applyAlignment="1">
      <alignment horizontal="left"/>
      <protection locked="0"/>
    </xf>
    <xf numFmtId="164" fontId="49" fillId="6" borderId="1" xfId="4" applyFont="1" applyFill="1" applyBorder="1" applyAlignment="1">
      <alignment horizontal="left"/>
      <protection locked="0"/>
    </xf>
    <xf numFmtId="164" fontId="49" fillId="6" borderId="6" xfId="4" applyFont="1" applyFill="1" applyBorder="1" applyAlignment="1">
      <alignment horizontal="left"/>
      <protection locked="0"/>
    </xf>
    <xf numFmtId="164" fontId="16" fillId="6" borderId="0" xfId="4" applyFont="1" applyFill="1" applyBorder="1" applyAlignment="1">
      <alignment horizontal="left"/>
      <protection locked="0"/>
    </xf>
    <xf numFmtId="169" fontId="16" fillId="22" borderId="6" xfId="1" applyNumberFormat="1" applyFont="1" applyFill="1" applyBorder="1" applyAlignment="1">
      <alignment horizontal="right"/>
    </xf>
    <xf numFmtId="169" fontId="16" fillId="23" borderId="0" xfId="1" applyNumberFormat="1" applyFont="1" applyFill="1" applyBorder="1" applyAlignment="1">
      <alignment horizontal="right"/>
    </xf>
    <xf numFmtId="169" fontId="16" fillId="23" borderId="1" xfId="1" applyNumberFormat="1" applyFont="1" applyFill="1" applyBorder="1" applyAlignment="1">
      <alignment horizontal="right"/>
    </xf>
    <xf numFmtId="169" fontId="16" fillId="23" borderId="9" xfId="1" applyNumberFormat="1" applyFont="1" applyFill="1" applyBorder="1" applyAlignment="1">
      <alignment horizontal="right"/>
    </xf>
    <xf numFmtId="169" fontId="16" fillId="23" borderId="10" xfId="1" applyNumberFormat="1" applyFont="1" applyFill="1" applyBorder="1" applyAlignment="1">
      <alignment horizontal="right"/>
    </xf>
    <xf numFmtId="169" fontId="16" fillId="22" borderId="8" xfId="1" applyNumberFormat="1" applyFont="1" applyFill="1" applyBorder="1" applyAlignment="1">
      <alignment horizontal="right"/>
    </xf>
    <xf numFmtId="169" fontId="16" fillId="22" borderId="11" xfId="1" applyNumberFormat="1" applyFont="1" applyFill="1" applyBorder="1" applyAlignment="1">
      <alignment horizontal="right"/>
    </xf>
    <xf numFmtId="169" fontId="16" fillId="22" borderId="9" xfId="1" applyNumberFormat="1" applyFont="1" applyFill="1" applyBorder="1" applyAlignment="1">
      <alignment horizontal="right"/>
    </xf>
    <xf numFmtId="169" fontId="16" fillId="22" borderId="10" xfId="1" applyNumberFormat="1" applyFont="1" applyFill="1" applyBorder="1" applyAlignment="1">
      <alignment horizontal="right"/>
    </xf>
    <xf numFmtId="169" fontId="16" fillId="22" borderId="7" xfId="1" applyNumberFormat="1" applyFont="1" applyFill="1" applyBorder="1" applyAlignment="1">
      <alignment horizontal="right"/>
    </xf>
    <xf numFmtId="169" fontId="16" fillId="22" borderId="0" xfId="1" applyNumberFormat="1" applyFont="1" applyFill="1" applyBorder="1" applyAlignment="1">
      <alignment horizontal="right"/>
    </xf>
    <xf numFmtId="169" fontId="16" fillId="22" borderId="1" xfId="1" applyNumberFormat="1" applyFont="1" applyFill="1" applyBorder="1" applyAlignment="1">
      <alignment horizontal="right"/>
    </xf>
    <xf numFmtId="169" fontId="16" fillId="23" borderId="6" xfId="1" applyNumberFormat="1" applyFont="1" applyFill="1" applyBorder="1" applyAlignment="1">
      <alignment horizontal="right"/>
    </xf>
    <xf numFmtId="169" fontId="16" fillId="23" borderId="7" xfId="1" applyNumberFormat="1" applyFont="1" applyFill="1" applyBorder="1" applyAlignment="1">
      <alignment horizontal="right"/>
    </xf>
    <xf numFmtId="169" fontId="16" fillId="24" borderId="6" xfId="1" applyNumberFormat="1" applyFont="1" applyFill="1" applyBorder="1" applyAlignment="1">
      <alignment horizontal="right"/>
    </xf>
    <xf numFmtId="169" fontId="16" fillId="24" borderId="7" xfId="1" applyNumberFormat="1" applyFont="1" applyFill="1" applyBorder="1" applyAlignment="1">
      <alignment horizontal="right"/>
    </xf>
    <xf numFmtId="169" fontId="16" fillId="24" borderId="0" xfId="1" applyNumberFormat="1" applyFont="1" applyFill="1" applyBorder="1" applyAlignment="1">
      <alignment horizontal="right"/>
    </xf>
    <xf numFmtId="43" fontId="16" fillId="0" borderId="12" xfId="0" applyNumberFormat="1" applyFont="1" applyBorder="1"/>
    <xf numFmtId="176" fontId="16" fillId="0" borderId="12" xfId="2" applyNumberFormat="1" applyFont="1" applyBorder="1"/>
    <xf numFmtId="182" fontId="16" fillId="0" borderId="0" xfId="0" applyNumberFormat="1" applyFont="1"/>
    <xf numFmtId="167" fontId="16" fillId="0" borderId="0" xfId="0" applyNumberFormat="1" applyFont="1"/>
    <xf numFmtId="43" fontId="0" fillId="0" borderId="0" xfId="0" applyNumberFormat="1"/>
    <xf numFmtId="0" fontId="6" fillId="0" borderId="0" xfId="0" applyFont="1" applyAlignment="1">
      <alignment horizontal="right" vertical="center"/>
    </xf>
    <xf numFmtId="0" fontId="6" fillId="25" borderId="0" xfId="0" applyFont="1" applyFill="1" applyAlignment="1">
      <alignment horizontal="center" vertical="center"/>
    </xf>
    <xf numFmtId="164" fontId="5" fillId="25" borderId="0" xfId="1" applyFont="1" applyFill="1"/>
    <xf numFmtId="176" fontId="5" fillId="25" borderId="0" xfId="2" applyNumberFormat="1" applyFont="1" applyFill="1"/>
    <xf numFmtId="164" fontId="6" fillId="25" borderId="12" xfId="0" applyNumberFormat="1" applyFont="1" applyFill="1" applyBorder="1"/>
    <xf numFmtId="176" fontId="6" fillId="25" borderId="12" xfId="2" applyNumberFormat="1" applyFont="1" applyFill="1" applyBorder="1"/>
    <xf numFmtId="0" fontId="5" fillId="25" borderId="0" xfId="0" applyFont="1" applyFill="1"/>
    <xf numFmtId="169" fontId="16" fillId="23" borderId="8" xfId="1" applyNumberFormat="1" applyFont="1" applyFill="1" applyBorder="1" applyAlignment="1">
      <alignment horizontal="right"/>
    </xf>
    <xf numFmtId="164" fontId="5" fillId="11" borderId="22" xfId="4" applyFont="1" applyFill="1" applyBorder="1" applyAlignment="1">
      <alignment horizontal="left" wrapText="1"/>
      <protection locked="0"/>
    </xf>
    <xf numFmtId="175" fontId="5" fillId="11" borderId="36" xfId="8" applyNumberFormat="1" applyFont="1" applyFill="1" applyBorder="1"/>
    <xf numFmtId="164" fontId="5" fillId="0" borderId="36" xfId="4" applyFont="1" applyFill="1" applyBorder="1" applyAlignment="1">
      <alignment horizontal="left" wrapText="1"/>
      <protection locked="0"/>
    </xf>
    <xf numFmtId="175" fontId="5" fillId="0" borderId="1" xfId="8" applyNumberFormat="1" applyFont="1" applyBorder="1" applyAlignment="1">
      <alignment horizontal="center"/>
    </xf>
    <xf numFmtId="176" fontId="16" fillId="0" borderId="15" xfId="2" applyNumberFormat="1" applyFont="1" applyBorder="1" applyAlignment="1">
      <alignment horizontal="center"/>
    </xf>
    <xf numFmtId="183" fontId="16" fillId="0" borderId="15" xfId="2" applyNumberFormat="1" applyFont="1" applyBorder="1"/>
    <xf numFmtId="0" fontId="6" fillId="0" borderId="33" xfId="0" applyFont="1" applyBorder="1"/>
    <xf numFmtId="0" fontId="16" fillId="21" borderId="0" xfId="0" applyFont="1" applyFill="1"/>
    <xf numFmtId="176" fontId="16" fillId="21" borderId="0" xfId="2" applyNumberFormat="1" applyFont="1" applyFill="1"/>
    <xf numFmtId="165" fontId="16" fillId="21" borderId="0" xfId="0" applyNumberFormat="1" applyFont="1" applyFill="1"/>
    <xf numFmtId="0" fontId="6" fillId="25" borderId="0" xfId="0" applyFont="1" applyFill="1" applyAlignment="1">
      <alignment horizontal="center" vertical="center"/>
    </xf>
    <xf numFmtId="0" fontId="6" fillId="0" borderId="0" xfId="0" applyFont="1" applyFill="1" applyAlignment="1">
      <alignment horizontal="center"/>
    </xf>
    <xf numFmtId="0" fontId="5" fillId="0" borderId="0" xfId="0" applyFont="1" applyFill="1" applyAlignment="1">
      <alignment horizontal="center"/>
    </xf>
    <xf numFmtId="164" fontId="5" fillId="0" borderId="0" xfId="1" applyFont="1" applyFill="1"/>
    <xf numFmtId="10" fontId="46" fillId="0" borderId="0" xfId="2" applyNumberFormat="1" applyFont="1" applyFill="1" applyBorder="1"/>
    <xf numFmtId="164" fontId="6" fillId="0" borderId="12" xfId="1" applyFont="1" applyFill="1" applyBorder="1"/>
    <xf numFmtId="0" fontId="6" fillId="25" borderId="0" xfId="0" applyFont="1" applyFill="1" applyAlignment="1">
      <alignment horizontal="center" vertical="center" wrapText="1"/>
    </xf>
    <xf numFmtId="164" fontId="27" fillId="0" borderId="0" xfId="0" applyNumberFormat="1" applyFont="1"/>
    <xf numFmtId="0" fontId="21" fillId="3" borderId="0" xfId="0" applyFont="1" applyFill="1" applyAlignment="1">
      <alignment horizontal="center" vertical="center"/>
    </xf>
    <xf numFmtId="0" fontId="17" fillId="0" borderId="3" xfId="0" applyFont="1" applyBorder="1" applyAlignment="1">
      <alignment horizontal="center"/>
    </xf>
    <xf numFmtId="0" fontId="17" fillId="0" borderId="4" xfId="0" applyFont="1" applyBorder="1" applyAlignment="1">
      <alignment horizontal="center"/>
    </xf>
    <xf numFmtId="0" fontId="17" fillId="21" borderId="2" xfId="0" applyFont="1" applyFill="1" applyBorder="1" applyAlignment="1">
      <alignment horizontal="center"/>
    </xf>
    <xf numFmtId="0" fontId="17" fillId="21" borderId="3" xfId="0" applyFont="1" applyFill="1" applyBorder="1" applyAlignment="1">
      <alignment horizontal="center"/>
    </xf>
    <xf numFmtId="0" fontId="17" fillId="21" borderId="4" xfId="0" applyFont="1" applyFill="1" applyBorder="1" applyAlignment="1">
      <alignment horizontal="center"/>
    </xf>
    <xf numFmtId="175" fontId="5" fillId="0" borderId="7" xfId="8" applyNumberFormat="1" applyFont="1" applyBorder="1" applyAlignment="1">
      <alignment horizontal="center"/>
    </xf>
    <xf numFmtId="175" fontId="5" fillId="0" borderId="0" xfId="8" applyNumberFormat="1" applyFont="1" applyBorder="1" applyAlignment="1">
      <alignment horizontal="center"/>
    </xf>
    <xf numFmtId="175" fontId="5" fillId="0" borderId="1" xfId="8" applyNumberFormat="1" applyFont="1" applyBorder="1" applyAlignment="1">
      <alignment horizontal="center"/>
    </xf>
    <xf numFmtId="175" fontId="5" fillId="0" borderId="7" xfId="8" applyNumberFormat="1" applyFont="1" applyBorder="1" applyAlignment="1">
      <alignment horizontal="center" vertical="center"/>
    </xf>
    <xf numFmtId="175" fontId="5" fillId="0" borderId="1" xfId="8" applyNumberFormat="1" applyFont="1" applyBorder="1" applyAlignment="1">
      <alignment horizontal="center" vertical="center"/>
    </xf>
    <xf numFmtId="0" fontId="21" fillId="3" borderId="1" xfId="0" applyFont="1" applyFill="1" applyBorder="1" applyAlignment="1">
      <alignment horizontal="center" vertical="center"/>
    </xf>
    <xf numFmtId="0" fontId="21" fillId="4" borderId="0" xfId="0" applyFont="1" applyFill="1" applyAlignment="1">
      <alignment horizontal="center" vertical="center"/>
    </xf>
    <xf numFmtId="0" fontId="21" fillId="4" borderId="1" xfId="0" applyFont="1" applyFill="1" applyBorder="1" applyAlignment="1">
      <alignment horizontal="center" vertical="center"/>
    </xf>
    <xf numFmtId="0" fontId="17" fillId="0" borderId="2" xfId="0" applyFont="1" applyBorder="1" applyAlignment="1">
      <alignment horizontal="center"/>
    </xf>
    <xf numFmtId="0" fontId="11" fillId="4" borderId="0" xfId="0" applyFont="1" applyFill="1" applyAlignment="1">
      <alignment horizontal="center" vertical="center"/>
    </xf>
    <xf numFmtId="0" fontId="11" fillId="4" borderId="1" xfId="0" applyFont="1" applyFill="1" applyBorder="1" applyAlignment="1">
      <alignment horizontal="center" vertical="center"/>
    </xf>
    <xf numFmtId="0" fontId="11" fillId="3" borderId="0" xfId="0" applyFont="1" applyFill="1" applyAlignment="1">
      <alignment horizontal="center" vertical="center"/>
    </xf>
    <xf numFmtId="0" fontId="17" fillId="0" borderId="7" xfId="0" applyFont="1" applyBorder="1" applyAlignment="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40" fillId="0" borderId="18" xfId="5" applyFont="1" applyBorder="1" applyAlignment="1">
      <alignment horizontal="center"/>
    </xf>
    <xf numFmtId="0" fontId="40" fillId="0" borderId="19" xfId="5" applyFont="1" applyBorder="1" applyAlignment="1">
      <alignment horizontal="center"/>
    </xf>
    <xf numFmtId="0" fontId="40" fillId="0" borderId="20" xfId="5" applyFont="1" applyBorder="1" applyAlignment="1">
      <alignment horizontal="center"/>
    </xf>
    <xf numFmtId="169" fontId="40" fillId="0" borderId="18" xfId="1" applyNumberFormat="1" applyFont="1" applyBorder="1" applyAlignment="1">
      <alignment horizontal="center"/>
    </xf>
    <xf numFmtId="169" fontId="40" fillId="0" borderId="19" xfId="1" applyNumberFormat="1" applyFont="1" applyBorder="1" applyAlignment="1">
      <alignment horizontal="center"/>
    </xf>
    <xf numFmtId="169" fontId="40" fillId="0" borderId="20" xfId="1" applyNumberFormat="1" applyFont="1" applyBorder="1" applyAlignment="1">
      <alignment horizontal="center"/>
    </xf>
    <xf numFmtId="175" fontId="5" fillId="0" borderId="27" xfId="8" applyNumberFormat="1" applyFont="1" applyBorder="1" applyAlignment="1">
      <alignment horizontal="center"/>
    </xf>
    <xf numFmtId="175" fontId="6" fillId="0" borderId="35" xfId="8" applyNumberFormat="1" applyFont="1" applyBorder="1" applyAlignment="1">
      <alignment horizontal="center"/>
    </xf>
    <xf numFmtId="175" fontId="6" fillId="0" borderId="19" xfId="8" applyNumberFormat="1" applyFont="1" applyBorder="1" applyAlignment="1">
      <alignment horizontal="center"/>
    </xf>
    <xf numFmtId="175" fontId="6" fillId="0" borderId="33" xfId="8" applyNumberFormat="1" applyFont="1" applyBorder="1" applyAlignment="1">
      <alignment horizontal="center"/>
    </xf>
    <xf numFmtId="175" fontId="6" fillId="0" borderId="20" xfId="8" applyNumberFormat="1" applyFont="1" applyBorder="1" applyAlignment="1">
      <alignment horizontal="center"/>
    </xf>
    <xf numFmtId="175" fontId="5" fillId="0" borderId="0" xfId="8" applyNumberFormat="1" applyFont="1" applyBorder="1" applyAlignment="1">
      <alignment horizontal="center" vertical="center"/>
    </xf>
    <xf numFmtId="0" fontId="29" fillId="0" borderId="18" xfId="5" applyFont="1" applyBorder="1" applyAlignment="1">
      <alignment horizontal="center"/>
    </xf>
    <xf numFmtId="0" fontId="29" fillId="0" borderId="19" xfId="5" applyFont="1" applyBorder="1" applyAlignment="1">
      <alignment horizontal="center"/>
    </xf>
    <xf numFmtId="0" fontId="29" fillId="0" borderId="20" xfId="5" applyFont="1" applyBorder="1" applyAlignment="1">
      <alignment horizontal="center"/>
    </xf>
    <xf numFmtId="0" fontId="6" fillId="0" borderId="0" xfId="0" applyFont="1" applyAlignment="1">
      <alignment horizontal="center" vertical="center"/>
    </xf>
    <xf numFmtId="0" fontId="6" fillId="25" borderId="0" xfId="0" applyFont="1" applyFill="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wrapText="1"/>
    </xf>
    <xf numFmtId="0" fontId="5" fillId="0" borderId="0" xfId="0" applyFont="1" applyAlignment="1">
      <alignment horizontal="left" wrapText="1"/>
    </xf>
  </cellXfs>
  <cellStyles count="10">
    <cellStyle name="40% - Accent2" xfId="7" builtinId="35"/>
    <cellStyle name="Bad" xfId="6" builtinId="27"/>
    <cellStyle name="Comma" xfId="1" builtinId="3"/>
    <cellStyle name="Comma 11" xfId="9" xr:uid="{9B6B9D55-2C62-4BC6-8198-B7C76A0753D1}"/>
    <cellStyle name="Comma 2" xfId="3" xr:uid="{37E1A678-D6BC-48CA-A6D5-6ACDADF6BF0D}"/>
    <cellStyle name="Currency" xfId="8" builtinId="4"/>
    <cellStyle name="Input1" xfId="4" xr:uid="{997BE74B-5F7F-48C7-8D5D-6444BB20EFD1}"/>
    <cellStyle name="Normal" xfId="0" builtinId="0"/>
    <cellStyle name="Normal 2" xfId="5" xr:uid="{3E7E025A-32F1-45D4-8DBA-7C3DD8AC53EA}"/>
    <cellStyle name="Percent" xfId="2" builtinId="5"/>
  </cellStyles>
  <dxfs count="44">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i val="0"/>
        <color rgb="FF00B050"/>
      </font>
    </dxf>
    <dxf>
      <font>
        <b/>
        <i val="0"/>
        <color rgb="FFC00000"/>
      </font>
    </dxf>
    <dxf>
      <font>
        <b val="0"/>
        <i val="0"/>
        <color rgb="FF00B050"/>
      </font>
    </dxf>
    <dxf>
      <font>
        <b/>
        <i val="0"/>
        <color rgb="FFC00000"/>
      </font>
    </dxf>
    <dxf>
      <font>
        <b val="0"/>
        <i val="0"/>
        <condense val="0"/>
        <extend val="0"/>
        <color indexed="8"/>
      </font>
    </dxf>
    <dxf>
      <font>
        <b/>
        <i val="0"/>
        <color rgb="FFC00000"/>
      </font>
    </dxf>
    <dxf>
      <font>
        <b val="0"/>
        <i val="0"/>
        <condense val="0"/>
        <extend val="0"/>
        <color indexed="8"/>
      </font>
    </dxf>
    <dxf>
      <font>
        <b/>
        <i val="0"/>
        <color rgb="FFC00000"/>
      </font>
    </dxf>
    <dxf>
      <font>
        <b val="0"/>
        <i val="0"/>
        <color rgb="FF00B050"/>
      </font>
    </dxf>
  </dxfs>
  <tableStyles count="0" defaultTableStyle="TableStyleMedium2" defaultPivotStyle="PivotStyleLight16"/>
  <colors>
    <mruColors>
      <color rgb="FFCCFFFF"/>
      <color rgb="FFFA780A"/>
      <color rgb="FF0000FF"/>
      <color rgb="FFFFFFCC"/>
      <color rgb="FF1F4C71"/>
      <color rgb="FF28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wmf"/><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60325</xdr:colOff>
      <xdr:row>3</xdr:row>
      <xdr:rowOff>184150</xdr:rowOff>
    </xdr:from>
    <xdr:to>
      <xdr:col>4</xdr:col>
      <xdr:colOff>307975</xdr:colOff>
      <xdr:row>5</xdr:row>
      <xdr:rowOff>50800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2408" y="882650"/>
          <a:ext cx="1475317"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15</xdr:row>
      <xdr:rowOff>28575</xdr:rowOff>
    </xdr:from>
    <xdr:to>
      <xdr:col>2</xdr:col>
      <xdr:colOff>428625</xdr:colOff>
      <xdr:row>16</xdr:row>
      <xdr:rowOff>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5325" y="2057400"/>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16</xdr:row>
      <xdr:rowOff>0</xdr:rowOff>
    </xdr:from>
    <xdr:to>
      <xdr:col>2</xdr:col>
      <xdr:colOff>304800</xdr:colOff>
      <xdr:row>17</xdr:row>
      <xdr:rowOff>9525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2219325"/>
          <a:ext cx="1714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17</xdr:row>
      <xdr:rowOff>0</xdr:rowOff>
    </xdr:from>
    <xdr:to>
      <xdr:col>2</xdr:col>
      <xdr:colOff>314325</xdr:colOff>
      <xdr:row>18</xdr:row>
      <xdr:rowOff>9525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3900" y="2409825"/>
          <a:ext cx="1714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18</xdr:row>
      <xdr:rowOff>28575</xdr:rowOff>
    </xdr:from>
    <xdr:to>
      <xdr:col>2</xdr:col>
      <xdr:colOff>219075</xdr:colOff>
      <xdr:row>19</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52475" y="2628900"/>
          <a:ext cx="476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114300</xdr:colOff>
          <xdr:row>19</xdr:row>
          <xdr:rowOff>9525</xdr:rowOff>
        </xdr:from>
        <xdr:to>
          <xdr:col>2</xdr:col>
          <xdr:colOff>314325</xdr:colOff>
          <xdr:row>19</xdr:row>
          <xdr:rowOff>152400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180975</xdr:colOff>
      <xdr:row>21</xdr:row>
      <xdr:rowOff>19050</xdr:rowOff>
    </xdr:from>
    <xdr:to>
      <xdr:col>2</xdr:col>
      <xdr:colOff>276225</xdr:colOff>
      <xdr:row>21</xdr:row>
      <xdr:rowOff>180975</xdr:rowOff>
    </xdr:to>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000" y="3000375"/>
          <a:ext cx="952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21</xdr:row>
      <xdr:rowOff>152400</xdr:rowOff>
    </xdr:from>
    <xdr:to>
      <xdr:col>2</xdr:col>
      <xdr:colOff>333375</xdr:colOff>
      <xdr:row>23</xdr:row>
      <xdr:rowOff>57150</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4375" y="3133725"/>
          <a:ext cx="2000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23</xdr:row>
      <xdr:rowOff>19050</xdr:rowOff>
    </xdr:from>
    <xdr:to>
      <xdr:col>2</xdr:col>
      <xdr:colOff>266700</xdr:colOff>
      <xdr:row>23</xdr:row>
      <xdr:rowOff>180975</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3900" y="3381375"/>
          <a:ext cx="1238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24</xdr:row>
      <xdr:rowOff>28575</xdr:rowOff>
    </xdr:from>
    <xdr:to>
      <xdr:col>2</xdr:col>
      <xdr:colOff>419100</xdr:colOff>
      <xdr:row>25</xdr:row>
      <xdr:rowOff>0</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7700" y="3581400"/>
          <a:ext cx="3524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25</xdr:row>
      <xdr:rowOff>9525</xdr:rowOff>
    </xdr:from>
    <xdr:to>
      <xdr:col>2</xdr:col>
      <xdr:colOff>323850</xdr:colOff>
      <xdr:row>25</xdr:row>
      <xdr:rowOff>171450</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1525" y="3752850"/>
          <a:ext cx="1333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84667</xdr:colOff>
      <xdr:row>6</xdr:row>
      <xdr:rowOff>42334</xdr:rowOff>
    </xdr:from>
    <xdr:to>
      <xdr:col>4</xdr:col>
      <xdr:colOff>456141</xdr:colOff>
      <xdr:row>7</xdr:row>
      <xdr:rowOff>13759</xdr:rowOff>
    </xdr:to>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6750" y="1312334"/>
          <a:ext cx="1599141"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63500</xdr:colOff>
      <xdr:row>20</xdr:row>
      <xdr:rowOff>10583</xdr:rowOff>
    </xdr:from>
    <xdr:to>
      <xdr:col>2</xdr:col>
      <xdr:colOff>377825</xdr:colOff>
      <xdr:row>20</xdr:row>
      <xdr:rowOff>172508</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5583" y="3947583"/>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12</xdr:row>
      <xdr:rowOff>0</xdr:rowOff>
    </xdr:from>
    <xdr:to>
      <xdr:col>6</xdr:col>
      <xdr:colOff>150283</xdr:colOff>
      <xdr:row>12</xdr:row>
      <xdr:rowOff>161925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56166" y="2413000"/>
          <a:ext cx="2531534"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63500</xdr:colOff>
      <xdr:row>10</xdr:row>
      <xdr:rowOff>21167</xdr:rowOff>
    </xdr:from>
    <xdr:to>
      <xdr:col>7</xdr:col>
      <xdr:colOff>168275</xdr:colOff>
      <xdr:row>10</xdr:row>
      <xdr:rowOff>183092</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5583" y="2053167"/>
          <a:ext cx="3173942"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63501</xdr:colOff>
      <xdr:row>8</xdr:row>
      <xdr:rowOff>31750</xdr:rowOff>
    </xdr:from>
    <xdr:to>
      <xdr:col>4</xdr:col>
      <xdr:colOff>244476</xdr:colOff>
      <xdr:row>9</xdr:row>
      <xdr:rowOff>3175</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5584" y="1682750"/>
          <a:ext cx="1408642"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137584</xdr:colOff>
      <xdr:row>26</xdr:row>
      <xdr:rowOff>21165</xdr:rowOff>
    </xdr:from>
    <xdr:to>
      <xdr:col>2</xdr:col>
      <xdr:colOff>317500</xdr:colOff>
      <xdr:row>27</xdr:row>
      <xdr:rowOff>31750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6"/>
        <a:srcRect l="84168" t="6429" r="3057" b="-28594"/>
        <a:stretch/>
      </xdr:blipFill>
      <xdr:spPr>
        <a:xfrm>
          <a:off x="718609" y="5097990"/>
          <a:ext cx="179916" cy="201085"/>
        </a:xfrm>
        <a:prstGeom prst="rect">
          <a:avLst/>
        </a:prstGeom>
      </xdr:spPr>
    </xdr:pic>
    <xdr:clientData/>
  </xdr:twoCellAnchor>
  <xdr:twoCellAnchor editAs="oneCell">
    <xdr:from>
      <xdr:col>3</xdr:col>
      <xdr:colOff>285750</xdr:colOff>
      <xdr:row>35</xdr:row>
      <xdr:rowOff>0</xdr:rowOff>
    </xdr:from>
    <xdr:to>
      <xdr:col>11</xdr:col>
      <xdr:colOff>551654</xdr:colOff>
      <xdr:row>42</xdr:row>
      <xdr:rowOff>31749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7"/>
        <a:stretch>
          <a:fillRect/>
        </a:stretch>
      </xdr:blipFill>
      <xdr:spPr>
        <a:xfrm>
          <a:off x="1481667" y="6847417"/>
          <a:ext cx="5176570" cy="1365249"/>
        </a:xfrm>
        <a:prstGeom prst="rect">
          <a:avLst/>
        </a:prstGeom>
      </xdr:spPr>
    </xdr:pic>
    <xdr:clientData/>
  </xdr:twoCellAnchor>
  <xdr:twoCellAnchor editAs="oneCell">
    <xdr:from>
      <xdr:col>3</xdr:col>
      <xdr:colOff>285750</xdr:colOff>
      <xdr:row>44</xdr:row>
      <xdr:rowOff>158750</xdr:rowOff>
    </xdr:from>
    <xdr:to>
      <xdr:col>11</xdr:col>
      <xdr:colOff>116417</xdr:colOff>
      <xdr:row>52</xdr:row>
      <xdr:rowOff>8102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stretch>
          <a:fillRect/>
        </a:stretch>
      </xdr:blipFill>
      <xdr:spPr>
        <a:xfrm>
          <a:off x="1481667" y="8530167"/>
          <a:ext cx="4741333" cy="1373352"/>
        </a:xfrm>
        <a:prstGeom prst="rect">
          <a:avLst/>
        </a:prstGeom>
      </xdr:spPr>
    </xdr:pic>
    <xdr:clientData/>
  </xdr:twoCellAnchor>
  <xdr:twoCellAnchor editAs="oneCell">
    <xdr:from>
      <xdr:col>2</xdr:col>
      <xdr:colOff>116418</xdr:colOff>
      <xdr:row>55</xdr:row>
      <xdr:rowOff>0</xdr:rowOff>
    </xdr:from>
    <xdr:to>
      <xdr:col>2</xdr:col>
      <xdr:colOff>455984</xdr:colOff>
      <xdr:row>56</xdr:row>
      <xdr:rowOff>116415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9"/>
        <a:stretch>
          <a:fillRect/>
        </a:stretch>
      </xdr:blipFill>
      <xdr:spPr>
        <a:xfrm>
          <a:off x="698501" y="10805585"/>
          <a:ext cx="339566" cy="306915"/>
        </a:xfrm>
        <a:prstGeom prst="rect">
          <a:avLst/>
        </a:prstGeom>
      </xdr:spPr>
    </xdr:pic>
    <xdr:clientData/>
  </xdr:twoCellAnchor>
  <xdr:twoCellAnchor editAs="oneCell">
    <xdr:from>
      <xdr:col>2</xdr:col>
      <xdr:colOff>158750</xdr:colOff>
      <xdr:row>53</xdr:row>
      <xdr:rowOff>137585</xdr:rowOff>
    </xdr:from>
    <xdr:to>
      <xdr:col>2</xdr:col>
      <xdr:colOff>402167</xdr:colOff>
      <xdr:row>55</xdr:row>
      <xdr:rowOff>11876</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0"/>
        <a:stretch>
          <a:fillRect/>
        </a:stretch>
      </xdr:blipFill>
      <xdr:spPr>
        <a:xfrm>
          <a:off x="740833" y="10414002"/>
          <a:ext cx="243417" cy="255291"/>
        </a:xfrm>
        <a:prstGeom prst="rect">
          <a:avLst/>
        </a:prstGeom>
      </xdr:spPr>
    </xdr:pic>
    <xdr:clientData/>
  </xdr:twoCellAnchor>
  <xdr:twoCellAnchor editAs="oneCell">
    <xdr:from>
      <xdr:col>2</xdr:col>
      <xdr:colOff>137583</xdr:colOff>
      <xdr:row>56</xdr:row>
      <xdr:rowOff>137585</xdr:rowOff>
    </xdr:from>
    <xdr:to>
      <xdr:col>2</xdr:col>
      <xdr:colOff>381000</xdr:colOff>
      <xdr:row>58</xdr:row>
      <xdr:rowOff>36515</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1"/>
        <a:stretch>
          <a:fillRect/>
        </a:stretch>
      </xdr:blipFill>
      <xdr:spPr>
        <a:xfrm>
          <a:off x="719666" y="11176002"/>
          <a:ext cx="243417" cy="279930"/>
        </a:xfrm>
        <a:prstGeom prst="rect">
          <a:avLst/>
        </a:prstGeom>
      </xdr:spPr>
    </xdr:pic>
    <xdr:clientData/>
  </xdr:twoCellAnchor>
  <xdr:twoCellAnchor>
    <xdr:from>
      <xdr:col>2</xdr:col>
      <xdr:colOff>66675</xdr:colOff>
      <xdr:row>58</xdr:row>
      <xdr:rowOff>28575</xdr:rowOff>
    </xdr:from>
    <xdr:to>
      <xdr:col>2</xdr:col>
      <xdr:colOff>419100</xdr:colOff>
      <xdr:row>59</xdr:row>
      <xdr:rowOff>0</xdr:rowOff>
    </xdr:to>
    <xdr:pic>
      <xdr:nvPicPr>
        <xdr:cNvPr id="27" name="Pictur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758" y="4727575"/>
          <a:ext cx="3524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59</xdr:row>
      <xdr:rowOff>9525</xdr:rowOff>
    </xdr:from>
    <xdr:to>
      <xdr:col>2</xdr:col>
      <xdr:colOff>323850</xdr:colOff>
      <xdr:row>59</xdr:row>
      <xdr:rowOff>171450</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2583" y="4899025"/>
          <a:ext cx="1333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137584</xdr:colOff>
      <xdr:row>60</xdr:row>
      <xdr:rowOff>21165</xdr:rowOff>
    </xdr:from>
    <xdr:ext cx="179916" cy="201085"/>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6"/>
        <a:srcRect l="84168" t="6429" r="3057" b="-28594"/>
        <a:stretch/>
      </xdr:blipFill>
      <xdr:spPr>
        <a:xfrm>
          <a:off x="719667" y="5101165"/>
          <a:ext cx="179916" cy="201085"/>
        </a:xfrm>
        <a:prstGeom prst="rect">
          <a:avLst/>
        </a:prstGeom>
      </xdr:spPr>
    </xdr:pic>
    <xdr:clientData/>
  </xdr:oneCellAnchor>
  <xdr:twoCellAnchor>
    <xdr:from>
      <xdr:col>2</xdr:col>
      <xdr:colOff>180975</xdr:colOff>
      <xdr:row>61</xdr:row>
      <xdr:rowOff>19050</xdr:rowOff>
    </xdr:from>
    <xdr:to>
      <xdr:col>2</xdr:col>
      <xdr:colOff>276225</xdr:colOff>
      <xdr:row>61</xdr:row>
      <xdr:rowOff>180975</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3058" y="4146550"/>
          <a:ext cx="952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61</xdr:row>
      <xdr:rowOff>152400</xdr:rowOff>
    </xdr:from>
    <xdr:to>
      <xdr:col>2</xdr:col>
      <xdr:colOff>333375</xdr:colOff>
      <xdr:row>63</xdr:row>
      <xdr:rowOff>57150</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5433" y="4279900"/>
          <a:ext cx="2000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63</xdr:row>
      <xdr:rowOff>19050</xdr:rowOff>
    </xdr:from>
    <xdr:to>
      <xdr:col>2</xdr:col>
      <xdr:colOff>266700</xdr:colOff>
      <xdr:row>63</xdr:row>
      <xdr:rowOff>180975</xdr:rowOff>
    </xdr:to>
    <xdr:pic>
      <xdr:nvPicPr>
        <xdr:cNvPr id="32" name="Pictur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4958" y="4527550"/>
          <a:ext cx="1238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rpAffairs/2015PriceReset/10%20Modelling/03b-RevisedProposalWorkings/01%20Working%20Folder/02b-Schedules-PTRM/SAPN%20PTRM%20RP-%20SCS%20V3%20(Revenue%20Input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utlookTemp\SAPN%20-%20Final%20Decision%20-%20PTRM%20-%202019-20%20RoD%20updat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1-22/Reconciliation%202019-20/BDO/02.%20Audited%20Tariff%20Approval%20Model%20Reconciliation%202019-20%20-%20E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1-22/Forecast%202020-21%2027%20March%202021%20v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3.%20IPP%20Submission%2010.06.2020/SAPN_Attachment%20A_2020-21%20Tariff%20Approval%20Model_June%202020%20IIP%20FINAL%201706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Reconciliation%202018-19/02.%20Audited%20WAPC%20variables%20-%20SAPN%202018-19%20Final%20-%20BDO%20-%20SM%20Input%20&amp;%20TUoS%20correct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4.%20IPP%20Submission%2007.2020%20TUoS%20GST/SAPN_Attachment%20A_2020-21%20Tariff%20Approval%20Model_July%202020%20IIP%20TUoS-GS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1-22/QTY%20Forecast%202021-22%20v1.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Qty%20Forecast/QTY%20Forecast%202020-21%20v1.2j%20MAY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1-22/TUoS/Major%20Customer%20TUoS%202021-22%20v0.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19-20/Attachment%20A_CONFIDENTIAL%20-%20StdC%20Prices%20APP%202019-20%20v1.0%20May%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rpAffairs/Regulation/Submissions%20Filed/Pricing%20proposal%202012/Submission%20-%20Revised/Compliance%202012-13%20EU-RPP%20v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CorpStrategy/_RegNew/01_Reset%202020-25/21_TSS/Pricing%202020-25/Revised%20Proposal/Sales%202020-25%20Model%20RP%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Document/Sales%202020-25%20Model%20APP%20May%202020%20v2j.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CorpStrategy/_RegNew/02_Team%20Shared/15_EB%20RIN/02%20Final%20versions/4%202015-16%20EB%20Data%20October%202016/SAPN%20-%20Benchmarking%20RIN%20-%202015-16%20ACTUAL.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orpStrategy/_RegNew/02_Team%20Shared/15_EB%20RIN/02%20Final%20versions/5%202016-17%20EB%20Data%20October%202017/SAPN%20-%20EB%20-%202016-17%20-%20ACTUAL.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rpStrategy/_RegNew/02_Team%20Shared/15_EB%20RIN/02%20Final%20versions/6%202017-18%20EB%20Data%20October%202018/1.%20SAPN%20-%20EB%20-%202017-18%20-%20CONSOLID(locked)%20v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pStrategy/_RegNew/01_Reset%202020-25/09_Opex/07_RIN%20Inputs/2020-25%20Reset%20RIN%20-%20WB1%20Input%20data%20working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Document/SAPN_Attachment%20A_2020-21%20Tariff%20Approval%20Model_May%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Document/Archive/Attachment%20A_CONFIDENTIAL%20-%20StdC%20Prices%20APP%202020-21%20v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SAPN%20PTRM%20extract%20-%20AER%2029%20May%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20-21/UPDATED%20SA%20Power%20Networks%20STPIS%20Compliance%20Model%202018-19%20-%2019%20May%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whithj\AppData\Local\Microsoft\Windows\INetCache\Content.Outlook\30ZMRPJH\DRAFT%20SA%20Power%20Networks%20STPIS%20Compliance%20Model%202019-20%20-%208%20Dec%20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rpStrategy/_RegNew/02_Team%20Shared/11_Sales_Tariffs/01_Annual/APP/2017-18/AER%20Files/SAPN%20-%20Final%20decision%20-%20PTRM%20-%20SCS%20-%202017-18%20RoD%20upd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PTRM 2015-16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row r="7">
          <cell r="G7" t="str">
            <v>Sub-transmission lines</v>
          </cell>
          <cell r="J7">
            <v>166.69823167386551</v>
          </cell>
          <cell r="L7">
            <v>49.832023281364762</v>
          </cell>
          <cell r="M7">
            <v>55</v>
          </cell>
          <cell r="N7">
            <v>139.52637578474409</v>
          </cell>
          <cell r="O7">
            <v>34.905371572903107</v>
          </cell>
          <cell r="P7">
            <v>47.5</v>
          </cell>
        </row>
        <row r="8">
          <cell r="G8" t="str">
            <v>Distribution Lines</v>
          </cell>
          <cell r="J8">
            <v>2188.3919369329833</v>
          </cell>
          <cell r="L8">
            <v>19.84320478624149</v>
          </cell>
          <cell r="M8">
            <v>55</v>
          </cell>
          <cell r="N8">
            <v>1045.0602570639944</v>
          </cell>
          <cell r="O8">
            <v>26.686028552974559</v>
          </cell>
          <cell r="P8">
            <v>47.5</v>
          </cell>
        </row>
        <row r="9">
          <cell r="G9" t="str">
            <v>Substations</v>
          </cell>
          <cell r="J9">
            <v>1013.9888672862851</v>
          </cell>
          <cell r="L9">
            <v>22.504758438553647</v>
          </cell>
          <cell r="M9">
            <v>45</v>
          </cell>
          <cell r="N9">
            <v>760.77755176464018</v>
          </cell>
          <cell r="O9">
            <v>29.838575930546291</v>
          </cell>
          <cell r="P9">
            <v>40</v>
          </cell>
        </row>
        <row r="10">
          <cell r="G10" t="str">
            <v>Distribution Transformers</v>
          </cell>
          <cell r="J10">
            <v>413.74629550668698</v>
          </cell>
          <cell r="L10">
            <v>14.916959045906857</v>
          </cell>
          <cell r="M10">
            <v>45</v>
          </cell>
          <cell r="N10">
            <v>130.28682400394487</v>
          </cell>
          <cell r="O10">
            <v>24.322288515779075</v>
          </cell>
          <cell r="P10">
            <v>40</v>
          </cell>
        </row>
        <row r="11">
          <cell r="G11" t="str">
            <v>LVS</v>
          </cell>
          <cell r="J11">
            <v>634.68028956415276</v>
          </cell>
          <cell r="L11">
            <v>17.933042507604629</v>
          </cell>
          <cell r="M11">
            <v>55</v>
          </cell>
          <cell r="N11">
            <v>578.54160581847032</v>
          </cell>
          <cell r="O11">
            <v>26.965540811371262</v>
          </cell>
          <cell r="P11">
            <v>47.5</v>
          </cell>
        </row>
        <row r="12">
          <cell r="G12" t="str">
            <v>Communications</v>
          </cell>
          <cell r="J12">
            <v>29.878758356418153</v>
          </cell>
          <cell r="L12">
            <v>10.669312239217318</v>
          </cell>
          <cell r="M12">
            <v>15</v>
          </cell>
          <cell r="N12">
            <v>25.91330302533849</v>
          </cell>
          <cell r="O12">
            <v>8.3738643611374535</v>
          </cell>
          <cell r="P12">
            <v>10</v>
          </cell>
        </row>
        <row r="13">
          <cell r="G13" t="str">
            <v>Contributions</v>
          </cell>
          <cell r="J13">
            <v>-1211.9710624654397</v>
          </cell>
          <cell r="L13">
            <v>32.330865410574873</v>
          </cell>
          <cell r="M13">
            <v>40.200000000000003</v>
          </cell>
          <cell r="N13">
            <v>-538.33138754437084</v>
          </cell>
          <cell r="O13">
            <v>37.38988158029062</v>
          </cell>
          <cell r="P13" t="str">
            <v>n/a</v>
          </cell>
        </row>
        <row r="14">
          <cell r="G14" t="str">
            <v>Land</v>
          </cell>
          <cell r="J14">
            <v>219.3680640447362</v>
          </cell>
          <cell r="L14" t="str">
            <v>n/a</v>
          </cell>
          <cell r="M14" t="str">
            <v>n/a</v>
          </cell>
          <cell r="N14">
            <v>4.9773566801978699</v>
          </cell>
          <cell r="O14" t="str">
            <v>n/a</v>
          </cell>
          <cell r="P14" t="str">
            <v>n/a</v>
          </cell>
        </row>
        <row r="15">
          <cell r="G15" t="str">
            <v>Substation Land</v>
          </cell>
          <cell r="J15">
            <v>7.233914743609323</v>
          </cell>
          <cell r="L15" t="str">
            <v>n/a</v>
          </cell>
          <cell r="M15" t="str">
            <v>n/a</v>
          </cell>
          <cell r="N15">
            <v>6.5939999999999994</v>
          </cell>
          <cell r="O15" t="str">
            <v>n/a</v>
          </cell>
          <cell r="P15" t="str">
            <v>n/a</v>
          </cell>
        </row>
        <row r="16">
          <cell r="G16" t="str">
            <v>Easements</v>
          </cell>
          <cell r="J16">
            <v>4.9399090225187168</v>
          </cell>
          <cell r="L16" t="str">
            <v>n/a</v>
          </cell>
          <cell r="M16" t="str">
            <v>n/a</v>
          </cell>
          <cell r="N16">
            <v>4.5415488998170641</v>
          </cell>
          <cell r="O16" t="str">
            <v>n/a</v>
          </cell>
          <cell r="P16" t="str">
            <v>n/a</v>
          </cell>
        </row>
        <row r="17">
          <cell r="G17" t="str">
            <v>Buildings</v>
          </cell>
          <cell r="J17">
            <v>23.138234760050452</v>
          </cell>
          <cell r="L17">
            <v>24.612203855909598</v>
          </cell>
          <cell r="M17">
            <v>40</v>
          </cell>
          <cell r="N17">
            <v>9.8600628739291842</v>
          </cell>
          <cell r="O17">
            <v>39.969217378450921</v>
          </cell>
          <cell r="P17">
            <v>40</v>
          </cell>
        </row>
        <row r="18">
          <cell r="G18" t="str">
            <v>Vehicles - 15 years</v>
          </cell>
          <cell r="J18">
            <v>79.979129947961411</v>
          </cell>
          <cell r="L18">
            <v>13.624078314229781</v>
          </cell>
          <cell r="M18">
            <v>15</v>
          </cell>
          <cell r="N18">
            <v>77.777654507844119</v>
          </cell>
          <cell r="O18">
            <v>11.767619265366791</v>
          </cell>
          <cell r="P18">
            <v>15</v>
          </cell>
        </row>
        <row r="19">
          <cell r="G19" t="str">
            <v>Vehicles - 10 years</v>
          </cell>
          <cell r="J19">
            <v>0</v>
          </cell>
          <cell r="L19" t="str">
            <v>n/a</v>
          </cell>
          <cell r="M19">
            <v>10</v>
          </cell>
          <cell r="N19">
            <v>0</v>
          </cell>
          <cell r="O19" t="str">
            <v>n/a</v>
          </cell>
          <cell r="P19">
            <v>15</v>
          </cell>
        </row>
        <row r="20">
          <cell r="G20" t="str">
            <v>Light Vehicles</v>
          </cell>
          <cell r="J20">
            <v>16.548935935562511</v>
          </cell>
          <cell r="L20">
            <v>4.9254779063480241</v>
          </cell>
          <cell r="M20">
            <v>5</v>
          </cell>
          <cell r="N20">
            <v>18.85072624499427</v>
          </cell>
          <cell r="O20">
            <v>5.5766396106986189</v>
          </cell>
          <cell r="P20">
            <v>6.7</v>
          </cell>
        </row>
        <row r="21">
          <cell r="G21" t="str">
            <v>IT</v>
          </cell>
          <cell r="J21">
            <v>118.55090082302762</v>
          </cell>
          <cell r="L21">
            <v>4.9472394990187647</v>
          </cell>
          <cell r="M21">
            <v>5</v>
          </cell>
          <cell r="N21">
            <v>148.69862628355094</v>
          </cell>
          <cell r="O21">
            <v>4.9999999999999991</v>
          </cell>
          <cell r="P21">
            <v>4</v>
          </cell>
        </row>
        <row r="22">
          <cell r="G22" t="str">
            <v>Plant &amp; Tools/Office Furniture</v>
          </cell>
          <cell r="J22">
            <v>70.436085947282734</v>
          </cell>
          <cell r="L22">
            <v>7.7355636677701423</v>
          </cell>
          <cell r="M22">
            <v>10</v>
          </cell>
          <cell r="N22">
            <v>71.844274157795567</v>
          </cell>
          <cell r="O22">
            <v>7.4694871882277774</v>
          </cell>
          <cell r="P22">
            <v>10</v>
          </cell>
        </row>
        <row r="36">
          <cell r="G36" t="str">
            <v>Equity raising costs</v>
          </cell>
          <cell r="J36">
            <v>2.7484621426350002</v>
          </cell>
          <cell r="L36">
            <v>47.350373735494323</v>
          </cell>
          <cell r="M36">
            <v>52.3</v>
          </cell>
          <cell r="N36">
            <v>0.52161726737557101</v>
          </cell>
          <cell r="O36">
            <v>5</v>
          </cell>
          <cell r="P36">
            <v>5</v>
          </cell>
        </row>
        <row r="37">
          <cell r="J37">
            <v>3778.3569542223354</v>
          </cell>
        </row>
        <row r="70">
          <cell r="G70">
            <v>12.371499999999999</v>
          </cell>
        </row>
        <row r="216">
          <cell r="G216">
            <v>2.06E-2</v>
          </cell>
        </row>
        <row r="218">
          <cell r="G218">
            <v>0.25</v>
          </cell>
        </row>
        <row r="219">
          <cell r="G219">
            <v>0.6</v>
          </cell>
        </row>
        <row r="229">
          <cell r="G229">
            <v>0.7</v>
          </cell>
        </row>
        <row r="230">
          <cell r="G230">
            <v>0.03</v>
          </cell>
        </row>
        <row r="231">
          <cell r="G231">
            <v>0.01</v>
          </cell>
        </row>
        <row r="232">
          <cell r="G232">
            <v>0.3</v>
          </cell>
        </row>
        <row r="233">
          <cell r="G233">
            <v>8.1271412644700388E-4</v>
          </cell>
        </row>
      </sheetData>
      <sheetData sheetId="3"/>
      <sheetData sheetId="4">
        <row r="18">
          <cell r="G18">
            <v>7.0940000000000003E-2</v>
          </cell>
          <cell r="H18">
            <v>7.0940000000000003E-2</v>
          </cell>
          <cell r="I18">
            <v>7.0940000000000003E-2</v>
          </cell>
          <cell r="J18">
            <v>7.0940000000000003E-2</v>
          </cell>
          <cell r="K18">
            <v>7.0940000000000003E-2</v>
          </cell>
          <cell r="L18">
            <v>7.0940000000000003E-2</v>
          </cell>
          <cell r="M18">
            <v>7.0940000000000003E-2</v>
          </cell>
          <cell r="N18">
            <v>7.0940000000000003E-2</v>
          </cell>
          <cell r="O18">
            <v>7.0940000000000003E-2</v>
          </cell>
          <cell r="P18">
            <v>7.0940000000000003E-2</v>
          </cell>
        </row>
        <row r="19">
          <cell r="G19">
            <v>4.9323927101704836E-2</v>
          </cell>
          <cell r="H19">
            <v>4.9323927101704836E-2</v>
          </cell>
          <cell r="I19">
            <v>4.9323927101704836E-2</v>
          </cell>
          <cell r="J19">
            <v>4.9323927101704836E-2</v>
          </cell>
          <cell r="K19">
            <v>4.9323927101704836E-2</v>
          </cell>
          <cell r="L19">
            <v>4.9323927101704836E-2</v>
          </cell>
          <cell r="M19">
            <v>4.9323927101704836E-2</v>
          </cell>
          <cell r="N19">
            <v>4.9323927101704836E-2</v>
          </cell>
          <cell r="O19">
            <v>4.9323927101704836E-2</v>
          </cell>
          <cell r="P19">
            <v>4.9323927101704836E-2</v>
          </cell>
        </row>
      </sheetData>
      <sheetData sheetId="5"/>
      <sheetData sheetId="6"/>
      <sheetData sheetId="7"/>
      <sheetData sheetId="8">
        <row r="63">
          <cell r="G63">
            <v>0.27607114777446934</v>
          </cell>
          <cell r="H63">
            <v>-0.21</v>
          </cell>
          <cell r="I63">
            <v>-0.13</v>
          </cell>
          <cell r="J63">
            <v>-2.1028494162874913E-2</v>
          </cell>
        </row>
      </sheetData>
      <sheetData sheetId="9"/>
      <sheetData sheetId="10">
        <row r="54">
          <cell r="Q54">
            <v>12.720244118476092</v>
          </cell>
        </row>
      </sheetData>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PTRM 2015-16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 val="temp_shared assets"/>
      <sheetName val="SAPN - Final Decision - PTRM - "/>
    </sheetNames>
    <definedNames>
      <definedName name="vanilla05" refersTo="='WACC'!$K$18"/>
      <definedName name="X_05_RevCap" refersTo="='X factors'!$K$63"/>
    </definedNames>
    <sheetDataSet>
      <sheetData sheetId="0"/>
      <sheetData sheetId="1"/>
      <sheetData sheetId="2"/>
      <sheetData sheetId="3"/>
      <sheetData sheetId="4">
        <row r="18">
          <cell r="K18">
            <v>6.0856782764485799E-2</v>
          </cell>
        </row>
      </sheetData>
      <sheetData sheetId="5">
        <row r="18">
          <cell r="K18">
            <v>0</v>
          </cell>
        </row>
        <row r="63">
          <cell r="K63">
            <v>0</v>
          </cell>
        </row>
      </sheetData>
      <sheetData sheetId="6">
        <row r="18">
          <cell r="K18">
            <v>1872.3574602538954</v>
          </cell>
        </row>
      </sheetData>
      <sheetData sheetId="7">
        <row r="18">
          <cell r="K18">
            <v>622200</v>
          </cell>
        </row>
        <row r="63">
          <cell r="K63">
            <v>0</v>
          </cell>
        </row>
      </sheetData>
      <sheetData sheetId="8">
        <row r="63">
          <cell r="K63">
            <v>-8.5389239476252911E-3</v>
          </cell>
        </row>
      </sheetData>
      <sheetData sheetId="9">
        <row r="18">
          <cell r="K18">
            <v>8.2724572962392801E-3</v>
          </cell>
        </row>
        <row r="63">
          <cell r="K63">
            <v>827.10674199631842</v>
          </cell>
        </row>
      </sheetData>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sheetName val="Model Update"/>
      <sheetName val="Q (t-2)"/>
      <sheetName val="DUoS O&amp;U"/>
      <sheetName val="DUoS (t-2)"/>
      <sheetName val="TUoS O&amp;U"/>
      <sheetName val="TUoS (t-2)"/>
      <sheetName val="JSO O&amp;U"/>
      <sheetName val="JSO (t-2)"/>
      <sheetName val="JSO Rebates"/>
      <sheetName val="Neg DUoS (t-2)"/>
      <sheetName val="NUoS (t-2)"/>
      <sheetName val="ACS - Meters"/>
    </sheetNames>
    <sheetDataSet>
      <sheetData sheetId="0"/>
      <sheetData sheetId="1"/>
      <sheetData sheetId="2"/>
      <sheetData sheetId="3">
        <row r="12">
          <cell r="D12">
            <v>861765.83509515808</v>
          </cell>
        </row>
      </sheetData>
      <sheetData sheetId="4"/>
      <sheetData sheetId="5">
        <row r="12">
          <cell r="D12">
            <v>254255.413509381</v>
          </cell>
        </row>
        <row r="33">
          <cell r="K33">
            <v>21560.358230000002</v>
          </cell>
        </row>
        <row r="34">
          <cell r="K34">
            <v>21479.464940000002</v>
          </cell>
        </row>
        <row r="35">
          <cell r="K35">
            <v>19704.297470000001</v>
          </cell>
        </row>
        <row r="36">
          <cell r="K36">
            <v>19700.415249999998</v>
          </cell>
        </row>
        <row r="37">
          <cell r="K37">
            <v>19956.817510000001</v>
          </cell>
        </row>
        <row r="38">
          <cell r="K38">
            <v>20079.89473</v>
          </cell>
        </row>
        <row r="39">
          <cell r="K39">
            <v>21392.590029999999</v>
          </cell>
        </row>
        <row r="40">
          <cell r="K40">
            <v>19614.412199999999</v>
          </cell>
        </row>
        <row r="41">
          <cell r="K41">
            <v>20237.370620000002</v>
          </cell>
        </row>
        <row r="42">
          <cell r="K42">
            <v>19580.14717</v>
          </cell>
        </row>
        <row r="43">
          <cell r="K43">
            <v>20826.707439999998</v>
          </cell>
        </row>
        <row r="44">
          <cell r="K44">
            <v>20940.667430000001</v>
          </cell>
        </row>
      </sheetData>
      <sheetData sheetId="6"/>
      <sheetData sheetId="7">
        <row r="12">
          <cell r="D12">
            <v>84329.574542659233</v>
          </cell>
        </row>
        <row r="34">
          <cell r="D34">
            <v>15042.829798785937</v>
          </cell>
        </row>
        <row r="40">
          <cell r="D40">
            <v>67622.634412506246</v>
          </cell>
        </row>
      </sheetData>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put-Workings"/>
      <sheetName val="Sheet1"/>
      <sheetName val="APP"/>
      <sheetName val="Compare RFc v APP"/>
      <sheetName val="Chart1"/>
      <sheetName val="Under-Overs"/>
      <sheetName val="Q (t) 2021"/>
    </sheetNames>
    <sheetDataSet>
      <sheetData sheetId="0" refreshError="1"/>
      <sheetData sheetId="1" refreshError="1"/>
      <sheetData sheetId="2" refreshError="1"/>
      <sheetData sheetId="3" refreshError="1"/>
      <sheetData sheetId="4" refreshError="1"/>
      <sheetData sheetId="5" refreshError="1"/>
      <sheetData sheetId="6">
        <row r="9">
          <cell r="P9">
            <v>829072.30470022652</v>
          </cell>
        </row>
        <row r="47">
          <cell r="P47">
            <v>265015.77740463248</v>
          </cell>
        </row>
        <row r="49">
          <cell r="Q49">
            <v>275135</v>
          </cell>
        </row>
        <row r="78">
          <cell r="P78">
            <v>82249.917216493821</v>
          </cell>
        </row>
      </sheetData>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sheetName val="Model Update"/>
      <sheetName val="Outcome - DUoS"/>
      <sheetName val="TUoS"/>
      <sheetName val="JSO"/>
      <sheetName val="DUoS (t)"/>
      <sheetName val="TUoS (t)"/>
      <sheetName val="JSO (t)"/>
      <sheetName val="NUoS (t)"/>
      <sheetName val="Q (t)"/>
      <sheetName val="Cust Specific"/>
      <sheetName val="Pricing Scheule (t)"/>
      <sheetName val="2020-25 Pricing Schedule"/>
      <sheetName val="TSS REC"/>
      <sheetName val="RIN REC"/>
    </sheetNames>
    <sheetDataSet>
      <sheetData sheetId="0" refreshError="1"/>
      <sheetData sheetId="1" refreshError="1"/>
      <sheetData sheetId="2">
        <row r="15">
          <cell r="I15">
            <v>837347.53899999999</v>
          </cell>
          <cell r="J15">
            <v>775909.54497412313</v>
          </cell>
        </row>
        <row r="16">
          <cell r="I16">
            <v>0</v>
          </cell>
          <cell r="J16">
            <v>32748.439780850702</v>
          </cell>
        </row>
        <row r="17">
          <cell r="I17">
            <v>0</v>
          </cell>
          <cell r="J17">
            <v>0</v>
          </cell>
        </row>
        <row r="18">
          <cell r="I18">
            <v>0</v>
          </cell>
          <cell r="J18">
            <v>0</v>
          </cell>
        </row>
        <row r="19">
          <cell r="C19">
            <v>-29.115915534202941</v>
          </cell>
        </row>
        <row r="26">
          <cell r="I26">
            <v>-24618.088097353368</v>
          </cell>
        </row>
      </sheetData>
      <sheetData sheetId="3">
        <row r="28">
          <cell r="D28">
            <v>-7436.648155538338</v>
          </cell>
        </row>
        <row r="45">
          <cell r="F45">
            <v>263186.61064000003</v>
          </cell>
        </row>
      </sheetData>
      <sheetData sheetId="4">
        <row r="28">
          <cell r="D28">
            <v>-3337.9129712582412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0-Customer nos and Demand"/>
      <sheetName val="1-Dist O&amp;U"/>
      <sheetName val="2-Dist Tariffs"/>
      <sheetName val="3-Dist Rev"/>
      <sheetName val="4-Tx O&amp;U"/>
      <sheetName val="5-Tx Tariffs"/>
      <sheetName val="6-Tx Revenue"/>
      <sheetName val="7-JSO O&amp;U"/>
      <sheetName val="8-JSO Tariffs"/>
      <sheetName val="9-JSO Revenue"/>
      <sheetName val="10-Neg Serv Tariffs"/>
      <sheetName val="11-Neg Serv Tariff Rev"/>
      <sheetName val="12-Alt Cont Tariffs"/>
      <sheetName val="13-Alt Cont Tariff Rev"/>
      <sheetName val="16-Total Tariffs"/>
      <sheetName val="17-Check Zero Tariffs"/>
      <sheetName val="18-Total Tariff Revenue"/>
      <sheetName val="21-Customer nos  Alt Control"/>
      <sheetName val="22-Tariffs Alt Control"/>
      <sheetName val="23-Tariff Rev Alt Control"/>
      <sheetName val="31-Customer nos and Demand PV"/>
      <sheetName val="32-Tariffs PV"/>
      <sheetName val="33-Tariff Rev PV"/>
      <sheetName val="Check Sheet"/>
    </sheetNames>
    <sheetDataSet>
      <sheetData sheetId="0" refreshError="1"/>
      <sheetData sheetId="1" refreshError="1"/>
      <sheetData sheetId="2" refreshError="1"/>
      <sheetData sheetId="3">
        <row r="9">
          <cell r="E9">
            <v>793313.44528001361</v>
          </cell>
        </row>
      </sheetData>
      <sheetData sheetId="4" refreshError="1"/>
      <sheetData sheetId="5" refreshError="1"/>
      <sheetData sheetId="6">
        <row r="9">
          <cell r="E9">
            <v>236557.65442391532</v>
          </cell>
        </row>
      </sheetData>
      <sheetData sheetId="7" refreshError="1"/>
      <sheetData sheetId="8" refreshError="1"/>
      <sheetData sheetId="9">
        <row r="9">
          <cell r="E9">
            <v>75971.665933087628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9">
          <cell r="N69">
            <v>33997.32243302084</v>
          </cell>
        </row>
        <row r="70">
          <cell r="N70">
            <v>153022.68421991682</v>
          </cell>
        </row>
      </sheetData>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sheetName val="Model Update"/>
      <sheetName val="Outcome - DUoS"/>
      <sheetName val="TUoS"/>
      <sheetName val="JSO"/>
      <sheetName val="DUoS (t)"/>
      <sheetName val="TUoS (t)"/>
      <sheetName val="JSO (t)"/>
      <sheetName val="NUoS (t)"/>
      <sheetName val="Q (t)"/>
      <sheetName val="Cust Specific"/>
      <sheetName val="Pricing Scheule (t)"/>
      <sheetName val="2020-25 Pricing Schedule"/>
      <sheetName val="TSS REC"/>
      <sheetName val="RIN REC"/>
      <sheetName val="SAPN_Attachment A_2020-21 Tarif"/>
    </sheetNames>
    <definedNames>
      <definedName name="Days_Summer_Demand" refersTo="='Model Update'!$G$9"/>
      <definedName name="Days_Year" refersTo="='Model Update'!$F$9"/>
    </definedNames>
    <sheetDataSet>
      <sheetData sheetId="0"/>
      <sheetData sheetId="1">
        <row r="9">
          <cell r="F9">
            <v>365</v>
          </cell>
          <cell r="G9">
            <v>151</v>
          </cell>
        </row>
      </sheetData>
      <sheetData sheetId="2"/>
      <sheetData sheetId="3">
        <row r="9">
          <cell r="F9" t="str">
            <v>forecast</v>
          </cell>
        </row>
      </sheetData>
      <sheetData sheetId="4">
        <row r="9">
          <cell r="F9" t="str">
            <v>forecast</v>
          </cell>
        </row>
      </sheetData>
      <sheetData sheetId="5">
        <row r="9">
          <cell r="G9" t="str">
            <v>PROPOSED TARIFFS</v>
          </cell>
        </row>
        <row r="18">
          <cell r="G18">
            <v>0.42470000000000002</v>
          </cell>
          <cell r="H18">
            <v>9.2299999999999993E-2</v>
          </cell>
        </row>
        <row r="19">
          <cell r="G19">
            <v>0.42470000000000002</v>
          </cell>
          <cell r="H19">
            <v>9.2299999999999993E-2</v>
          </cell>
          <cell r="L19">
            <v>4.6199999999999998E-2</v>
          </cell>
        </row>
        <row r="21">
          <cell r="G21">
            <v>0.42470000000000002</v>
          </cell>
          <cell r="H21">
            <v>9.2299999999999993E-2</v>
          </cell>
          <cell r="M21">
            <v>0.1154</v>
          </cell>
          <cell r="N21">
            <v>4.6199999999999998E-2</v>
          </cell>
          <cell r="O21">
            <v>2.3099999999999999E-2</v>
          </cell>
        </row>
        <row r="22">
          <cell r="G22">
            <v>0.42470000000000002</v>
          </cell>
          <cell r="I22">
            <v>0.1154</v>
          </cell>
          <cell r="J22">
            <v>4.6199999999999998E-2</v>
          </cell>
          <cell r="K22">
            <v>2.3099999999999999E-2</v>
          </cell>
        </row>
        <row r="23">
          <cell r="G23">
            <v>0.42470000000000002</v>
          </cell>
          <cell r="I23">
            <v>0.1154</v>
          </cell>
          <cell r="J23">
            <v>4.6199999999999998E-2</v>
          </cell>
          <cell r="K23">
            <v>2.3099999999999999E-2</v>
          </cell>
          <cell r="M23">
            <v>0.1154</v>
          </cell>
          <cell r="N23">
            <v>4.6199999999999998E-2</v>
          </cell>
          <cell r="O23">
            <v>2.3099999999999999E-2</v>
          </cell>
        </row>
        <row r="24">
          <cell r="G24">
            <v>0.42470000000000002</v>
          </cell>
          <cell r="I24">
            <v>6.9199999999999998E-2</v>
          </cell>
          <cell r="J24">
            <v>2.7699999999999999E-2</v>
          </cell>
          <cell r="K24">
            <v>1.38E-2</v>
          </cell>
          <cell r="U24">
            <v>0.51319999999999999</v>
          </cell>
        </row>
        <row r="25">
          <cell r="G25">
            <v>0.42470000000000002</v>
          </cell>
          <cell r="I25">
            <v>6.9199999999999998E-2</v>
          </cell>
          <cell r="J25">
            <v>2.7699999999999999E-2</v>
          </cell>
          <cell r="K25">
            <v>1.38E-2</v>
          </cell>
          <cell r="M25">
            <v>0.1154</v>
          </cell>
          <cell r="N25">
            <v>4.6199999999999998E-2</v>
          </cell>
          <cell r="O25">
            <v>2.3099999999999999E-2</v>
          </cell>
          <cell r="U25">
            <v>0.51319999999999999</v>
          </cell>
        </row>
        <row r="28">
          <cell r="H28">
            <v>6.8000000000000005E-2</v>
          </cell>
        </row>
        <row r="29">
          <cell r="H29">
            <v>6.8000000000000005E-2</v>
          </cell>
        </row>
        <row r="31">
          <cell r="G31">
            <v>0.4657</v>
          </cell>
          <cell r="H31">
            <v>0.1045</v>
          </cell>
        </row>
        <row r="32">
          <cell r="G32">
            <v>0.4657</v>
          </cell>
          <cell r="H32">
            <v>0.1045</v>
          </cell>
          <cell r="L32">
            <v>4.6199999999999998E-2</v>
          </cell>
        </row>
        <row r="33">
          <cell r="G33">
            <v>0.4657</v>
          </cell>
          <cell r="I33">
            <v>0.1178</v>
          </cell>
          <cell r="K33">
            <v>5.8900000000000001E-2</v>
          </cell>
        </row>
        <row r="34">
          <cell r="G34">
            <v>0.4657</v>
          </cell>
          <cell r="I34">
            <v>0.1178</v>
          </cell>
          <cell r="K34">
            <v>5.8900000000000001E-2</v>
          </cell>
          <cell r="L34">
            <v>4.6199999999999998E-2</v>
          </cell>
        </row>
        <row r="35">
          <cell r="G35">
            <v>0</v>
          </cell>
          <cell r="L35">
            <v>4.6199999999999998E-2</v>
          </cell>
        </row>
        <row r="37">
          <cell r="G37">
            <v>0.4657</v>
          </cell>
          <cell r="I37">
            <v>0.15679999999999999</v>
          </cell>
          <cell r="J37">
            <v>0.1091</v>
          </cell>
          <cell r="K37">
            <v>5.8900000000000001E-2</v>
          </cell>
        </row>
        <row r="38">
          <cell r="G38">
            <v>0.4657</v>
          </cell>
          <cell r="I38">
            <v>0.1255</v>
          </cell>
          <cell r="J38">
            <v>8.7300000000000003E-2</v>
          </cell>
          <cell r="K38">
            <v>4.7100000000000003E-2</v>
          </cell>
          <cell r="T38">
            <v>8.14E-2</v>
          </cell>
        </row>
        <row r="39">
          <cell r="G39">
            <v>2.7397</v>
          </cell>
          <cell r="H39">
            <v>5.1499999999999997E-2</v>
          </cell>
          <cell r="Q39">
            <v>0.30940000000000001</v>
          </cell>
          <cell r="R39">
            <v>0.15310000000000001</v>
          </cell>
        </row>
        <row r="42">
          <cell r="G42">
            <v>0.4657</v>
          </cell>
          <cell r="H42">
            <v>0.1255</v>
          </cell>
        </row>
        <row r="43">
          <cell r="G43">
            <v>0.4657</v>
          </cell>
          <cell r="H43">
            <v>0.1255</v>
          </cell>
          <cell r="L43">
            <v>4.6199999999999998E-2</v>
          </cell>
        </row>
        <row r="44">
          <cell r="G44">
            <v>0.4657</v>
          </cell>
          <cell r="I44">
            <v>0.1414</v>
          </cell>
          <cell r="K44">
            <v>7.0699999999999999E-2</v>
          </cell>
        </row>
        <row r="45">
          <cell r="G45">
            <v>0.4657</v>
          </cell>
          <cell r="I45">
            <v>0.1414</v>
          </cell>
          <cell r="K45">
            <v>7.0699999999999999E-2</v>
          </cell>
          <cell r="L45">
            <v>4.6199999999999998E-2</v>
          </cell>
        </row>
        <row r="47">
          <cell r="G47">
            <v>6.8493000000000004</v>
          </cell>
          <cell r="I47">
            <v>4.2099999999999999E-2</v>
          </cell>
          <cell r="K47">
            <v>2.63E-2</v>
          </cell>
          <cell r="S47">
            <v>0.14499999999999999</v>
          </cell>
          <cell r="T47">
            <v>0.1036</v>
          </cell>
        </row>
        <row r="48">
          <cell r="G48">
            <v>6.8493000000000004</v>
          </cell>
          <cell r="I48">
            <v>4.2099999999999999E-2</v>
          </cell>
          <cell r="K48">
            <v>2.63E-2</v>
          </cell>
          <cell r="P48">
            <v>0.52569999999999995</v>
          </cell>
          <cell r="T48">
            <v>0.1036</v>
          </cell>
        </row>
        <row r="50">
          <cell r="G50">
            <v>2.7397</v>
          </cell>
          <cell r="H50">
            <v>5.1499999999999997E-2</v>
          </cell>
          <cell r="Q50">
            <v>0.30940000000000001</v>
          </cell>
          <cell r="R50">
            <v>0.15310000000000001</v>
          </cell>
        </row>
        <row r="51">
          <cell r="G51">
            <v>6.8493000000000004</v>
          </cell>
          <cell r="I51">
            <v>0</v>
          </cell>
          <cell r="K51">
            <v>0</v>
          </cell>
          <cell r="S51">
            <v>0.14499999999999999</v>
          </cell>
          <cell r="T51">
            <v>0.1036</v>
          </cell>
        </row>
        <row r="53">
          <cell r="G53">
            <v>41.095800000000004</v>
          </cell>
          <cell r="I53">
            <v>4.2099999999999999E-2</v>
          </cell>
          <cell r="K53">
            <v>2.63E-2</v>
          </cell>
          <cell r="S53">
            <v>0.14499999999999999</v>
          </cell>
          <cell r="T53">
            <v>0.1036</v>
          </cell>
        </row>
        <row r="54">
          <cell r="G54">
            <v>34.246500000000005</v>
          </cell>
          <cell r="I54">
            <v>4.2099999999999999E-2</v>
          </cell>
          <cell r="K54">
            <v>2.63E-2</v>
          </cell>
          <cell r="S54">
            <v>0.14499999999999999</v>
          </cell>
          <cell r="T54">
            <v>0.1036</v>
          </cell>
        </row>
        <row r="55">
          <cell r="G55">
            <v>27.397200000000002</v>
          </cell>
          <cell r="I55">
            <v>4.2099999999999999E-2</v>
          </cell>
          <cell r="K55">
            <v>2.63E-2</v>
          </cell>
          <cell r="S55">
            <v>0.14499999999999999</v>
          </cell>
          <cell r="T55">
            <v>0.1036</v>
          </cell>
        </row>
        <row r="56">
          <cell r="G56">
            <v>13.698600000000001</v>
          </cell>
          <cell r="I56">
            <v>4.2099999999999999E-2</v>
          </cell>
          <cell r="K56">
            <v>2.63E-2</v>
          </cell>
          <cell r="S56">
            <v>0.14499999999999999</v>
          </cell>
          <cell r="T56">
            <v>0.1036</v>
          </cell>
        </row>
        <row r="57">
          <cell r="G57">
            <v>13.698600000000001</v>
          </cell>
          <cell r="I57">
            <v>4.2099999999999999E-2</v>
          </cell>
          <cell r="K57">
            <v>2.63E-2</v>
          </cell>
          <cell r="S57">
            <v>0.14499999999999999</v>
          </cell>
          <cell r="T57">
            <v>0.1036</v>
          </cell>
        </row>
        <row r="58">
          <cell r="G58">
            <v>47.945100000000004</v>
          </cell>
          <cell r="I58">
            <v>4.2099999999999999E-2</v>
          </cell>
          <cell r="K58">
            <v>2.63E-2</v>
          </cell>
          <cell r="S58">
            <v>0.14499999999999999</v>
          </cell>
          <cell r="T58">
            <v>0.1036</v>
          </cell>
        </row>
        <row r="59">
          <cell r="G59">
            <v>20.547900000000002</v>
          </cell>
          <cell r="I59">
            <v>4.2099999999999999E-2</v>
          </cell>
          <cell r="K59">
            <v>2.63E-2</v>
          </cell>
          <cell r="S59">
            <v>0.14499999999999999</v>
          </cell>
          <cell r="T59">
            <v>0.1036</v>
          </cell>
        </row>
        <row r="60">
          <cell r="G60">
            <v>13.698600000000001</v>
          </cell>
          <cell r="I60">
            <v>4.2099999999999999E-2</v>
          </cell>
          <cell r="K60">
            <v>2.63E-2</v>
          </cell>
          <cell r="S60">
            <v>0.14499999999999999</v>
          </cell>
          <cell r="T60">
            <v>0.1036</v>
          </cell>
        </row>
        <row r="61">
          <cell r="G61">
            <v>13.698600000000001</v>
          </cell>
          <cell r="I61">
            <v>4.2099999999999999E-2</v>
          </cell>
          <cell r="K61">
            <v>2.63E-2</v>
          </cell>
          <cell r="S61">
            <v>0.14499999999999999</v>
          </cell>
          <cell r="T61">
            <v>0.1036</v>
          </cell>
        </row>
        <row r="62">
          <cell r="G62">
            <v>20.547900000000002</v>
          </cell>
          <cell r="I62">
            <v>4.2099999999999999E-2</v>
          </cell>
          <cell r="K62">
            <v>2.63E-2</v>
          </cell>
          <cell r="S62">
            <v>0.14499999999999999</v>
          </cell>
          <cell r="T62">
            <v>0.1036</v>
          </cell>
        </row>
        <row r="63">
          <cell r="G63">
            <v>82.191600000000008</v>
          </cell>
          <cell r="I63">
            <v>4.2099999999999999E-2</v>
          </cell>
          <cell r="K63">
            <v>2.63E-2</v>
          </cell>
          <cell r="S63">
            <v>0.14499999999999999</v>
          </cell>
          <cell r="T63">
            <v>0.1036</v>
          </cell>
        </row>
        <row r="64">
          <cell r="G64">
            <v>27.397200000000002</v>
          </cell>
          <cell r="I64">
            <v>4.2099999999999999E-2</v>
          </cell>
          <cell r="K64">
            <v>2.63E-2</v>
          </cell>
          <cell r="P64">
            <v>0.52569999999999995</v>
          </cell>
          <cell r="T64">
            <v>0.1036</v>
          </cell>
        </row>
        <row r="70">
          <cell r="G70">
            <v>41.0959</v>
          </cell>
          <cell r="I70">
            <v>2.3900000000000001E-2</v>
          </cell>
          <cell r="K70">
            <v>1.49E-2</v>
          </cell>
          <cell r="S70">
            <v>0.1065</v>
          </cell>
          <cell r="T70">
            <v>0.1036</v>
          </cell>
        </row>
        <row r="71">
          <cell r="G71">
            <v>41.0959</v>
          </cell>
          <cell r="I71">
            <v>2.3900000000000001E-2</v>
          </cell>
          <cell r="K71">
            <v>1.49E-2</v>
          </cell>
          <cell r="P71">
            <v>0.38619999999999999</v>
          </cell>
          <cell r="T71">
            <v>0.1036</v>
          </cell>
        </row>
        <row r="73">
          <cell r="G73">
            <v>2.7397</v>
          </cell>
          <cell r="H73">
            <v>5.1499999999999997E-2</v>
          </cell>
          <cell r="Q73">
            <v>0.30940000000000001</v>
          </cell>
          <cell r="R73">
            <v>0.15310000000000001</v>
          </cell>
        </row>
        <row r="74">
          <cell r="G74">
            <v>6.8493000000000004</v>
          </cell>
          <cell r="I74">
            <v>4.2099999999999999E-2</v>
          </cell>
          <cell r="K74">
            <v>2.63E-2</v>
          </cell>
          <cell r="S74">
            <v>0.14499999999999999</v>
          </cell>
          <cell r="T74">
            <v>0.1036</v>
          </cell>
        </row>
        <row r="75">
          <cell r="G75">
            <v>0</v>
          </cell>
          <cell r="I75">
            <v>0</v>
          </cell>
          <cell r="K75">
            <v>0</v>
          </cell>
          <cell r="S75">
            <v>0.1065</v>
          </cell>
          <cell r="T75">
            <v>0.1036</v>
          </cell>
        </row>
        <row r="77">
          <cell r="G77">
            <v>41.0959</v>
          </cell>
          <cell r="I77">
            <v>2.3900000000000001E-2</v>
          </cell>
          <cell r="K77">
            <v>1.49E-2</v>
          </cell>
          <cell r="S77">
            <v>0.1065</v>
          </cell>
          <cell r="T77">
            <v>0.1036</v>
          </cell>
        </row>
        <row r="78">
          <cell r="G78">
            <v>41.0959</v>
          </cell>
          <cell r="I78">
            <v>2.3900000000000001E-2</v>
          </cell>
          <cell r="K78">
            <v>1.49E-2</v>
          </cell>
          <cell r="S78">
            <v>0.1065</v>
          </cell>
          <cell r="T78">
            <v>0.1036</v>
          </cell>
        </row>
        <row r="79">
          <cell r="G79">
            <v>123.2877</v>
          </cell>
          <cell r="I79">
            <v>2.3900000000000001E-2</v>
          </cell>
          <cell r="K79">
            <v>1.49E-2</v>
          </cell>
          <cell r="S79">
            <v>0.1065</v>
          </cell>
          <cell r="T79">
            <v>0.1036</v>
          </cell>
        </row>
        <row r="80">
          <cell r="G80">
            <v>41.0959</v>
          </cell>
          <cell r="I80">
            <v>2.3900000000000001E-2</v>
          </cell>
          <cell r="K80">
            <v>1.49E-2</v>
          </cell>
          <cell r="S80">
            <v>0.1065</v>
          </cell>
          <cell r="T80">
            <v>0.1036</v>
          </cell>
        </row>
        <row r="81">
          <cell r="G81">
            <v>41.0959</v>
          </cell>
          <cell r="I81">
            <v>2.3900000000000001E-2</v>
          </cell>
          <cell r="K81">
            <v>1.49E-2</v>
          </cell>
          <cell r="S81">
            <v>0.1065</v>
          </cell>
          <cell r="T81">
            <v>0.1036</v>
          </cell>
        </row>
        <row r="82">
          <cell r="G82">
            <v>41.0959</v>
          </cell>
          <cell r="I82">
            <v>2.3900000000000001E-2</v>
          </cell>
          <cell r="K82">
            <v>1.49E-2</v>
          </cell>
          <cell r="S82">
            <v>0.1065</v>
          </cell>
          <cell r="T82">
            <v>0.1036</v>
          </cell>
        </row>
        <row r="83">
          <cell r="G83">
            <v>41.0959</v>
          </cell>
          <cell r="I83">
            <v>2.3900000000000001E-2</v>
          </cell>
          <cell r="K83">
            <v>1.49E-2</v>
          </cell>
          <cell r="S83">
            <v>0.1065</v>
          </cell>
          <cell r="T83">
            <v>0.1036</v>
          </cell>
        </row>
        <row r="84">
          <cell r="G84">
            <v>391.32590000000005</v>
          </cell>
          <cell r="I84">
            <v>2.3900000000000001E-2</v>
          </cell>
          <cell r="K84">
            <v>1.49E-2</v>
          </cell>
          <cell r="S84">
            <v>0.1065</v>
          </cell>
          <cell r="T84">
            <v>0.1036</v>
          </cell>
        </row>
        <row r="85">
          <cell r="G85">
            <v>41.0959</v>
          </cell>
          <cell r="I85">
            <v>2.3900000000000001E-2</v>
          </cell>
          <cell r="K85">
            <v>1.49E-2</v>
          </cell>
          <cell r="S85">
            <v>0.1065</v>
          </cell>
          <cell r="T85">
            <v>0.1036</v>
          </cell>
        </row>
        <row r="94">
          <cell r="G94">
            <v>0</v>
          </cell>
          <cell r="H94">
            <v>4.4000000000000003E-3</v>
          </cell>
          <cell r="S94">
            <v>4.1399999999999999E-2</v>
          </cell>
          <cell r="T94">
            <v>7.3999999999999996E-2</v>
          </cell>
        </row>
        <row r="95">
          <cell r="G95">
            <v>0</v>
          </cell>
          <cell r="H95">
            <v>4.4000000000000003E-3</v>
          </cell>
          <cell r="S95">
            <v>4.1399999999999999E-2</v>
          </cell>
          <cell r="T95">
            <v>7.3999999999999996E-2</v>
          </cell>
        </row>
        <row r="96">
          <cell r="G96">
            <v>590.96</v>
          </cell>
          <cell r="H96">
            <v>4.4000000000000003E-3</v>
          </cell>
          <cell r="S96">
            <v>4.1399999999999999E-2</v>
          </cell>
          <cell r="T96">
            <v>7.3999999999999996E-2</v>
          </cell>
        </row>
        <row r="97">
          <cell r="G97">
            <v>0</v>
          </cell>
          <cell r="H97">
            <v>4.4000000000000003E-3</v>
          </cell>
          <cell r="S97">
            <v>4.1399999999999999E-2</v>
          </cell>
          <cell r="T97">
            <v>7.3999999999999996E-2</v>
          </cell>
        </row>
        <row r="98">
          <cell r="G98">
            <v>835.62</v>
          </cell>
          <cell r="H98">
            <v>4.4000000000000003E-3</v>
          </cell>
          <cell r="S98">
            <v>4.1399999999999999E-2</v>
          </cell>
          <cell r="T98">
            <v>7.3999999999999996E-2</v>
          </cell>
        </row>
        <row r="99">
          <cell r="G99">
            <v>0</v>
          </cell>
          <cell r="H99">
            <v>4.4000000000000003E-3</v>
          </cell>
          <cell r="S99">
            <v>4.1399999999999999E-2</v>
          </cell>
          <cell r="T99">
            <v>7.3999999999999996E-2</v>
          </cell>
        </row>
        <row r="100">
          <cell r="G100">
            <v>295.24</v>
          </cell>
          <cell r="H100">
            <v>4.4000000000000003E-3</v>
          </cell>
          <cell r="S100">
            <v>4.1399999999999999E-2</v>
          </cell>
          <cell r="T100">
            <v>7.3999999999999996E-2</v>
          </cell>
        </row>
        <row r="102">
          <cell r="G102">
            <v>0</v>
          </cell>
          <cell r="H102">
            <v>4.4000000000000003E-3</v>
          </cell>
          <cell r="S102">
            <v>4.1399999999999999E-2</v>
          </cell>
          <cell r="T102">
            <v>7.3999999999999996E-2</v>
          </cell>
        </row>
        <row r="103">
          <cell r="G103">
            <v>0</v>
          </cell>
          <cell r="H103">
            <v>4.4000000000000003E-3</v>
          </cell>
          <cell r="S103">
            <v>4.1399999999999999E-2</v>
          </cell>
          <cell r="T103">
            <v>7.3999999999999996E-2</v>
          </cell>
        </row>
        <row r="104">
          <cell r="G104">
            <v>0</v>
          </cell>
          <cell r="H104">
            <v>4.4000000000000003E-3</v>
          </cell>
          <cell r="S104">
            <v>4.1399999999999999E-2</v>
          </cell>
          <cell r="T104">
            <v>7.3999999999999996E-2</v>
          </cell>
        </row>
        <row r="105">
          <cell r="G105">
            <v>0</v>
          </cell>
          <cell r="H105">
            <v>4.4000000000000003E-3</v>
          </cell>
          <cell r="S105">
            <v>4.1399999999999999E-2</v>
          </cell>
          <cell r="T105">
            <v>7.3999999999999996E-2</v>
          </cell>
        </row>
        <row r="106">
          <cell r="G106">
            <v>0</v>
          </cell>
          <cell r="H106">
            <v>4.4000000000000003E-3</v>
          </cell>
          <cell r="S106">
            <v>4.1399999999999999E-2</v>
          </cell>
          <cell r="T106">
            <v>7.3999999999999996E-2</v>
          </cell>
        </row>
        <row r="107">
          <cell r="G107">
            <v>0</v>
          </cell>
          <cell r="H107">
            <v>4.4000000000000003E-3</v>
          </cell>
          <cell r="S107">
            <v>4.1399999999999999E-2</v>
          </cell>
          <cell r="T107">
            <v>7.3999999999999996E-2</v>
          </cell>
        </row>
        <row r="108">
          <cell r="G108">
            <v>0</v>
          </cell>
          <cell r="H108">
            <v>4.4000000000000003E-3</v>
          </cell>
          <cell r="S108">
            <v>4.1399999999999999E-2</v>
          </cell>
          <cell r="T108">
            <v>7.3999999999999996E-2</v>
          </cell>
        </row>
        <row r="109">
          <cell r="G109">
            <v>0</v>
          </cell>
          <cell r="H109">
            <v>4.4000000000000003E-3</v>
          </cell>
          <cell r="S109">
            <v>4.1399999999999999E-2</v>
          </cell>
          <cell r="T109">
            <v>7.3999999999999996E-2</v>
          </cell>
        </row>
        <row r="110">
          <cell r="G110">
            <v>84.04</v>
          </cell>
          <cell r="H110">
            <v>4.4000000000000003E-3</v>
          </cell>
          <cell r="S110">
            <v>4.1399999999999999E-2</v>
          </cell>
          <cell r="T110">
            <v>7.3999999999999996E-2</v>
          </cell>
        </row>
        <row r="111">
          <cell r="G111">
            <v>0</v>
          </cell>
          <cell r="H111">
            <v>4.4000000000000003E-3</v>
          </cell>
          <cell r="S111">
            <v>4.1399999999999999E-2</v>
          </cell>
          <cell r="T111">
            <v>7.3999999999999996E-2</v>
          </cell>
        </row>
        <row r="113">
          <cell r="G113">
            <v>0</v>
          </cell>
          <cell r="H113">
            <v>1.6000000000000001E-3</v>
          </cell>
          <cell r="S113">
            <v>0</v>
          </cell>
          <cell r="T113">
            <v>4.1399999999999999E-2</v>
          </cell>
        </row>
        <row r="114">
          <cell r="G114">
            <v>0</v>
          </cell>
          <cell r="H114">
            <v>1.6000000000000001E-3</v>
          </cell>
          <cell r="S114">
            <v>0</v>
          </cell>
          <cell r="T114">
            <v>4.1399999999999999E-2</v>
          </cell>
        </row>
        <row r="115">
          <cell r="G115">
            <v>1019.18</v>
          </cell>
          <cell r="H115">
            <v>1.6000000000000001E-3</v>
          </cell>
          <cell r="S115">
            <v>0</v>
          </cell>
          <cell r="T115">
            <v>4.1399999999999999E-2</v>
          </cell>
        </row>
        <row r="116">
          <cell r="G116">
            <v>432.88</v>
          </cell>
          <cell r="H116">
            <v>1.6000000000000001E-3</v>
          </cell>
          <cell r="S116">
            <v>0</v>
          </cell>
          <cell r="T116">
            <v>4.1399999999999999E-2</v>
          </cell>
        </row>
        <row r="118">
          <cell r="G118">
            <v>0</v>
          </cell>
          <cell r="H118">
            <v>1.6000000000000001E-3</v>
          </cell>
          <cell r="S118">
            <v>0</v>
          </cell>
          <cell r="T118">
            <v>4.1399999999999999E-2</v>
          </cell>
        </row>
        <row r="119">
          <cell r="G119">
            <v>0</v>
          </cell>
          <cell r="H119">
            <v>1.6000000000000001E-3</v>
          </cell>
          <cell r="S119">
            <v>0</v>
          </cell>
          <cell r="T119">
            <v>4.1399999999999999E-2</v>
          </cell>
        </row>
        <row r="120">
          <cell r="G120">
            <v>0</v>
          </cell>
          <cell r="H120">
            <v>1.6000000000000001E-3</v>
          </cell>
          <cell r="S120">
            <v>0</v>
          </cell>
          <cell r="T120">
            <v>4.1399999999999999E-2</v>
          </cell>
        </row>
        <row r="121">
          <cell r="G121">
            <v>0</v>
          </cell>
          <cell r="H121">
            <v>1.6000000000000001E-3</v>
          </cell>
          <cell r="S121">
            <v>0</v>
          </cell>
          <cell r="T121">
            <v>4.1399999999999999E-2</v>
          </cell>
        </row>
        <row r="122">
          <cell r="G122">
            <v>0</v>
          </cell>
          <cell r="H122">
            <v>1.6000000000000001E-3</v>
          </cell>
          <cell r="S122">
            <v>0</v>
          </cell>
          <cell r="T122">
            <v>4.1399999999999999E-2</v>
          </cell>
        </row>
        <row r="123">
          <cell r="G123">
            <v>0</v>
          </cell>
          <cell r="H123">
            <v>1.6000000000000001E-3</v>
          </cell>
          <cell r="S123">
            <v>0</v>
          </cell>
          <cell r="T123">
            <v>4.1399999999999999E-2</v>
          </cell>
        </row>
        <row r="124">
          <cell r="G124">
            <v>0</v>
          </cell>
          <cell r="H124">
            <v>1.6000000000000001E-3</v>
          </cell>
          <cell r="S124">
            <v>0</v>
          </cell>
          <cell r="T124">
            <v>4.1399999999999999E-2</v>
          </cell>
        </row>
        <row r="125">
          <cell r="G125">
            <v>0</v>
          </cell>
          <cell r="H125">
            <v>1.6000000000000001E-3</v>
          </cell>
          <cell r="S125">
            <v>0</v>
          </cell>
          <cell r="T125">
            <v>4.1399999999999999E-2</v>
          </cell>
        </row>
        <row r="126">
          <cell r="G126">
            <v>0</v>
          </cell>
          <cell r="H126">
            <v>1.6000000000000001E-3</v>
          </cell>
          <cell r="S126">
            <v>0</v>
          </cell>
          <cell r="T126">
            <v>4.1399999999999999E-2</v>
          </cell>
        </row>
        <row r="128">
          <cell r="BM128">
            <v>437649.48178600002</v>
          </cell>
          <cell r="BO128">
            <v>119.64173914324768</v>
          </cell>
        </row>
        <row r="129">
          <cell r="BM129">
            <v>141489.47543530003</v>
          </cell>
          <cell r="BO129">
            <v>105.09505714573277</v>
          </cell>
        </row>
        <row r="130">
          <cell r="BM130">
            <v>183563.8807754</v>
          </cell>
          <cell r="BO130">
            <v>66.726238013595065</v>
          </cell>
        </row>
        <row r="131">
          <cell r="BM131">
            <v>33510.73934059999</v>
          </cell>
          <cell r="BO131">
            <v>45.059485465375815</v>
          </cell>
        </row>
        <row r="132">
          <cell r="BM132">
            <v>12415.2915021396</v>
          </cell>
          <cell r="BO132">
            <v>10.396608051851015</v>
          </cell>
        </row>
        <row r="133">
          <cell r="BO133">
            <v>83.422562169387788</v>
          </cell>
        </row>
        <row r="135">
          <cell r="BO135">
            <v>130.65427417194854</v>
          </cell>
        </row>
        <row r="136">
          <cell r="BO136">
            <v>45.125923566878974</v>
          </cell>
        </row>
      </sheetData>
      <sheetData sheetId="6">
        <row r="9">
          <cell r="G9" t="str">
            <v>PROPOSED TARIFFS</v>
          </cell>
        </row>
        <row r="18">
          <cell r="G18">
            <v>0</v>
          </cell>
          <cell r="H18">
            <v>3.39E-2</v>
          </cell>
        </row>
        <row r="19">
          <cell r="G19">
            <v>0</v>
          </cell>
          <cell r="H19">
            <v>3.39E-2</v>
          </cell>
          <cell r="L19">
            <v>1.7000000000000001E-2</v>
          </cell>
        </row>
        <row r="21">
          <cell r="G21">
            <v>0</v>
          </cell>
          <cell r="H21">
            <v>3.39E-2</v>
          </cell>
          <cell r="M21">
            <v>4.24E-2</v>
          </cell>
          <cell r="N21">
            <v>1.7000000000000001E-2</v>
          </cell>
          <cell r="O21">
            <v>8.5000000000000006E-3</v>
          </cell>
        </row>
        <row r="22">
          <cell r="G22">
            <v>0</v>
          </cell>
          <cell r="I22">
            <v>4.24E-2</v>
          </cell>
          <cell r="J22">
            <v>1.7000000000000001E-2</v>
          </cell>
          <cell r="K22">
            <v>8.5000000000000006E-3</v>
          </cell>
        </row>
        <row r="23">
          <cell r="G23">
            <v>0</v>
          </cell>
          <cell r="I23">
            <v>4.24E-2</v>
          </cell>
          <cell r="J23">
            <v>1.7000000000000001E-2</v>
          </cell>
          <cell r="K23">
            <v>8.5000000000000006E-3</v>
          </cell>
          <cell r="M23">
            <v>4.24E-2</v>
          </cell>
          <cell r="N23">
            <v>1.7000000000000001E-2</v>
          </cell>
          <cell r="O23">
            <v>8.5000000000000006E-3</v>
          </cell>
        </row>
        <row r="24">
          <cell r="G24">
            <v>0</v>
          </cell>
          <cell r="I24">
            <v>2.5399999999999999E-2</v>
          </cell>
          <cell r="J24">
            <v>1.0200000000000001E-2</v>
          </cell>
          <cell r="K24">
            <v>5.1000000000000004E-3</v>
          </cell>
          <cell r="U24">
            <v>0.18870000000000001</v>
          </cell>
        </row>
        <row r="25">
          <cell r="G25">
            <v>0</v>
          </cell>
          <cell r="I25">
            <v>2.5399999999999999E-2</v>
          </cell>
          <cell r="J25">
            <v>1.0200000000000001E-2</v>
          </cell>
          <cell r="K25">
            <v>5.1000000000000004E-3</v>
          </cell>
          <cell r="M25">
            <v>4.24E-2</v>
          </cell>
          <cell r="N25">
            <v>1.7000000000000001E-2</v>
          </cell>
          <cell r="O25">
            <v>8.5000000000000006E-3</v>
          </cell>
          <cell r="U25">
            <v>0.18870000000000001</v>
          </cell>
        </row>
        <row r="28">
          <cell r="H28">
            <v>2.52E-2</v>
          </cell>
        </row>
        <row r="29">
          <cell r="H29">
            <v>2.52E-2</v>
          </cell>
        </row>
        <row r="31">
          <cell r="G31">
            <v>0</v>
          </cell>
          <cell r="H31">
            <v>3.7199999999999997E-2</v>
          </cell>
        </row>
        <row r="32">
          <cell r="G32">
            <v>0</v>
          </cell>
          <cell r="H32">
            <v>3.7199999999999997E-2</v>
          </cell>
          <cell r="L32">
            <v>1.7000000000000001E-2</v>
          </cell>
        </row>
        <row r="33">
          <cell r="G33">
            <v>0</v>
          </cell>
          <cell r="I33">
            <v>4.2000000000000003E-2</v>
          </cell>
          <cell r="K33">
            <v>2.1000000000000001E-2</v>
          </cell>
        </row>
        <row r="34">
          <cell r="G34">
            <v>0</v>
          </cell>
          <cell r="I34">
            <v>4.2000000000000003E-2</v>
          </cell>
          <cell r="K34">
            <v>2.1000000000000001E-2</v>
          </cell>
          <cell r="L34">
            <v>1.7000000000000001E-2</v>
          </cell>
        </row>
        <row r="35">
          <cell r="G35">
            <v>0</v>
          </cell>
          <cell r="L35">
            <v>1.7000000000000001E-2</v>
          </cell>
        </row>
        <row r="37">
          <cell r="G37">
            <v>0</v>
          </cell>
          <cell r="I37">
            <v>5.5899999999999998E-2</v>
          </cell>
          <cell r="J37">
            <v>3.8899999999999997E-2</v>
          </cell>
          <cell r="K37">
            <v>2.1000000000000001E-2</v>
          </cell>
        </row>
        <row r="38">
          <cell r="G38">
            <v>0</v>
          </cell>
          <cell r="I38">
            <v>4.4699999999999997E-2</v>
          </cell>
          <cell r="J38">
            <v>3.1099999999999999E-2</v>
          </cell>
          <cell r="K38">
            <v>1.6799999999999999E-2</v>
          </cell>
          <cell r="T38">
            <v>0</v>
          </cell>
        </row>
        <row r="39">
          <cell r="G39">
            <v>0</v>
          </cell>
          <cell r="H39">
            <v>2.0299999999999999E-2</v>
          </cell>
          <cell r="Q39">
            <v>8.6800000000000002E-2</v>
          </cell>
          <cell r="R39">
            <v>4.2900000000000001E-2</v>
          </cell>
        </row>
        <row r="42">
          <cell r="G42">
            <v>0</v>
          </cell>
          <cell r="H42">
            <v>4.4699999999999997E-2</v>
          </cell>
        </row>
        <row r="43">
          <cell r="G43">
            <v>0</v>
          </cell>
          <cell r="H43">
            <v>4.4699999999999997E-2</v>
          </cell>
          <cell r="L43">
            <v>1.7000000000000001E-2</v>
          </cell>
        </row>
        <row r="44">
          <cell r="G44">
            <v>0</v>
          </cell>
          <cell r="I44">
            <v>5.04E-2</v>
          </cell>
          <cell r="K44">
            <v>2.52E-2</v>
          </cell>
        </row>
        <row r="45">
          <cell r="G45">
            <v>0</v>
          </cell>
          <cell r="I45">
            <v>5.04E-2</v>
          </cell>
          <cell r="K45">
            <v>2.52E-2</v>
          </cell>
          <cell r="L45">
            <v>1.7000000000000001E-2</v>
          </cell>
        </row>
        <row r="47">
          <cell r="G47">
            <v>0</v>
          </cell>
          <cell r="I47">
            <v>1.7600000000000001E-2</v>
          </cell>
          <cell r="K47">
            <v>1.0999999999999999E-2</v>
          </cell>
          <cell r="S47">
            <v>0.10829999999999999</v>
          </cell>
          <cell r="T47">
            <v>0</v>
          </cell>
        </row>
        <row r="48">
          <cell r="G48">
            <v>0</v>
          </cell>
          <cell r="I48">
            <v>1.7600000000000001E-2</v>
          </cell>
          <cell r="K48">
            <v>1.0999999999999999E-2</v>
          </cell>
          <cell r="P48">
            <v>0.3926</v>
          </cell>
          <cell r="T48">
            <v>0</v>
          </cell>
        </row>
        <row r="50">
          <cell r="G50">
            <v>0</v>
          </cell>
          <cell r="H50">
            <v>2.0299999999999999E-2</v>
          </cell>
          <cell r="Q50">
            <v>8.6800000000000002E-2</v>
          </cell>
          <cell r="R50">
            <v>4.2900000000000001E-2</v>
          </cell>
        </row>
        <row r="51">
          <cell r="G51">
            <v>0</v>
          </cell>
          <cell r="I51">
            <v>0</v>
          </cell>
          <cell r="K51">
            <v>0</v>
          </cell>
          <cell r="S51">
            <v>0.10829999999999999</v>
          </cell>
          <cell r="T51">
            <v>0</v>
          </cell>
        </row>
        <row r="53">
          <cell r="G53">
            <v>0</v>
          </cell>
          <cell r="I53">
            <v>1.7600000000000001E-2</v>
          </cell>
          <cell r="K53">
            <v>1.0999999999999999E-2</v>
          </cell>
          <cell r="S53">
            <v>0.10829999999999999</v>
          </cell>
          <cell r="T53">
            <v>0</v>
          </cell>
        </row>
        <row r="54">
          <cell r="G54">
            <v>0</v>
          </cell>
          <cell r="I54">
            <v>1.7600000000000001E-2</v>
          </cell>
          <cell r="K54">
            <v>1.0999999999999999E-2</v>
          </cell>
          <cell r="S54">
            <v>0.10829999999999999</v>
          </cell>
          <cell r="T54">
            <v>0</v>
          </cell>
        </row>
        <row r="55">
          <cell r="G55">
            <v>0</v>
          </cell>
          <cell r="I55">
            <v>1.7600000000000001E-2</v>
          </cell>
          <cell r="K55">
            <v>1.0999999999999999E-2</v>
          </cell>
          <cell r="S55">
            <v>0.10829999999999999</v>
          </cell>
          <cell r="T55">
            <v>0</v>
          </cell>
        </row>
        <row r="56">
          <cell r="G56">
            <v>0</v>
          </cell>
          <cell r="I56">
            <v>1.7600000000000001E-2</v>
          </cell>
          <cell r="K56">
            <v>1.0999999999999999E-2</v>
          </cell>
          <cell r="S56">
            <v>0.10829999999999999</v>
          </cell>
          <cell r="T56">
            <v>0</v>
          </cell>
        </row>
        <row r="57">
          <cell r="G57">
            <v>0</v>
          </cell>
          <cell r="I57">
            <v>1.7600000000000001E-2</v>
          </cell>
          <cell r="K57">
            <v>1.0999999999999999E-2</v>
          </cell>
          <cell r="S57">
            <v>0.10829999999999999</v>
          </cell>
          <cell r="T57">
            <v>0</v>
          </cell>
        </row>
        <row r="58">
          <cell r="G58">
            <v>0</v>
          </cell>
          <cell r="I58">
            <v>1.7600000000000001E-2</v>
          </cell>
          <cell r="K58">
            <v>1.0999999999999999E-2</v>
          </cell>
          <cell r="S58">
            <v>0.10829999999999999</v>
          </cell>
          <cell r="T58">
            <v>0</v>
          </cell>
        </row>
        <row r="59">
          <cell r="G59">
            <v>0</v>
          </cell>
          <cell r="I59">
            <v>1.7600000000000001E-2</v>
          </cell>
          <cell r="K59">
            <v>1.0999999999999999E-2</v>
          </cell>
          <cell r="S59">
            <v>0.10829999999999999</v>
          </cell>
          <cell r="T59">
            <v>0</v>
          </cell>
        </row>
        <row r="60">
          <cell r="G60">
            <v>0</v>
          </cell>
          <cell r="I60">
            <v>1.7600000000000001E-2</v>
          </cell>
          <cell r="K60">
            <v>1.0999999999999999E-2</v>
          </cell>
          <cell r="S60">
            <v>0.10829999999999999</v>
          </cell>
          <cell r="T60">
            <v>0</v>
          </cell>
        </row>
        <row r="61">
          <cell r="G61">
            <v>0</v>
          </cell>
          <cell r="I61">
            <v>1.7600000000000001E-2</v>
          </cell>
          <cell r="K61">
            <v>1.0999999999999999E-2</v>
          </cell>
          <cell r="S61">
            <v>0.10829999999999999</v>
          </cell>
          <cell r="T61">
            <v>0</v>
          </cell>
        </row>
        <row r="62">
          <cell r="G62">
            <v>0</v>
          </cell>
          <cell r="I62">
            <v>1.7600000000000001E-2</v>
          </cell>
          <cell r="K62">
            <v>1.0999999999999999E-2</v>
          </cell>
          <cell r="S62">
            <v>0.10829999999999999</v>
          </cell>
          <cell r="T62">
            <v>0</v>
          </cell>
        </row>
        <row r="63">
          <cell r="G63">
            <v>0</v>
          </cell>
          <cell r="I63">
            <v>1.7600000000000001E-2</v>
          </cell>
          <cell r="K63">
            <v>1.0999999999999999E-2</v>
          </cell>
          <cell r="S63">
            <v>0.10829999999999999</v>
          </cell>
          <cell r="T63">
            <v>0</v>
          </cell>
        </row>
        <row r="64">
          <cell r="G64">
            <v>0</v>
          </cell>
          <cell r="I64">
            <v>1.7600000000000001E-2</v>
          </cell>
          <cell r="K64">
            <v>1.0999999999999999E-2</v>
          </cell>
          <cell r="P64">
            <v>0.3926</v>
          </cell>
          <cell r="T64">
            <v>0</v>
          </cell>
        </row>
        <row r="70">
          <cell r="G70">
            <v>0</v>
          </cell>
          <cell r="I70">
            <v>1.3100000000000001E-2</v>
          </cell>
          <cell r="K70">
            <v>8.2000000000000007E-3</v>
          </cell>
          <cell r="S70">
            <v>0.10829999999999999</v>
          </cell>
          <cell r="T70">
            <v>0</v>
          </cell>
        </row>
        <row r="71">
          <cell r="G71">
            <v>0</v>
          </cell>
          <cell r="I71">
            <v>1.3100000000000001E-2</v>
          </cell>
          <cell r="K71">
            <v>8.2000000000000007E-3</v>
          </cell>
          <cell r="P71">
            <v>0.3926</v>
          </cell>
          <cell r="T71">
            <v>0</v>
          </cell>
        </row>
        <row r="73">
          <cell r="G73">
            <v>0</v>
          </cell>
          <cell r="H73">
            <v>2.0299999999999999E-2</v>
          </cell>
          <cell r="Q73">
            <v>8.6800000000000002E-2</v>
          </cell>
          <cell r="R73">
            <v>4.2900000000000001E-2</v>
          </cell>
        </row>
        <row r="74">
          <cell r="G74">
            <v>0</v>
          </cell>
          <cell r="I74">
            <v>1.7600000000000001E-2</v>
          </cell>
          <cell r="K74">
            <v>1.0999999999999999E-2</v>
          </cell>
          <cell r="S74">
            <v>0.10829999999999999</v>
          </cell>
          <cell r="T74">
            <v>0</v>
          </cell>
        </row>
        <row r="75">
          <cell r="G75">
            <v>0</v>
          </cell>
          <cell r="I75">
            <v>0</v>
          </cell>
          <cell r="K75">
            <v>0</v>
          </cell>
          <cell r="S75">
            <v>0.10829999999999999</v>
          </cell>
          <cell r="T75">
            <v>0</v>
          </cell>
        </row>
        <row r="77">
          <cell r="G77">
            <v>1232.3</v>
          </cell>
          <cell r="I77">
            <v>0</v>
          </cell>
          <cell r="K77">
            <v>0</v>
          </cell>
          <cell r="S77">
            <v>0</v>
          </cell>
          <cell r="T77">
            <v>0</v>
          </cell>
        </row>
        <row r="78">
          <cell r="G78">
            <v>888.8</v>
          </cell>
          <cell r="I78">
            <v>0</v>
          </cell>
          <cell r="K78">
            <v>0</v>
          </cell>
          <cell r="S78">
            <v>0</v>
          </cell>
          <cell r="T78">
            <v>0</v>
          </cell>
        </row>
        <row r="79">
          <cell r="G79">
            <v>0</v>
          </cell>
          <cell r="I79">
            <v>1.3100000000000001E-2</v>
          </cell>
          <cell r="K79">
            <v>8.2000000000000007E-3</v>
          </cell>
          <cell r="S79">
            <v>0.10829999999999999</v>
          </cell>
          <cell r="T79">
            <v>0</v>
          </cell>
        </row>
        <row r="80">
          <cell r="G80">
            <v>1059.7</v>
          </cell>
          <cell r="I80">
            <v>0</v>
          </cell>
          <cell r="K80">
            <v>0</v>
          </cell>
          <cell r="S80">
            <v>0</v>
          </cell>
          <cell r="T80">
            <v>0</v>
          </cell>
        </row>
        <row r="81">
          <cell r="G81">
            <v>784.47</v>
          </cell>
          <cell r="I81">
            <v>0</v>
          </cell>
          <cell r="K81">
            <v>0</v>
          </cell>
          <cell r="S81">
            <v>0</v>
          </cell>
          <cell r="T81">
            <v>0</v>
          </cell>
        </row>
        <row r="82">
          <cell r="G82">
            <v>721.83</v>
          </cell>
          <cell r="I82">
            <v>0</v>
          </cell>
          <cell r="K82">
            <v>0</v>
          </cell>
          <cell r="S82">
            <v>0</v>
          </cell>
          <cell r="T82">
            <v>0</v>
          </cell>
        </row>
        <row r="83">
          <cell r="G83">
            <v>827.6</v>
          </cell>
          <cell r="I83">
            <v>0</v>
          </cell>
          <cell r="K83">
            <v>0</v>
          </cell>
          <cell r="S83">
            <v>0</v>
          </cell>
          <cell r="T83">
            <v>0</v>
          </cell>
        </row>
        <row r="84">
          <cell r="G84">
            <v>0</v>
          </cell>
          <cell r="I84">
            <v>1.3100000000000001E-2</v>
          </cell>
          <cell r="K84">
            <v>8.2000000000000007E-3</v>
          </cell>
          <cell r="S84">
            <v>0.10829999999999999</v>
          </cell>
          <cell r="T84">
            <v>0</v>
          </cell>
        </row>
        <row r="85">
          <cell r="G85">
            <v>540.82000000000005</v>
          </cell>
          <cell r="I85">
            <v>0</v>
          </cell>
          <cell r="K85">
            <v>0</v>
          </cell>
          <cell r="S85">
            <v>0</v>
          </cell>
          <cell r="T85">
            <v>0</v>
          </cell>
        </row>
        <row r="94">
          <cell r="G94">
            <v>0</v>
          </cell>
          <cell r="H94">
            <v>8.2000000000000007E-3</v>
          </cell>
          <cell r="S94">
            <v>0.10829999999999999</v>
          </cell>
          <cell r="T94">
            <v>0</v>
          </cell>
        </row>
        <row r="95">
          <cell r="G95">
            <v>0</v>
          </cell>
          <cell r="H95">
            <v>8.2000000000000007E-3</v>
          </cell>
          <cell r="S95">
            <v>0.10829999999999999</v>
          </cell>
          <cell r="T95">
            <v>0</v>
          </cell>
        </row>
        <row r="96">
          <cell r="G96">
            <v>0</v>
          </cell>
          <cell r="H96">
            <v>8.2000000000000007E-3</v>
          </cell>
          <cell r="S96">
            <v>0.10829999999999999</v>
          </cell>
          <cell r="T96">
            <v>0</v>
          </cell>
        </row>
        <row r="97">
          <cell r="G97">
            <v>509.78</v>
          </cell>
          <cell r="H97">
            <v>0</v>
          </cell>
          <cell r="S97">
            <v>0</v>
          </cell>
          <cell r="T97">
            <v>0</v>
          </cell>
        </row>
        <row r="98">
          <cell r="G98">
            <v>0</v>
          </cell>
          <cell r="H98">
            <v>8.2000000000000007E-3</v>
          </cell>
          <cell r="S98">
            <v>0.10829999999999999</v>
          </cell>
          <cell r="T98">
            <v>0</v>
          </cell>
        </row>
        <row r="99">
          <cell r="G99">
            <v>0</v>
          </cell>
          <cell r="H99">
            <v>8.2000000000000007E-3</v>
          </cell>
          <cell r="S99">
            <v>0.10829999999999999</v>
          </cell>
          <cell r="T99">
            <v>0</v>
          </cell>
        </row>
        <row r="100">
          <cell r="G100">
            <v>853.3</v>
          </cell>
          <cell r="H100">
            <v>0</v>
          </cell>
          <cell r="S100">
            <v>0</v>
          </cell>
          <cell r="T100">
            <v>0</v>
          </cell>
        </row>
        <row r="102">
          <cell r="G102">
            <v>3207.2</v>
          </cell>
          <cell r="H102">
            <v>0</v>
          </cell>
          <cell r="S102">
            <v>0</v>
          </cell>
          <cell r="T102">
            <v>0</v>
          </cell>
        </row>
        <row r="103">
          <cell r="G103">
            <v>113.9</v>
          </cell>
          <cell r="H103">
            <v>0</v>
          </cell>
          <cell r="S103">
            <v>0.16209999999999999</v>
          </cell>
          <cell r="T103">
            <v>0</v>
          </cell>
        </row>
        <row r="104">
          <cell r="G104">
            <v>168.9</v>
          </cell>
          <cell r="H104">
            <v>0</v>
          </cell>
          <cell r="S104">
            <v>0.20039999999999999</v>
          </cell>
          <cell r="T104">
            <v>0</v>
          </cell>
        </row>
        <row r="105">
          <cell r="G105">
            <v>150.5</v>
          </cell>
          <cell r="H105">
            <v>0</v>
          </cell>
          <cell r="S105">
            <v>0.19439999999999999</v>
          </cell>
          <cell r="T105">
            <v>0</v>
          </cell>
        </row>
        <row r="106">
          <cell r="G106">
            <v>0</v>
          </cell>
          <cell r="H106">
            <v>8.2000000000000007E-3</v>
          </cell>
          <cell r="S106">
            <v>0.10829999999999999</v>
          </cell>
          <cell r="T106">
            <v>0</v>
          </cell>
        </row>
        <row r="107">
          <cell r="G107">
            <v>0</v>
          </cell>
          <cell r="H107">
            <v>8.2000000000000007E-3</v>
          </cell>
          <cell r="S107">
            <v>0.10829999999999999</v>
          </cell>
          <cell r="T107">
            <v>0</v>
          </cell>
        </row>
        <row r="108">
          <cell r="G108">
            <v>281.20999999999998</v>
          </cell>
          <cell r="H108">
            <v>0</v>
          </cell>
          <cell r="S108">
            <v>0</v>
          </cell>
          <cell r="T108">
            <v>0</v>
          </cell>
        </row>
        <row r="109">
          <cell r="G109">
            <v>2192.08</v>
          </cell>
          <cell r="H109">
            <v>0</v>
          </cell>
          <cell r="S109">
            <v>0</v>
          </cell>
          <cell r="T109">
            <v>0</v>
          </cell>
        </row>
        <row r="110">
          <cell r="G110">
            <v>34.6</v>
          </cell>
          <cell r="H110">
            <v>0</v>
          </cell>
          <cell r="S110">
            <v>0.1623</v>
          </cell>
          <cell r="T110">
            <v>0</v>
          </cell>
        </row>
        <row r="111">
          <cell r="G111">
            <v>599.30999999999995</v>
          </cell>
          <cell r="H111">
            <v>0</v>
          </cell>
          <cell r="S111">
            <v>0</v>
          </cell>
          <cell r="T111">
            <v>0</v>
          </cell>
        </row>
        <row r="113">
          <cell r="G113">
            <v>0</v>
          </cell>
          <cell r="H113">
            <v>8.2000000000000007E-3</v>
          </cell>
          <cell r="S113">
            <v>0.10829999999999999</v>
          </cell>
          <cell r="T113">
            <v>0</v>
          </cell>
        </row>
        <row r="114">
          <cell r="G114">
            <v>0</v>
          </cell>
          <cell r="H114">
            <v>8.2000000000000007E-3</v>
          </cell>
          <cell r="S114">
            <v>0.10829999999999999</v>
          </cell>
          <cell r="T114">
            <v>0</v>
          </cell>
        </row>
        <row r="115">
          <cell r="G115">
            <v>0</v>
          </cell>
          <cell r="H115">
            <v>8.2000000000000007E-3</v>
          </cell>
          <cell r="S115">
            <v>0.10829999999999999</v>
          </cell>
          <cell r="T115">
            <v>0</v>
          </cell>
        </row>
        <row r="116">
          <cell r="G116">
            <v>0</v>
          </cell>
          <cell r="H116">
            <v>8.2000000000000007E-3</v>
          </cell>
          <cell r="S116">
            <v>0.10829999999999999</v>
          </cell>
          <cell r="T116">
            <v>0</v>
          </cell>
        </row>
        <row r="118">
          <cell r="G118">
            <v>5030.3</v>
          </cell>
          <cell r="H118">
            <v>0</v>
          </cell>
          <cell r="S118">
            <v>0</v>
          </cell>
          <cell r="T118">
            <v>0</v>
          </cell>
        </row>
        <row r="119">
          <cell r="G119">
            <v>1022.4</v>
          </cell>
          <cell r="H119">
            <v>0</v>
          </cell>
          <cell r="S119">
            <v>0.21079999999999999</v>
          </cell>
          <cell r="T119">
            <v>0</v>
          </cell>
        </row>
        <row r="120">
          <cell r="G120">
            <v>5964.38</v>
          </cell>
          <cell r="H120">
            <v>0</v>
          </cell>
          <cell r="S120">
            <v>0</v>
          </cell>
          <cell r="T120">
            <v>0</v>
          </cell>
        </row>
        <row r="121">
          <cell r="G121">
            <v>73.2</v>
          </cell>
          <cell r="H121">
            <v>0</v>
          </cell>
          <cell r="S121">
            <v>0.17730000000000001</v>
          </cell>
          <cell r="T121">
            <v>0</v>
          </cell>
        </row>
        <row r="122">
          <cell r="G122">
            <v>334.3</v>
          </cell>
          <cell r="H122">
            <v>0</v>
          </cell>
          <cell r="S122">
            <v>0.22109999999999999</v>
          </cell>
          <cell r="T122">
            <v>0</v>
          </cell>
        </row>
        <row r="123">
          <cell r="G123">
            <v>440</v>
          </cell>
          <cell r="H123">
            <v>0</v>
          </cell>
          <cell r="S123">
            <v>0.25169999999999998</v>
          </cell>
          <cell r="T123">
            <v>0</v>
          </cell>
        </row>
        <row r="124">
          <cell r="G124">
            <v>3459</v>
          </cell>
          <cell r="H124">
            <v>0</v>
          </cell>
          <cell r="S124">
            <v>0</v>
          </cell>
          <cell r="T124">
            <v>0</v>
          </cell>
        </row>
        <row r="125">
          <cell r="G125">
            <v>1625.1</v>
          </cell>
          <cell r="H125">
            <v>0</v>
          </cell>
          <cell r="S125">
            <v>0</v>
          </cell>
          <cell r="T125">
            <v>0</v>
          </cell>
        </row>
        <row r="126">
          <cell r="G126">
            <v>864.12</v>
          </cell>
          <cell r="H126">
            <v>0</v>
          </cell>
          <cell r="S126">
            <v>0</v>
          </cell>
          <cell r="T126">
            <v>0</v>
          </cell>
        </row>
        <row r="128">
          <cell r="BM128">
            <v>115307.5724</v>
          </cell>
          <cell r="BO128">
            <v>31.52202635319847</v>
          </cell>
        </row>
        <row r="129">
          <cell r="BM129">
            <v>43778.223915100003</v>
          </cell>
          <cell r="BO129">
            <v>32.517435872465278</v>
          </cell>
        </row>
        <row r="130">
          <cell r="BM130">
            <v>68310.769919999992</v>
          </cell>
          <cell r="BO130">
            <v>24.831250425299885</v>
          </cell>
        </row>
        <row r="131">
          <cell r="BM131">
            <v>15014.3842931</v>
          </cell>
          <cell r="BO131">
            <v>20.188764680785262</v>
          </cell>
        </row>
        <row r="132">
          <cell r="BM132">
            <v>19106.088666647702</v>
          </cell>
          <cell r="BO132">
            <v>15.999504742745378</v>
          </cell>
        </row>
        <row r="133">
          <cell r="BO133">
            <v>26.979523365147436</v>
          </cell>
        </row>
        <row r="135">
          <cell r="BO135">
            <v>33.726615123941009</v>
          </cell>
        </row>
        <row r="136">
          <cell r="BO136">
            <v>16.604777070063694</v>
          </cell>
        </row>
      </sheetData>
      <sheetData sheetId="7">
        <row r="9">
          <cell r="G9" t="str">
            <v>PROPOSED TARIFFS</v>
          </cell>
        </row>
        <row r="18">
          <cell r="G18">
            <v>4.1099999999999998E-2</v>
          </cell>
          <cell r="H18">
            <v>1.1599999999999999E-2</v>
          </cell>
        </row>
        <row r="19">
          <cell r="G19">
            <v>4.1099999999999998E-2</v>
          </cell>
          <cell r="H19">
            <v>1.1599999999999999E-2</v>
          </cell>
          <cell r="L19">
            <v>5.7999999999999996E-3</v>
          </cell>
        </row>
        <row r="21">
          <cell r="G21">
            <v>4.1099999999999998E-2</v>
          </cell>
          <cell r="H21">
            <v>1.1599999999999999E-2</v>
          </cell>
          <cell r="M21">
            <v>1.4500000000000001E-2</v>
          </cell>
          <cell r="N21">
            <v>5.7999999999999996E-3</v>
          </cell>
          <cell r="O21">
            <v>2.8999999999999998E-3</v>
          </cell>
        </row>
        <row r="22">
          <cell r="G22">
            <v>4.1099999999999998E-2</v>
          </cell>
          <cell r="I22">
            <v>1.4500000000000001E-2</v>
          </cell>
          <cell r="J22">
            <v>5.7999999999999996E-3</v>
          </cell>
          <cell r="K22">
            <v>2.8999999999999998E-3</v>
          </cell>
        </row>
        <row r="23">
          <cell r="G23">
            <v>4.1099999999999998E-2</v>
          </cell>
          <cell r="I23">
            <v>1.4500000000000001E-2</v>
          </cell>
          <cell r="J23">
            <v>5.7999999999999996E-3</v>
          </cell>
          <cell r="K23">
            <v>2.8999999999999998E-3</v>
          </cell>
          <cell r="M23">
            <v>1.4500000000000001E-2</v>
          </cell>
          <cell r="N23">
            <v>5.7999999999999996E-3</v>
          </cell>
          <cell r="O23">
            <v>2.8999999999999998E-3</v>
          </cell>
        </row>
        <row r="24">
          <cell r="G24">
            <v>4.1099999999999998E-2</v>
          </cell>
          <cell r="I24">
            <v>8.6999999999999994E-3</v>
          </cell>
          <cell r="J24">
            <v>3.5000000000000001E-3</v>
          </cell>
          <cell r="K24">
            <v>1.6999999999999999E-3</v>
          </cell>
          <cell r="U24">
            <v>6.4199999999999993E-2</v>
          </cell>
        </row>
        <row r="25">
          <cell r="G25">
            <v>4.1099999999999998E-2</v>
          </cell>
          <cell r="I25">
            <v>8.6999999999999994E-3</v>
          </cell>
          <cell r="J25">
            <v>3.5000000000000001E-3</v>
          </cell>
          <cell r="K25">
            <v>1.6999999999999999E-3</v>
          </cell>
          <cell r="M25">
            <v>1.4500000000000001E-2</v>
          </cell>
          <cell r="N25">
            <v>5.7999999999999996E-3</v>
          </cell>
          <cell r="O25">
            <v>2.8999999999999998E-3</v>
          </cell>
          <cell r="U25">
            <v>6.4199999999999993E-2</v>
          </cell>
        </row>
        <row r="28">
          <cell r="H28">
            <v>5.1999999999999998E-3</v>
          </cell>
        </row>
        <row r="29">
          <cell r="H29">
            <v>5.1999999999999998E-3</v>
          </cell>
        </row>
        <row r="31">
          <cell r="G31">
            <v>4.1099999999999998E-2</v>
          </cell>
          <cell r="H31">
            <v>8.3999999999999995E-3</v>
          </cell>
        </row>
        <row r="32">
          <cell r="G32">
            <v>4.1099999999999998E-2</v>
          </cell>
          <cell r="H32">
            <v>8.3999999999999995E-3</v>
          </cell>
          <cell r="L32">
            <v>8.3000000000000001E-3</v>
          </cell>
        </row>
        <row r="33">
          <cell r="G33">
            <v>4.1099999999999998E-2</v>
          </cell>
          <cell r="I33">
            <v>9.4999999999999998E-3</v>
          </cell>
          <cell r="K33">
            <v>4.7000000000000002E-3</v>
          </cell>
        </row>
        <row r="34">
          <cell r="G34">
            <v>4.1099999999999998E-2</v>
          </cell>
          <cell r="I34">
            <v>9.4999999999999998E-3</v>
          </cell>
          <cell r="K34">
            <v>4.7000000000000002E-3</v>
          </cell>
          <cell r="L34">
            <v>8.3000000000000001E-3</v>
          </cell>
        </row>
        <row r="35">
          <cell r="G35">
            <v>0</v>
          </cell>
          <cell r="L35">
            <v>8.3000000000000001E-3</v>
          </cell>
        </row>
        <row r="37">
          <cell r="G37">
            <v>4.1099999999999998E-2</v>
          </cell>
          <cell r="I37">
            <v>1.26E-2</v>
          </cell>
          <cell r="J37">
            <v>8.8000000000000005E-3</v>
          </cell>
          <cell r="K37">
            <v>4.7000000000000002E-3</v>
          </cell>
        </row>
        <row r="38">
          <cell r="G38">
            <v>4.1099999999999998E-2</v>
          </cell>
          <cell r="I38">
            <v>1.01E-2</v>
          </cell>
          <cell r="J38">
            <v>7.0000000000000001E-3</v>
          </cell>
          <cell r="K38">
            <v>3.8E-3</v>
          </cell>
          <cell r="T38">
            <v>0</v>
          </cell>
        </row>
        <row r="39">
          <cell r="G39">
            <v>4.1099999999999998E-2</v>
          </cell>
          <cell r="H39">
            <v>7.1000000000000004E-3</v>
          </cell>
          <cell r="Q39">
            <v>0</v>
          </cell>
          <cell r="R39">
            <v>0</v>
          </cell>
        </row>
        <row r="42">
          <cell r="G42">
            <v>4.1099999999999998E-2</v>
          </cell>
          <cell r="H42">
            <v>1.01E-2</v>
          </cell>
        </row>
        <row r="43">
          <cell r="G43">
            <v>4.1099999999999998E-2</v>
          </cell>
          <cell r="H43">
            <v>1.01E-2</v>
          </cell>
          <cell r="L43">
            <v>8.3000000000000001E-3</v>
          </cell>
        </row>
        <row r="44">
          <cell r="G44">
            <v>4.1099999999999998E-2</v>
          </cell>
          <cell r="I44">
            <v>1.14E-2</v>
          </cell>
          <cell r="K44">
            <v>5.7000000000000002E-3</v>
          </cell>
        </row>
        <row r="45">
          <cell r="G45">
            <v>4.1099999999999998E-2</v>
          </cell>
          <cell r="I45">
            <v>1.14E-2</v>
          </cell>
          <cell r="K45">
            <v>5.7000000000000002E-3</v>
          </cell>
          <cell r="L45">
            <v>8.3000000000000001E-3</v>
          </cell>
        </row>
        <row r="47">
          <cell r="G47">
            <v>0</v>
          </cell>
          <cell r="I47">
            <v>6.4999999999999997E-3</v>
          </cell>
          <cell r="K47">
            <v>4.1000000000000003E-3</v>
          </cell>
          <cell r="S47">
            <v>0</v>
          </cell>
          <cell r="T47">
            <v>0</v>
          </cell>
        </row>
        <row r="48">
          <cell r="G48">
            <v>0</v>
          </cell>
          <cell r="I48">
            <v>6.4999999999999997E-3</v>
          </cell>
          <cell r="K48">
            <v>4.1000000000000003E-3</v>
          </cell>
          <cell r="P48">
            <v>0</v>
          </cell>
          <cell r="T48">
            <v>0</v>
          </cell>
        </row>
        <row r="50">
          <cell r="G50">
            <v>0</v>
          </cell>
          <cell r="H50">
            <v>5.1999999999999998E-3</v>
          </cell>
          <cell r="Q50">
            <v>0</v>
          </cell>
          <cell r="R50">
            <v>0</v>
          </cell>
        </row>
        <row r="51">
          <cell r="G51">
            <v>0</v>
          </cell>
          <cell r="I51">
            <v>0</v>
          </cell>
          <cell r="K51">
            <v>0</v>
          </cell>
          <cell r="S51">
            <v>0</v>
          </cell>
          <cell r="T51">
            <v>0</v>
          </cell>
        </row>
        <row r="53">
          <cell r="G53">
            <v>0</v>
          </cell>
          <cell r="I53">
            <v>6.4999999999999997E-3</v>
          </cell>
          <cell r="K53">
            <v>4.1000000000000003E-3</v>
          </cell>
          <cell r="S53">
            <v>0</v>
          </cell>
          <cell r="T53">
            <v>0</v>
          </cell>
        </row>
        <row r="54">
          <cell r="G54">
            <v>0</v>
          </cell>
          <cell r="I54">
            <v>6.4999999999999997E-3</v>
          </cell>
          <cell r="K54">
            <v>4.1000000000000003E-3</v>
          </cell>
          <cell r="S54">
            <v>0</v>
          </cell>
          <cell r="T54">
            <v>0</v>
          </cell>
        </row>
        <row r="55">
          <cell r="G55">
            <v>0</v>
          </cell>
          <cell r="I55">
            <v>6.4999999999999997E-3</v>
          </cell>
          <cell r="K55">
            <v>4.1000000000000003E-3</v>
          </cell>
          <cell r="S55">
            <v>0</v>
          </cell>
          <cell r="T55">
            <v>0</v>
          </cell>
        </row>
        <row r="56">
          <cell r="G56">
            <v>0</v>
          </cell>
          <cell r="I56">
            <v>6.4999999999999997E-3</v>
          </cell>
          <cell r="K56">
            <v>4.1000000000000003E-3</v>
          </cell>
          <cell r="S56">
            <v>0</v>
          </cell>
          <cell r="T56">
            <v>0</v>
          </cell>
        </row>
        <row r="57">
          <cell r="G57">
            <v>0</v>
          </cell>
          <cell r="I57">
            <v>6.4999999999999997E-3</v>
          </cell>
          <cell r="K57">
            <v>4.1000000000000003E-3</v>
          </cell>
          <cell r="S57">
            <v>0</v>
          </cell>
          <cell r="T57">
            <v>0</v>
          </cell>
        </row>
        <row r="58">
          <cell r="G58">
            <v>0</v>
          </cell>
          <cell r="I58">
            <v>6.4999999999999997E-3</v>
          </cell>
          <cell r="K58">
            <v>4.1000000000000003E-3</v>
          </cell>
          <cell r="S58">
            <v>0</v>
          </cell>
          <cell r="T58">
            <v>0</v>
          </cell>
        </row>
        <row r="59">
          <cell r="G59">
            <v>0</v>
          </cell>
          <cell r="I59">
            <v>6.4999999999999997E-3</v>
          </cell>
          <cell r="K59">
            <v>4.1000000000000003E-3</v>
          </cell>
          <cell r="S59">
            <v>0</v>
          </cell>
          <cell r="T59">
            <v>0</v>
          </cell>
        </row>
        <row r="60">
          <cell r="G60">
            <v>0</v>
          </cell>
          <cell r="I60">
            <v>6.4999999999999997E-3</v>
          </cell>
          <cell r="K60">
            <v>4.1000000000000003E-3</v>
          </cell>
          <cell r="S60">
            <v>0</v>
          </cell>
          <cell r="T60">
            <v>0</v>
          </cell>
        </row>
        <row r="61">
          <cell r="G61">
            <v>0</v>
          </cell>
          <cell r="I61">
            <v>6.4999999999999997E-3</v>
          </cell>
          <cell r="K61">
            <v>4.1000000000000003E-3</v>
          </cell>
          <cell r="S61">
            <v>0</v>
          </cell>
          <cell r="T61">
            <v>0</v>
          </cell>
        </row>
        <row r="62">
          <cell r="G62">
            <v>0</v>
          </cell>
          <cell r="I62">
            <v>6.4999999999999997E-3</v>
          </cell>
          <cell r="K62">
            <v>4.1000000000000003E-3</v>
          </cell>
          <cell r="S62">
            <v>0</v>
          </cell>
          <cell r="T62">
            <v>0</v>
          </cell>
        </row>
        <row r="63">
          <cell r="G63">
            <v>0</v>
          </cell>
          <cell r="I63">
            <v>6.4999999999999997E-3</v>
          </cell>
          <cell r="K63">
            <v>4.1000000000000003E-3</v>
          </cell>
          <cell r="S63">
            <v>0</v>
          </cell>
          <cell r="T63">
            <v>0</v>
          </cell>
        </row>
        <row r="64">
          <cell r="G64">
            <v>0</v>
          </cell>
          <cell r="I64">
            <v>6.4999999999999997E-3</v>
          </cell>
          <cell r="K64">
            <v>4.1000000000000003E-3</v>
          </cell>
          <cell r="P64">
            <v>0</v>
          </cell>
          <cell r="T64">
            <v>0</v>
          </cell>
        </row>
        <row r="70">
          <cell r="G70">
            <v>0</v>
          </cell>
          <cell r="I70">
            <v>4.4000000000000003E-3</v>
          </cell>
          <cell r="K70">
            <v>2.8E-3</v>
          </cell>
          <cell r="S70">
            <v>0</v>
          </cell>
          <cell r="T70">
            <v>0</v>
          </cell>
        </row>
        <row r="71">
          <cell r="G71">
            <v>0</v>
          </cell>
          <cell r="I71">
            <v>4.4000000000000003E-3</v>
          </cell>
          <cell r="K71">
            <v>2.8E-3</v>
          </cell>
          <cell r="P71">
            <v>0</v>
          </cell>
          <cell r="T71">
            <v>0</v>
          </cell>
        </row>
        <row r="73">
          <cell r="G73">
            <v>0</v>
          </cell>
          <cell r="H73">
            <v>3.5999999999999999E-3</v>
          </cell>
          <cell r="Q73">
            <v>0</v>
          </cell>
          <cell r="R73">
            <v>0</v>
          </cell>
        </row>
        <row r="74">
          <cell r="G74">
            <v>0</v>
          </cell>
          <cell r="I74">
            <v>4.4000000000000003E-3</v>
          </cell>
          <cell r="K74">
            <v>2.8E-3</v>
          </cell>
          <cell r="S74">
            <v>0</v>
          </cell>
          <cell r="T74">
            <v>0</v>
          </cell>
        </row>
        <row r="75">
          <cell r="G75">
            <v>0</v>
          </cell>
          <cell r="I75">
            <v>0</v>
          </cell>
          <cell r="K75">
            <v>0</v>
          </cell>
          <cell r="S75">
            <v>0</v>
          </cell>
          <cell r="T75">
            <v>0</v>
          </cell>
        </row>
        <row r="77">
          <cell r="G77">
            <v>0</v>
          </cell>
          <cell r="I77">
            <v>4.4000000000000003E-3</v>
          </cell>
          <cell r="K77">
            <v>2.8E-3</v>
          </cell>
          <cell r="S77">
            <v>0</v>
          </cell>
          <cell r="T77">
            <v>0</v>
          </cell>
        </row>
        <row r="78">
          <cell r="G78">
            <v>0</v>
          </cell>
          <cell r="I78">
            <v>4.4000000000000003E-3</v>
          </cell>
          <cell r="K78">
            <v>2.8E-3</v>
          </cell>
          <cell r="S78">
            <v>0</v>
          </cell>
          <cell r="T78">
            <v>0</v>
          </cell>
        </row>
        <row r="79">
          <cell r="G79">
            <v>0</v>
          </cell>
          <cell r="I79">
            <v>4.4000000000000003E-3</v>
          </cell>
          <cell r="K79">
            <v>2.8E-3</v>
          </cell>
          <cell r="S79">
            <v>0</v>
          </cell>
          <cell r="T79">
            <v>0</v>
          </cell>
        </row>
        <row r="80">
          <cell r="G80">
            <v>0</v>
          </cell>
          <cell r="I80">
            <v>4.4000000000000003E-3</v>
          </cell>
          <cell r="K80">
            <v>2.8E-3</v>
          </cell>
          <cell r="S80">
            <v>0</v>
          </cell>
          <cell r="T80">
            <v>0</v>
          </cell>
        </row>
        <row r="81">
          <cell r="G81">
            <v>0</v>
          </cell>
          <cell r="I81">
            <v>4.4000000000000003E-3</v>
          </cell>
          <cell r="K81">
            <v>2.8E-3</v>
          </cell>
          <cell r="S81">
            <v>0</v>
          </cell>
          <cell r="T81">
            <v>0</v>
          </cell>
        </row>
        <row r="82">
          <cell r="G82">
            <v>0</v>
          </cell>
          <cell r="I82">
            <v>4.4000000000000003E-3</v>
          </cell>
          <cell r="K82">
            <v>2.8E-3</v>
          </cell>
          <cell r="S82">
            <v>0</v>
          </cell>
          <cell r="T82">
            <v>0</v>
          </cell>
        </row>
        <row r="83">
          <cell r="G83">
            <v>0</v>
          </cell>
          <cell r="I83">
            <v>4.4000000000000003E-3</v>
          </cell>
          <cell r="K83">
            <v>2.8E-3</v>
          </cell>
          <cell r="S83">
            <v>0</v>
          </cell>
          <cell r="T83">
            <v>0</v>
          </cell>
        </row>
        <row r="84">
          <cell r="G84">
            <v>0</v>
          </cell>
          <cell r="I84">
            <v>4.4000000000000003E-3</v>
          </cell>
          <cell r="K84">
            <v>2.8E-3</v>
          </cell>
          <cell r="S84">
            <v>0</v>
          </cell>
          <cell r="T84">
            <v>0</v>
          </cell>
        </row>
        <row r="85">
          <cell r="G85">
            <v>0</v>
          </cell>
          <cell r="I85">
            <v>4.4000000000000003E-3</v>
          </cell>
          <cell r="K85">
            <v>2.8E-3</v>
          </cell>
          <cell r="S85">
            <v>0</v>
          </cell>
          <cell r="T85">
            <v>0</v>
          </cell>
        </row>
        <row r="94">
          <cell r="G94">
            <v>0</v>
          </cell>
          <cell r="H94">
            <v>8.9999999999999998E-4</v>
          </cell>
          <cell r="S94">
            <v>0</v>
          </cell>
          <cell r="T94">
            <v>0</v>
          </cell>
        </row>
        <row r="95">
          <cell r="G95">
            <v>0</v>
          </cell>
          <cell r="H95">
            <v>8.9999999999999998E-4</v>
          </cell>
          <cell r="S95">
            <v>0</v>
          </cell>
          <cell r="T95">
            <v>0</v>
          </cell>
        </row>
        <row r="96">
          <cell r="G96">
            <v>0</v>
          </cell>
          <cell r="H96">
            <v>8.9999999999999998E-4</v>
          </cell>
          <cell r="S96">
            <v>0</v>
          </cell>
          <cell r="T96">
            <v>0</v>
          </cell>
        </row>
        <row r="97">
          <cell r="G97">
            <v>0</v>
          </cell>
          <cell r="H97">
            <v>8.9999999999999998E-4</v>
          </cell>
          <cell r="S97">
            <v>0</v>
          </cell>
          <cell r="T97">
            <v>0</v>
          </cell>
        </row>
        <row r="98">
          <cell r="G98">
            <v>0</v>
          </cell>
          <cell r="H98">
            <v>8.9999999999999998E-4</v>
          </cell>
          <cell r="S98">
            <v>0</v>
          </cell>
          <cell r="T98">
            <v>0</v>
          </cell>
        </row>
        <row r="99">
          <cell r="G99">
            <v>0</v>
          </cell>
          <cell r="H99">
            <v>8.9999999999999998E-4</v>
          </cell>
          <cell r="S99">
            <v>0</v>
          </cell>
          <cell r="T99">
            <v>0</v>
          </cell>
        </row>
        <row r="100">
          <cell r="G100">
            <v>0</v>
          </cell>
          <cell r="H100">
            <v>8.9999999999999998E-4</v>
          </cell>
          <cell r="S100">
            <v>0</v>
          </cell>
          <cell r="T100">
            <v>0</v>
          </cell>
        </row>
        <row r="102">
          <cell r="G102">
            <v>0</v>
          </cell>
          <cell r="H102">
            <v>8.9999999999999998E-4</v>
          </cell>
          <cell r="S102">
            <v>0</v>
          </cell>
          <cell r="T102">
            <v>0</v>
          </cell>
        </row>
        <row r="103">
          <cell r="G103">
            <v>0</v>
          </cell>
          <cell r="H103">
            <v>8.9999999999999998E-4</v>
          </cell>
          <cell r="S103">
            <v>0</v>
          </cell>
          <cell r="T103">
            <v>0</v>
          </cell>
        </row>
        <row r="104">
          <cell r="G104">
            <v>0</v>
          </cell>
          <cell r="H104">
            <v>8.9999999999999998E-4</v>
          </cell>
          <cell r="S104">
            <v>0</v>
          </cell>
          <cell r="T104">
            <v>0</v>
          </cell>
        </row>
        <row r="105">
          <cell r="G105">
            <v>0</v>
          </cell>
          <cell r="H105">
            <v>8.9999999999999998E-4</v>
          </cell>
          <cell r="S105">
            <v>0</v>
          </cell>
          <cell r="T105">
            <v>0</v>
          </cell>
        </row>
        <row r="106">
          <cell r="G106">
            <v>0</v>
          </cell>
          <cell r="H106">
            <v>8.9999999999999998E-4</v>
          </cell>
          <cell r="S106">
            <v>0</v>
          </cell>
          <cell r="T106">
            <v>0</v>
          </cell>
        </row>
        <row r="107">
          <cell r="G107">
            <v>0</v>
          </cell>
          <cell r="H107">
            <v>8.9999999999999998E-4</v>
          </cell>
          <cell r="S107">
            <v>0</v>
          </cell>
          <cell r="T107">
            <v>0</v>
          </cell>
        </row>
        <row r="108">
          <cell r="G108">
            <v>0</v>
          </cell>
          <cell r="H108">
            <v>8.9999999999999998E-4</v>
          </cell>
          <cell r="S108">
            <v>0</v>
          </cell>
          <cell r="T108">
            <v>0</v>
          </cell>
        </row>
        <row r="109">
          <cell r="G109">
            <v>0</v>
          </cell>
          <cell r="H109">
            <v>8.9999999999999998E-4</v>
          </cell>
          <cell r="S109">
            <v>0</v>
          </cell>
          <cell r="T109">
            <v>0</v>
          </cell>
        </row>
        <row r="110">
          <cell r="G110">
            <v>0</v>
          </cell>
          <cell r="H110">
            <v>8.9999999999999998E-4</v>
          </cell>
          <cell r="S110">
            <v>0</v>
          </cell>
          <cell r="T110">
            <v>0</v>
          </cell>
        </row>
        <row r="111">
          <cell r="G111">
            <v>0</v>
          </cell>
          <cell r="H111">
            <v>8.9999999999999998E-4</v>
          </cell>
          <cell r="S111">
            <v>0</v>
          </cell>
          <cell r="T111">
            <v>0</v>
          </cell>
        </row>
        <row r="113">
          <cell r="G113">
            <v>0</v>
          </cell>
          <cell r="H113">
            <v>8.9999999999999998E-4</v>
          </cell>
          <cell r="S113">
            <v>0</v>
          </cell>
          <cell r="T113">
            <v>0</v>
          </cell>
        </row>
        <row r="114">
          <cell r="G114">
            <v>0</v>
          </cell>
          <cell r="H114">
            <v>8.9999999999999998E-4</v>
          </cell>
          <cell r="S114">
            <v>0</v>
          </cell>
          <cell r="T114">
            <v>0</v>
          </cell>
        </row>
        <row r="115">
          <cell r="G115">
            <v>0</v>
          </cell>
          <cell r="H115">
            <v>8.9999999999999998E-4</v>
          </cell>
          <cell r="S115">
            <v>0</v>
          </cell>
          <cell r="T115">
            <v>0</v>
          </cell>
        </row>
        <row r="116">
          <cell r="G116">
            <v>0</v>
          </cell>
          <cell r="H116">
            <v>8.9999999999999998E-4</v>
          </cell>
          <cell r="S116">
            <v>0</v>
          </cell>
          <cell r="T116">
            <v>0</v>
          </cell>
        </row>
        <row r="118">
          <cell r="G118">
            <v>0</v>
          </cell>
          <cell r="H118">
            <v>8.9999999999999998E-4</v>
          </cell>
          <cell r="S118">
            <v>0</v>
          </cell>
          <cell r="T118">
            <v>0</v>
          </cell>
        </row>
        <row r="119">
          <cell r="G119">
            <v>0</v>
          </cell>
          <cell r="H119">
            <v>8.9999999999999998E-4</v>
          </cell>
          <cell r="S119">
            <v>0</v>
          </cell>
          <cell r="T119">
            <v>0</v>
          </cell>
        </row>
        <row r="120">
          <cell r="G120">
            <v>0</v>
          </cell>
          <cell r="H120">
            <v>8.9999999999999998E-4</v>
          </cell>
          <cell r="S120">
            <v>0</v>
          </cell>
          <cell r="T120">
            <v>0</v>
          </cell>
        </row>
        <row r="121">
          <cell r="G121">
            <v>0</v>
          </cell>
          <cell r="H121">
            <v>8.9999999999999998E-4</v>
          </cell>
          <cell r="S121">
            <v>0</v>
          </cell>
          <cell r="T121">
            <v>0</v>
          </cell>
        </row>
        <row r="122">
          <cell r="G122">
            <v>0</v>
          </cell>
          <cell r="H122">
            <v>8.9999999999999998E-4</v>
          </cell>
          <cell r="S122">
            <v>0</v>
          </cell>
          <cell r="T122">
            <v>0</v>
          </cell>
        </row>
        <row r="123">
          <cell r="G123">
            <v>0</v>
          </cell>
          <cell r="H123">
            <v>8.9999999999999998E-4</v>
          </cell>
          <cell r="S123">
            <v>0</v>
          </cell>
          <cell r="T123">
            <v>0</v>
          </cell>
        </row>
        <row r="124">
          <cell r="G124">
            <v>0</v>
          </cell>
          <cell r="H124">
            <v>8.9999999999999998E-4</v>
          </cell>
          <cell r="S124">
            <v>0</v>
          </cell>
          <cell r="T124">
            <v>0</v>
          </cell>
        </row>
        <row r="125">
          <cell r="G125">
            <v>0</v>
          </cell>
          <cell r="H125">
            <v>8.9999999999999998E-4</v>
          </cell>
          <cell r="S125">
            <v>0</v>
          </cell>
          <cell r="T125">
            <v>0</v>
          </cell>
        </row>
        <row r="126">
          <cell r="G126">
            <v>0</v>
          </cell>
          <cell r="H126">
            <v>8.9999999999999998E-4</v>
          </cell>
          <cell r="S126">
            <v>0</v>
          </cell>
          <cell r="T126">
            <v>0</v>
          </cell>
        </row>
        <row r="128">
          <cell r="BM128">
            <v>51420.056017999996</v>
          </cell>
          <cell r="BO128">
            <v>14.056876986878075</v>
          </cell>
        </row>
        <row r="129">
          <cell r="BM129">
            <v>11234.329313999999</v>
          </cell>
          <cell r="BO129">
            <v>8.3445957914283593</v>
          </cell>
        </row>
        <row r="130">
          <cell r="BM130">
            <v>14661.184659999997</v>
          </cell>
          <cell r="BO130">
            <v>5.3294019120319867</v>
          </cell>
        </row>
        <row r="131">
          <cell r="BM131">
            <v>2658.1200000000003</v>
          </cell>
          <cell r="BO131">
            <v>3.5741831383622436</v>
          </cell>
        </row>
        <row r="132">
          <cell r="BM132">
            <v>1074.7507548807</v>
          </cell>
          <cell r="BO132">
            <v>0.90000000000000013</v>
          </cell>
        </row>
        <row r="133">
          <cell r="BO133">
            <v>8.3613989649448257</v>
          </cell>
        </row>
        <row r="135">
          <cell r="BO135">
            <v>15.297071232507058</v>
          </cell>
        </row>
        <row r="136">
          <cell r="BO136">
            <v>5.6651592356687894</v>
          </cell>
        </row>
      </sheetData>
      <sheetData sheetId="8">
        <row r="9">
          <cell r="G9" t="str">
            <v>PROPOSED TARIFFS</v>
          </cell>
        </row>
        <row r="18">
          <cell r="G18">
            <v>0.46579999999999999</v>
          </cell>
        </row>
        <row r="31">
          <cell r="G31">
            <v>0.50680000000000003</v>
          </cell>
        </row>
        <row r="39">
          <cell r="G39">
            <v>2.7808000000000002</v>
          </cell>
          <cell r="H39">
            <v>7.8899999999999998E-2</v>
          </cell>
          <cell r="Q39">
            <v>0.3962</v>
          </cell>
          <cell r="R39">
            <v>0.19600000000000001</v>
          </cell>
        </row>
        <row r="50">
          <cell r="G50">
            <v>2.7397</v>
          </cell>
          <cell r="H50">
            <v>7.6999999999999999E-2</v>
          </cell>
        </row>
        <row r="73">
          <cell r="G73">
            <v>2.7397</v>
          </cell>
          <cell r="H73">
            <v>7.5400000000000009E-2</v>
          </cell>
        </row>
        <row r="128">
          <cell r="BO128">
            <v>165.22064248332418</v>
          </cell>
        </row>
        <row r="129">
          <cell r="BO129">
            <v>145.95708880962636</v>
          </cell>
        </row>
        <row r="130">
          <cell r="BO130">
            <v>96.886890350926933</v>
          </cell>
        </row>
        <row r="131">
          <cell r="BO131">
            <v>68.822433284523342</v>
          </cell>
        </row>
        <row r="132">
          <cell r="BO132">
            <v>27.29611279459639</v>
          </cell>
        </row>
        <row r="133">
          <cell r="BO133">
            <v>118.76348449948003</v>
          </cell>
        </row>
        <row r="135">
          <cell r="BO135">
            <v>179.6779605283966</v>
          </cell>
        </row>
        <row r="136">
          <cell r="BO136">
            <v>67.395859872611467</v>
          </cell>
        </row>
      </sheetData>
      <sheetData sheetId="9">
        <row r="9">
          <cell r="G9" t="str">
            <v>FORECAST QUANTITIES</v>
          </cell>
        </row>
      </sheetData>
      <sheetData sheetId="10"/>
      <sheetData sheetId="11">
        <row r="9">
          <cell r="F9" t="str">
            <v>Non-TOU</v>
          </cell>
          <cell r="G9" t="str">
            <v>Peak</v>
          </cell>
        </row>
      </sheetData>
      <sheetData sheetId="12">
        <row r="6">
          <cell r="F6">
            <v>155.0155</v>
          </cell>
          <cell r="G6">
            <v>0</v>
          </cell>
          <cell r="H6">
            <v>15.001499999999998</v>
          </cell>
          <cell r="J6">
            <v>165.00219999999999</v>
          </cell>
          <cell r="K6">
            <v>0</v>
          </cell>
          <cell r="L6">
            <v>15</v>
          </cell>
        </row>
        <row r="7">
          <cell r="F7">
            <v>9.2299999999999993E-2</v>
          </cell>
          <cell r="G7">
            <v>3.39E-2</v>
          </cell>
          <cell r="H7">
            <v>1.1599999999999999E-2</v>
          </cell>
        </row>
        <row r="9">
          <cell r="F9">
            <v>155.0155</v>
          </cell>
          <cell r="G9">
            <v>0</v>
          </cell>
          <cell r="H9">
            <v>15.001499999999998</v>
          </cell>
        </row>
        <row r="10">
          <cell r="F10">
            <v>0.1154</v>
          </cell>
          <cell r="G10">
            <v>4.24E-2</v>
          </cell>
          <cell r="H10">
            <v>1.4500000000000001E-2</v>
          </cell>
        </row>
        <row r="11">
          <cell r="F11">
            <v>4.6199999999999998E-2</v>
          </cell>
          <cell r="G11">
            <v>1.7000000000000001E-2</v>
          </cell>
          <cell r="H11">
            <v>5.7999999999999996E-3</v>
          </cell>
        </row>
        <row r="12">
          <cell r="F12">
            <v>2.3099999999999999E-2</v>
          </cell>
          <cell r="G12">
            <v>8.5000000000000006E-3</v>
          </cell>
          <cell r="H12">
            <v>2.8999999999999998E-3</v>
          </cell>
        </row>
        <row r="14">
          <cell r="F14">
            <v>155.0155</v>
          </cell>
          <cell r="G14">
            <v>0</v>
          </cell>
          <cell r="H14">
            <v>15.001499999999998</v>
          </cell>
        </row>
        <row r="15">
          <cell r="F15">
            <v>6.9199999999999998E-2</v>
          </cell>
          <cell r="G15">
            <v>2.5399999999999999E-2</v>
          </cell>
          <cell r="H15">
            <v>8.6999999999999994E-3</v>
          </cell>
        </row>
        <row r="16">
          <cell r="F16">
            <v>2.7699999999999999E-2</v>
          </cell>
          <cell r="G16">
            <v>1.0200000000000001E-2</v>
          </cell>
          <cell r="H16">
            <v>3.5000000000000001E-3</v>
          </cell>
        </row>
        <row r="17">
          <cell r="F17">
            <v>1.38E-2</v>
          </cell>
          <cell r="G17">
            <v>5.1000000000000004E-3</v>
          </cell>
          <cell r="H17">
            <v>1.6999999999999999E-3</v>
          </cell>
        </row>
        <row r="18">
          <cell r="F18">
            <v>15.49864</v>
          </cell>
          <cell r="G18">
            <v>5.6987399999999999</v>
          </cell>
          <cell r="H18">
            <v>1.9388399999999997</v>
          </cell>
        </row>
        <row r="20">
          <cell r="F20">
            <v>4.6199999999999998E-2</v>
          </cell>
          <cell r="G20">
            <v>1.7000000000000001E-2</v>
          </cell>
          <cell r="H20">
            <v>5.7999999999999996E-3</v>
          </cell>
        </row>
        <row r="22">
          <cell r="F22">
            <v>0.1154</v>
          </cell>
          <cell r="G22">
            <v>4.24E-2</v>
          </cell>
          <cell r="H22">
            <v>1.4500000000000001E-2</v>
          </cell>
        </row>
        <row r="23">
          <cell r="F23">
            <v>4.6199999999999998E-2</v>
          </cell>
          <cell r="G23">
            <v>1.7000000000000001E-2</v>
          </cell>
          <cell r="H23">
            <v>5.7999999999999996E-3</v>
          </cell>
        </row>
        <row r="24">
          <cell r="F24">
            <v>2.3099999999999999E-2</v>
          </cell>
          <cell r="G24">
            <v>8.5000000000000006E-3</v>
          </cell>
          <cell r="H24">
            <v>2.8999999999999998E-3</v>
          </cell>
        </row>
        <row r="27">
          <cell r="F27">
            <v>169.98050000000001</v>
          </cell>
          <cell r="G27">
            <v>0</v>
          </cell>
          <cell r="H27">
            <v>15.001499999999998</v>
          </cell>
          <cell r="J27">
            <v>189.99680000000001</v>
          </cell>
          <cell r="K27">
            <v>0</v>
          </cell>
          <cell r="L27">
            <v>15</v>
          </cell>
        </row>
        <row r="28">
          <cell r="F28">
            <v>0.1045</v>
          </cell>
          <cell r="G28">
            <v>3.7199999999999997E-2</v>
          </cell>
          <cell r="H28">
            <v>8.3999999999999995E-3</v>
          </cell>
        </row>
        <row r="30">
          <cell r="F30">
            <v>169.98050000000001</v>
          </cell>
          <cell r="G30">
            <v>0</v>
          </cell>
          <cell r="H30">
            <v>15.001499999999998</v>
          </cell>
        </row>
        <row r="31">
          <cell r="F31">
            <v>0.1178</v>
          </cell>
          <cell r="G31">
            <v>4.2000000000000003E-2</v>
          </cell>
          <cell r="H31">
            <v>9.4999999999999998E-3</v>
          </cell>
        </row>
        <row r="32">
          <cell r="F32">
            <v>5.8900000000000001E-2</v>
          </cell>
          <cell r="G32">
            <v>2.1000000000000001E-2</v>
          </cell>
          <cell r="H32">
            <v>4.7000000000000002E-3</v>
          </cell>
        </row>
        <row r="34">
          <cell r="F34">
            <v>169.98050000000001</v>
          </cell>
          <cell r="G34">
            <v>0</v>
          </cell>
          <cell r="H34">
            <v>15.001499999999998</v>
          </cell>
        </row>
        <row r="35">
          <cell r="F35">
            <v>0.15679999999999999</v>
          </cell>
          <cell r="G35">
            <v>5.5899999999999998E-2</v>
          </cell>
          <cell r="H35">
            <v>1.26E-2</v>
          </cell>
        </row>
        <row r="36">
          <cell r="F36">
            <v>0.1091</v>
          </cell>
          <cell r="G36">
            <v>3.8899999999999997E-2</v>
          </cell>
          <cell r="H36">
            <v>8.8000000000000005E-3</v>
          </cell>
        </row>
        <row r="37">
          <cell r="F37">
            <v>5.8900000000000001E-2</v>
          </cell>
          <cell r="G37">
            <v>2.1000000000000001E-2</v>
          </cell>
          <cell r="H37">
            <v>4.7000000000000002E-3</v>
          </cell>
        </row>
        <row r="39">
          <cell r="F39">
            <v>169.98050000000001</v>
          </cell>
          <cell r="G39">
            <v>0</v>
          </cell>
          <cell r="H39">
            <v>15.001499999999998</v>
          </cell>
        </row>
        <row r="40">
          <cell r="F40">
            <v>29.710999999999999</v>
          </cell>
          <cell r="G40">
            <v>0</v>
          </cell>
          <cell r="H40">
            <v>0</v>
          </cell>
        </row>
        <row r="41">
          <cell r="F41">
            <v>0.1255</v>
          </cell>
          <cell r="G41">
            <v>4.4699999999999997E-2</v>
          </cell>
          <cell r="H41">
            <v>1.01E-2</v>
          </cell>
        </row>
        <row r="42">
          <cell r="F42">
            <v>8.7300000000000003E-2</v>
          </cell>
          <cell r="G42">
            <v>3.1099999999999999E-2</v>
          </cell>
          <cell r="H42">
            <v>7.0000000000000001E-3</v>
          </cell>
        </row>
        <row r="43">
          <cell r="F43">
            <v>4.7100000000000003E-2</v>
          </cell>
          <cell r="G43">
            <v>1.6799999999999999E-2</v>
          </cell>
          <cell r="H43">
            <v>3.8E-3</v>
          </cell>
        </row>
        <row r="45">
          <cell r="F45">
            <v>999.9905</v>
          </cell>
          <cell r="G45">
            <v>0</v>
          </cell>
          <cell r="H45">
            <v>15.001499999999998</v>
          </cell>
          <cell r="J45">
            <v>1999.9967999999999</v>
          </cell>
          <cell r="K45">
            <v>0</v>
          </cell>
          <cell r="L45">
            <v>15</v>
          </cell>
        </row>
        <row r="46">
          <cell r="F46">
            <v>9.3438800000000004</v>
          </cell>
          <cell r="G46">
            <v>2.6213600000000001</v>
          </cell>
          <cell r="H46">
            <v>0</v>
          </cell>
        </row>
        <row r="47">
          <cell r="F47">
            <v>4.6567916666666669</v>
          </cell>
          <cell r="G47">
            <v>1.304875</v>
          </cell>
          <cell r="H47">
            <v>0</v>
          </cell>
        </row>
        <row r="48">
          <cell r="F48">
            <v>5.1499999999999997E-2</v>
          </cell>
          <cell r="G48">
            <v>2.0299999999999999E-2</v>
          </cell>
          <cell r="H48">
            <v>7.1000000000000004E-3</v>
          </cell>
          <cell r="J48">
            <v>5.8699999999999995E-2</v>
          </cell>
          <cell r="K48">
            <v>2.3100000000000002E-2</v>
          </cell>
          <cell r="L48">
            <v>7.1000000000000004E-3</v>
          </cell>
        </row>
        <row r="50">
          <cell r="F50">
            <v>4.6199999999999998E-2</v>
          </cell>
          <cell r="G50">
            <v>1.7000000000000001E-2</v>
          </cell>
          <cell r="H50">
            <v>5.7999999999999996E-3</v>
          </cell>
        </row>
        <row r="52">
          <cell r="F52">
            <v>6.8000000000000005E-2</v>
          </cell>
          <cell r="G52">
            <v>2.52E-2</v>
          </cell>
          <cell r="H52">
            <v>5.1999999999999998E-3</v>
          </cell>
        </row>
        <row r="64">
          <cell r="F64">
            <v>2499.9945000000002</v>
          </cell>
          <cell r="G64">
            <v>0</v>
          </cell>
          <cell r="H64">
            <v>0</v>
          </cell>
        </row>
        <row r="65">
          <cell r="F65">
            <v>52.924999999999997</v>
          </cell>
          <cell r="G65">
            <v>39.529499999999999</v>
          </cell>
          <cell r="H65">
            <v>0</v>
          </cell>
        </row>
        <row r="66">
          <cell r="F66">
            <v>37.814</v>
          </cell>
          <cell r="G66">
            <v>0</v>
          </cell>
          <cell r="H66">
            <v>0</v>
          </cell>
        </row>
        <row r="67">
          <cell r="F67">
            <v>4.2099999999999999E-2</v>
          </cell>
          <cell r="G67">
            <v>1.7600000000000001E-2</v>
          </cell>
          <cell r="H67">
            <v>6.4999999999999997E-3</v>
          </cell>
        </row>
        <row r="68">
          <cell r="F68">
            <v>2.63E-2</v>
          </cell>
          <cell r="G68">
            <v>1.0999999999999999E-2</v>
          </cell>
          <cell r="H68">
            <v>4.1000000000000003E-3</v>
          </cell>
        </row>
        <row r="70">
          <cell r="F70">
            <v>2499.9945000000002</v>
          </cell>
          <cell r="G70">
            <v>0</v>
          </cell>
          <cell r="H70">
            <v>0</v>
          </cell>
        </row>
        <row r="71">
          <cell r="F71">
            <v>15.876139999999998</v>
          </cell>
          <cell r="G71">
            <v>11.85652</v>
          </cell>
          <cell r="H71">
            <v>0</v>
          </cell>
        </row>
        <row r="72">
          <cell r="F72">
            <v>37.814</v>
          </cell>
          <cell r="G72">
            <v>0</v>
          </cell>
          <cell r="H72">
            <v>0</v>
          </cell>
        </row>
        <row r="73">
          <cell r="F73">
            <v>4.2099999999999999E-2</v>
          </cell>
          <cell r="G73">
            <v>1.7600000000000001E-2</v>
          </cell>
          <cell r="H73">
            <v>6.4999999999999997E-3</v>
          </cell>
        </row>
        <row r="74">
          <cell r="F74">
            <v>2.63E-2</v>
          </cell>
          <cell r="G74">
            <v>1.0999999999999999E-2</v>
          </cell>
          <cell r="H74">
            <v>4.1000000000000003E-3</v>
          </cell>
        </row>
        <row r="76">
          <cell r="F76">
            <v>999.9905</v>
          </cell>
          <cell r="G76">
            <v>0</v>
          </cell>
          <cell r="H76">
            <v>0</v>
          </cell>
          <cell r="J76">
            <v>1999.9967999999999</v>
          </cell>
          <cell r="K76">
            <v>0</v>
          </cell>
          <cell r="L76">
            <v>0</v>
          </cell>
        </row>
        <row r="77">
          <cell r="F77">
            <v>9.3438800000000004</v>
          </cell>
          <cell r="G77">
            <v>2.6213600000000001</v>
          </cell>
          <cell r="H77">
            <v>0</v>
          </cell>
        </row>
        <row r="78">
          <cell r="F78">
            <v>4.6567916666666669</v>
          </cell>
          <cell r="G78">
            <v>1.304875</v>
          </cell>
          <cell r="H78">
            <v>0</v>
          </cell>
        </row>
        <row r="79">
          <cell r="F79">
            <v>5.1499999999999997E-2</v>
          </cell>
          <cell r="G79">
            <v>2.0299999999999999E-2</v>
          </cell>
          <cell r="H79">
            <v>5.1999999999999998E-3</v>
          </cell>
          <cell r="J79">
            <v>5.8699999999999995E-2</v>
          </cell>
          <cell r="K79">
            <v>2.3100000000000002E-2</v>
          </cell>
          <cell r="L79">
            <v>5.1999999999999998E-3</v>
          </cell>
        </row>
        <row r="81">
          <cell r="F81">
            <v>169.98050000000001</v>
          </cell>
          <cell r="G81">
            <v>0</v>
          </cell>
          <cell r="H81">
            <v>15.001499999999998</v>
          </cell>
        </row>
        <row r="82">
          <cell r="F82">
            <v>0.1255</v>
          </cell>
          <cell r="G82">
            <v>4.4699999999999997E-2</v>
          </cell>
          <cell r="H82">
            <v>1.01E-2</v>
          </cell>
        </row>
        <row r="84">
          <cell r="F84">
            <v>169.98050000000001</v>
          </cell>
          <cell r="G84">
            <v>0</v>
          </cell>
          <cell r="H84">
            <v>15.001499999999998</v>
          </cell>
        </row>
        <row r="85">
          <cell r="F85">
            <v>0.1414</v>
          </cell>
          <cell r="G85">
            <v>5.04E-2</v>
          </cell>
          <cell r="H85">
            <v>1.14E-2</v>
          </cell>
        </row>
        <row r="86">
          <cell r="F86">
            <v>7.0699999999999999E-2</v>
          </cell>
          <cell r="G86">
            <v>2.52E-2</v>
          </cell>
          <cell r="H86">
            <v>5.7000000000000002E-3</v>
          </cell>
        </row>
        <row r="88">
          <cell r="F88">
            <v>2499.9945000000002</v>
          </cell>
          <cell r="G88">
            <v>0</v>
          </cell>
          <cell r="H88">
            <v>0</v>
          </cell>
        </row>
        <row r="89">
          <cell r="F89">
            <v>52.924999999999997</v>
          </cell>
          <cell r="G89">
            <v>39.529499999999999</v>
          </cell>
          <cell r="H89">
            <v>0</v>
          </cell>
        </row>
        <row r="90">
          <cell r="F90">
            <v>37.814</v>
          </cell>
          <cell r="G90">
            <v>0</v>
          </cell>
          <cell r="H90">
            <v>0</v>
          </cell>
        </row>
        <row r="104">
          <cell r="F104">
            <v>15000.003500000001</v>
          </cell>
          <cell r="G104">
            <v>0</v>
          </cell>
          <cell r="H104">
            <v>0</v>
          </cell>
        </row>
        <row r="105">
          <cell r="F105">
            <v>38.872500000000002</v>
          </cell>
          <cell r="G105">
            <v>39.529499999999999</v>
          </cell>
          <cell r="H105">
            <v>0</v>
          </cell>
        </row>
        <row r="106">
          <cell r="F106">
            <v>37.814</v>
          </cell>
          <cell r="G106">
            <v>0</v>
          </cell>
          <cell r="H106">
            <v>0</v>
          </cell>
        </row>
        <row r="107">
          <cell r="F107">
            <v>2.3900000000000001E-2</v>
          </cell>
          <cell r="G107">
            <v>1.3100000000000001E-2</v>
          </cell>
          <cell r="H107">
            <v>4.4000000000000003E-3</v>
          </cell>
        </row>
        <row r="108">
          <cell r="F108">
            <v>1.49E-2</v>
          </cell>
          <cell r="G108">
            <v>8.2000000000000007E-3</v>
          </cell>
          <cell r="H108">
            <v>2.8E-3</v>
          </cell>
        </row>
        <row r="110">
          <cell r="F110">
            <v>15000.003500000001</v>
          </cell>
          <cell r="G110">
            <v>0</v>
          </cell>
          <cell r="H110">
            <v>0</v>
          </cell>
        </row>
        <row r="111">
          <cell r="F111">
            <v>11.663239999999998</v>
          </cell>
          <cell r="G111">
            <v>11.85652</v>
          </cell>
          <cell r="H111">
            <v>0</v>
          </cell>
        </row>
        <row r="112">
          <cell r="F112">
            <v>37.814</v>
          </cell>
          <cell r="G112">
            <v>0</v>
          </cell>
          <cell r="H112">
            <v>0</v>
          </cell>
        </row>
        <row r="113">
          <cell r="F113">
            <v>2.3900000000000001E-2</v>
          </cell>
          <cell r="G113">
            <v>1.3100000000000001E-2</v>
          </cell>
          <cell r="H113">
            <v>4.4000000000000003E-3</v>
          </cell>
        </row>
        <row r="114">
          <cell r="F114">
            <v>1.49E-2</v>
          </cell>
          <cell r="G114">
            <v>8.2000000000000007E-3</v>
          </cell>
          <cell r="H114">
            <v>2.8E-3</v>
          </cell>
        </row>
        <row r="116">
          <cell r="F116">
            <v>2499.9945000000002</v>
          </cell>
          <cell r="G116">
            <v>0</v>
          </cell>
          <cell r="H116">
            <v>0</v>
          </cell>
        </row>
        <row r="117">
          <cell r="F117">
            <v>52.924999999999997</v>
          </cell>
          <cell r="G117">
            <v>39.529499999999999</v>
          </cell>
          <cell r="H117">
            <v>0</v>
          </cell>
        </row>
        <row r="118">
          <cell r="F118">
            <v>37.814</v>
          </cell>
          <cell r="G118">
            <v>0</v>
          </cell>
          <cell r="H118">
            <v>0</v>
          </cell>
        </row>
        <row r="119">
          <cell r="F119">
            <v>4.2099999999999999E-2</v>
          </cell>
          <cell r="G119">
            <v>1.7600000000000001E-2</v>
          </cell>
          <cell r="H119">
            <v>4.4000000000000003E-3</v>
          </cell>
        </row>
        <row r="120">
          <cell r="F120">
            <v>2.63E-2</v>
          </cell>
          <cell r="G120">
            <v>1.0999999999999999E-2</v>
          </cell>
          <cell r="H120">
            <v>2.8E-3</v>
          </cell>
        </row>
        <row r="122">
          <cell r="F122">
            <v>999.9905</v>
          </cell>
          <cell r="G122">
            <v>0</v>
          </cell>
          <cell r="H122">
            <v>0</v>
          </cell>
          <cell r="J122">
            <v>1999.9967999999999</v>
          </cell>
          <cell r="K122">
            <v>0</v>
          </cell>
          <cell r="L122">
            <v>0</v>
          </cell>
        </row>
        <row r="123">
          <cell r="F123">
            <v>9.3438800000000004</v>
          </cell>
          <cell r="G123">
            <v>2.6213600000000001</v>
          </cell>
          <cell r="H123">
            <v>0</v>
          </cell>
        </row>
        <row r="124">
          <cell r="F124">
            <v>4.6567916666666669</v>
          </cell>
          <cell r="G124">
            <v>1.304875</v>
          </cell>
          <cell r="H124">
            <v>0</v>
          </cell>
        </row>
        <row r="125">
          <cell r="F125">
            <v>5.1499999999999997E-2</v>
          </cell>
          <cell r="G125">
            <v>2.0299999999999999E-2</v>
          </cell>
          <cell r="H125">
            <v>3.5999999999999999E-3</v>
          </cell>
          <cell r="J125">
            <v>5.8699999999999995E-2</v>
          </cell>
          <cell r="K125">
            <v>2.3100000000000002E-2</v>
          </cell>
          <cell r="L125">
            <v>3.5999999999999999E-3</v>
          </cell>
        </row>
        <row r="127">
          <cell r="G127">
            <v>0</v>
          </cell>
          <cell r="H127">
            <v>0</v>
          </cell>
        </row>
        <row r="128">
          <cell r="H128">
            <v>0</v>
          </cell>
        </row>
        <row r="129">
          <cell r="H129">
            <v>0</v>
          </cell>
        </row>
        <row r="134">
          <cell r="F134">
            <v>0</v>
          </cell>
          <cell r="G134">
            <v>0</v>
          </cell>
          <cell r="H134">
            <v>0</v>
          </cell>
        </row>
        <row r="135">
          <cell r="F135">
            <v>15.110999999999999</v>
          </cell>
          <cell r="G135">
            <v>39.529499999999999</v>
          </cell>
          <cell r="H135">
            <v>0</v>
          </cell>
        </row>
        <row r="136">
          <cell r="F136">
            <v>27.009999999999998</v>
          </cell>
          <cell r="G136">
            <v>0</v>
          </cell>
          <cell r="H136">
            <v>0</v>
          </cell>
        </row>
        <row r="137">
          <cell r="F137">
            <v>4.4000000000000003E-3</v>
          </cell>
          <cell r="G137">
            <v>8.2000000000000007E-3</v>
          </cell>
          <cell r="H137">
            <v>8.9999999999999998E-4</v>
          </cell>
        </row>
        <row r="139">
          <cell r="F139">
            <v>0</v>
          </cell>
          <cell r="G139">
            <v>0</v>
          </cell>
          <cell r="H139">
            <v>0</v>
          </cell>
        </row>
        <row r="140">
          <cell r="F140">
            <v>0</v>
          </cell>
          <cell r="G140">
            <v>39.529499999999999</v>
          </cell>
          <cell r="H140">
            <v>0</v>
          </cell>
        </row>
        <row r="141">
          <cell r="F141">
            <v>15.110999999999999</v>
          </cell>
          <cell r="G141">
            <v>0</v>
          </cell>
          <cell r="H141">
            <v>0</v>
          </cell>
        </row>
        <row r="142">
          <cell r="F142">
            <v>1.6000000000000001E-3</v>
          </cell>
          <cell r="G142">
            <v>8.2000000000000007E-3</v>
          </cell>
          <cell r="H142">
            <v>8.9999999999999998E-4</v>
          </cell>
        </row>
      </sheetData>
      <sheetData sheetId="13">
        <row r="9">
          <cell r="G9">
            <v>181685.81889015046</v>
          </cell>
        </row>
      </sheetData>
      <sheetData sheetId="14">
        <row r="9">
          <cell r="F9" t="str">
            <v>2017/18</v>
          </cell>
          <cell r="G9" t="str">
            <v>2018/19</v>
          </cell>
        </row>
      </sheetData>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ustomer nos and Demand 2018"/>
      <sheetName val="Customer nos and Demand 2019"/>
      <sheetName val="Billing Qty 2020 estimate"/>
      <sheetName val="Billing Qty 2021 OLD Format"/>
      <sheetName val="Billing Qty 2021 NEW Format"/>
      <sheetName val="CHARTS 2021"/>
      <sheetName val="CHARTS 2022"/>
      <sheetName val="Billing Qty 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8">
          <cell r="G18">
            <v>231964800</v>
          </cell>
          <cell r="H18">
            <v>2400100</v>
          </cell>
        </row>
        <row r="19">
          <cell r="G19"/>
          <cell r="H19"/>
          <cell r="L19">
            <v>361300</v>
          </cell>
        </row>
        <row r="21">
          <cell r="G21">
            <v>0</v>
          </cell>
          <cell r="H21"/>
          <cell r="M21">
            <v>0</v>
          </cell>
          <cell r="N21">
            <v>0</v>
          </cell>
          <cell r="O21">
            <v>0</v>
          </cell>
        </row>
        <row r="22">
          <cell r="G22">
            <v>61281675</v>
          </cell>
          <cell r="I22">
            <v>569600</v>
          </cell>
          <cell r="J22">
            <v>113900</v>
          </cell>
          <cell r="K22">
            <v>126700</v>
          </cell>
        </row>
        <row r="23">
          <cell r="G23"/>
          <cell r="I23"/>
          <cell r="J23"/>
          <cell r="K23"/>
          <cell r="M23">
            <v>0</v>
          </cell>
          <cell r="N23">
            <v>92600</v>
          </cell>
          <cell r="O23">
            <v>23100</v>
          </cell>
        </row>
        <row r="24">
          <cell r="G24">
            <v>743870</v>
          </cell>
          <cell r="I24">
            <v>900</v>
          </cell>
          <cell r="J24">
            <v>900</v>
          </cell>
          <cell r="K24">
            <v>500</v>
          </cell>
          <cell r="U24">
            <v>892790</v>
          </cell>
        </row>
        <row r="25">
          <cell r="G25"/>
          <cell r="I25"/>
          <cell r="J25"/>
          <cell r="K25"/>
          <cell r="M25">
            <v>0</v>
          </cell>
          <cell r="N25">
            <v>0</v>
          </cell>
          <cell r="O25">
            <v>0</v>
          </cell>
          <cell r="U25"/>
        </row>
        <row r="27">
          <cell r="G27"/>
          <cell r="I27"/>
          <cell r="J27"/>
          <cell r="K27"/>
          <cell r="M27">
            <v>0</v>
          </cell>
          <cell r="N27">
            <v>0</v>
          </cell>
          <cell r="O27">
            <v>0</v>
          </cell>
        </row>
        <row r="30">
          <cell r="G30"/>
          <cell r="H30">
            <v>91000</v>
          </cell>
        </row>
        <row r="31">
          <cell r="G31"/>
          <cell r="H31">
            <v>17000</v>
          </cell>
        </row>
        <row r="33">
          <cell r="G33">
            <v>16762625</v>
          </cell>
          <cell r="H33">
            <v>322200</v>
          </cell>
        </row>
        <row r="34">
          <cell r="G34"/>
          <cell r="H34"/>
          <cell r="L34">
            <v>3000</v>
          </cell>
        </row>
        <row r="35">
          <cell r="G35">
            <v>8452305</v>
          </cell>
          <cell r="I35">
            <v>163500</v>
          </cell>
          <cell r="K35">
            <v>147200</v>
          </cell>
        </row>
        <row r="36">
          <cell r="G36"/>
          <cell r="I36"/>
          <cell r="K36"/>
          <cell r="L36">
            <v>3000</v>
          </cell>
        </row>
        <row r="37">
          <cell r="G37"/>
          <cell r="L37"/>
        </row>
        <row r="39">
          <cell r="G39">
            <v>8194980</v>
          </cell>
          <cell r="I39">
            <v>32400</v>
          </cell>
          <cell r="J39">
            <v>231500</v>
          </cell>
          <cell r="K39">
            <v>204400</v>
          </cell>
        </row>
        <row r="40">
          <cell r="G40">
            <v>568305</v>
          </cell>
          <cell r="I40">
            <v>4700</v>
          </cell>
          <cell r="J40">
            <v>40800</v>
          </cell>
          <cell r="K40">
            <v>27600</v>
          </cell>
          <cell r="T40">
            <v>27963015</v>
          </cell>
        </row>
        <row r="41">
          <cell r="G41">
            <v>251120</v>
          </cell>
          <cell r="H41">
            <v>17200</v>
          </cell>
          <cell r="Q41">
            <v>1070741</v>
          </cell>
          <cell r="R41">
            <v>2717425</v>
          </cell>
        </row>
        <row r="44">
          <cell r="G44">
            <v>0</v>
          </cell>
          <cell r="H44">
            <v>0</v>
          </cell>
        </row>
        <row r="45">
          <cell r="G45"/>
          <cell r="H45"/>
          <cell r="L45">
            <v>0</v>
          </cell>
        </row>
        <row r="46">
          <cell r="G46">
            <v>0</v>
          </cell>
          <cell r="I46">
            <v>0</v>
          </cell>
          <cell r="K46">
            <v>0</v>
          </cell>
        </row>
        <row r="47">
          <cell r="G47"/>
          <cell r="I47"/>
          <cell r="K47"/>
          <cell r="L47">
            <v>0</v>
          </cell>
        </row>
        <row r="49">
          <cell r="G49">
            <v>1834125</v>
          </cell>
          <cell r="I49">
            <v>1289849</v>
          </cell>
          <cell r="K49">
            <v>1151747</v>
          </cell>
          <cell r="S49">
            <v>227186585</v>
          </cell>
          <cell r="T49">
            <v>311083660</v>
          </cell>
        </row>
        <row r="50">
          <cell r="G50">
            <v>101105</v>
          </cell>
          <cell r="I50">
            <v>72420</v>
          </cell>
          <cell r="K50">
            <v>52230</v>
          </cell>
          <cell r="P50">
            <v>3434193</v>
          </cell>
          <cell r="T50">
            <v>27420260</v>
          </cell>
        </row>
        <row r="52">
          <cell r="G52">
            <v>12410</v>
          </cell>
          <cell r="H52">
            <v>10000</v>
          </cell>
          <cell r="I52"/>
          <cell r="Q52">
            <v>757869</v>
          </cell>
          <cell r="R52">
            <v>1631915</v>
          </cell>
        </row>
        <row r="53">
          <cell r="G53">
            <v>1460</v>
          </cell>
          <cell r="I53">
            <v>700</v>
          </cell>
          <cell r="K53">
            <v>600</v>
          </cell>
          <cell r="S53">
            <v>0</v>
          </cell>
          <cell r="T53">
            <v>163155</v>
          </cell>
        </row>
        <row r="55">
          <cell r="G55">
            <v>365</v>
          </cell>
          <cell r="I55">
            <v>894</v>
          </cell>
          <cell r="K55">
            <v>1055</v>
          </cell>
          <cell r="S55">
            <v>308790</v>
          </cell>
          <cell r="T55">
            <v>327405</v>
          </cell>
        </row>
        <row r="56">
          <cell r="G56">
            <v>365</v>
          </cell>
          <cell r="I56">
            <v>591</v>
          </cell>
          <cell r="K56">
            <v>1952</v>
          </cell>
          <cell r="S56">
            <v>202575</v>
          </cell>
          <cell r="T56">
            <v>325945</v>
          </cell>
        </row>
        <row r="58">
          <cell r="G58">
            <v>365</v>
          </cell>
          <cell r="I58">
            <v>983</v>
          </cell>
          <cell r="K58">
            <v>1150</v>
          </cell>
          <cell r="S58">
            <v>292365</v>
          </cell>
          <cell r="T58">
            <v>347480</v>
          </cell>
        </row>
        <row r="59">
          <cell r="G59">
            <v>365</v>
          </cell>
          <cell r="I59">
            <v>998</v>
          </cell>
          <cell r="K59">
            <v>2039</v>
          </cell>
          <cell r="S59">
            <v>225935</v>
          </cell>
          <cell r="T59">
            <v>291270</v>
          </cell>
        </row>
        <row r="60">
          <cell r="G60">
            <v>365</v>
          </cell>
          <cell r="I60">
            <v>3547</v>
          </cell>
          <cell r="K60">
            <v>3188</v>
          </cell>
          <cell r="S60">
            <v>810665</v>
          </cell>
          <cell r="T60">
            <v>874175</v>
          </cell>
        </row>
        <row r="61">
          <cell r="G61">
            <v>365</v>
          </cell>
          <cell r="I61">
            <v>375</v>
          </cell>
          <cell r="K61">
            <v>1089</v>
          </cell>
          <cell r="S61">
            <v>452235</v>
          </cell>
          <cell r="T61">
            <v>485450</v>
          </cell>
        </row>
        <row r="62">
          <cell r="G62">
            <v>365</v>
          </cell>
          <cell r="I62">
            <v>1176</v>
          </cell>
          <cell r="K62">
            <v>2059</v>
          </cell>
          <cell r="S62">
            <v>308790</v>
          </cell>
          <cell r="T62">
            <v>327405</v>
          </cell>
        </row>
        <row r="63">
          <cell r="G63">
            <v>365</v>
          </cell>
          <cell r="I63">
            <v>430</v>
          </cell>
          <cell r="K63">
            <v>566</v>
          </cell>
          <cell r="S63">
            <v>101470</v>
          </cell>
          <cell r="T63">
            <v>114245</v>
          </cell>
        </row>
        <row r="64">
          <cell r="G64">
            <v>365</v>
          </cell>
          <cell r="I64">
            <v>378</v>
          </cell>
          <cell r="K64">
            <v>601</v>
          </cell>
          <cell r="S64">
            <v>109865</v>
          </cell>
          <cell r="T64">
            <v>127385</v>
          </cell>
        </row>
        <row r="66">
          <cell r="G66">
            <v>365</v>
          </cell>
          <cell r="I66">
            <v>6537</v>
          </cell>
          <cell r="K66">
            <v>6914</v>
          </cell>
          <cell r="S66">
            <v>1054120</v>
          </cell>
          <cell r="T66">
            <v>1228955</v>
          </cell>
        </row>
        <row r="67">
          <cell r="G67">
            <v>365</v>
          </cell>
          <cell r="I67">
            <v>382</v>
          </cell>
          <cell r="K67">
            <v>484</v>
          </cell>
          <cell r="S67">
            <v>55480</v>
          </cell>
          <cell r="T67">
            <v>88695</v>
          </cell>
        </row>
        <row r="68">
          <cell r="G68">
            <v>365</v>
          </cell>
          <cell r="I68">
            <v>3654</v>
          </cell>
          <cell r="K68">
            <v>5611</v>
          </cell>
          <cell r="S68">
            <v>1109600</v>
          </cell>
          <cell r="T68">
            <v>1332615</v>
          </cell>
        </row>
        <row r="69">
          <cell r="G69">
            <v>365</v>
          </cell>
          <cell r="I69">
            <v>1080</v>
          </cell>
          <cell r="K69">
            <v>1670</v>
          </cell>
          <cell r="P69">
            <v>120951</v>
          </cell>
          <cell r="T69">
            <v>519395</v>
          </cell>
        </row>
        <row r="72">
          <cell r="G72">
            <v>54385</v>
          </cell>
          <cell r="I72">
            <v>302924</v>
          </cell>
          <cell r="K72">
            <v>284422</v>
          </cell>
          <cell r="S72">
            <v>55047596.666666664</v>
          </cell>
          <cell r="T72">
            <v>69993130</v>
          </cell>
        </row>
        <row r="73">
          <cell r="G73">
            <v>5110</v>
          </cell>
          <cell r="I73">
            <v>25900</v>
          </cell>
          <cell r="K73">
            <v>25000</v>
          </cell>
          <cell r="P73">
            <v>1488105</v>
          </cell>
          <cell r="T73">
            <v>9556795</v>
          </cell>
        </row>
        <row r="75">
          <cell r="G75">
            <v>0</v>
          </cell>
          <cell r="H75">
            <v>0</v>
          </cell>
          <cell r="Q75">
            <v>0</v>
          </cell>
          <cell r="R75">
            <v>0</v>
          </cell>
        </row>
        <row r="76">
          <cell r="G76">
            <v>8760</v>
          </cell>
          <cell r="I76">
            <v>6100</v>
          </cell>
          <cell r="K76">
            <v>4800</v>
          </cell>
          <cell r="S76">
            <v>799715</v>
          </cell>
          <cell r="T76">
            <v>1893985</v>
          </cell>
        </row>
        <row r="77">
          <cell r="G77">
            <v>3285</v>
          </cell>
          <cell r="I77">
            <v>1400</v>
          </cell>
          <cell r="K77">
            <v>1300</v>
          </cell>
          <cell r="S77">
            <v>0</v>
          </cell>
          <cell r="T77">
            <v>321200</v>
          </cell>
        </row>
        <row r="81">
          <cell r="G81">
            <v>365</v>
          </cell>
          <cell r="I81">
            <v>6380</v>
          </cell>
          <cell r="K81">
            <v>13882</v>
          </cell>
          <cell r="S81">
            <v>516353.33333333337</v>
          </cell>
          <cell r="T81">
            <v>2083785</v>
          </cell>
        </row>
        <row r="85">
          <cell r="G85">
            <v>365</v>
          </cell>
          <cell r="I85">
            <v>11400</v>
          </cell>
          <cell r="K85">
            <v>11400</v>
          </cell>
          <cell r="S85">
            <v>1572055</v>
          </cell>
          <cell r="T85">
            <v>1667685</v>
          </cell>
        </row>
        <row r="86">
          <cell r="G86">
            <v>365</v>
          </cell>
          <cell r="I86">
            <v>10400</v>
          </cell>
          <cell r="K86">
            <v>9600</v>
          </cell>
          <cell r="S86">
            <v>1488105</v>
          </cell>
          <cell r="T86">
            <v>1766235</v>
          </cell>
        </row>
        <row r="96">
          <cell r="G96"/>
          <cell r="H96"/>
          <cell r="S96"/>
          <cell r="T96"/>
        </row>
        <row r="97">
          <cell r="G97">
            <v>365</v>
          </cell>
          <cell r="H97">
            <v>17740</v>
          </cell>
          <cell r="S97">
            <v>1421310</v>
          </cell>
          <cell r="T97">
            <v>1825000</v>
          </cell>
        </row>
        <row r="98">
          <cell r="G98">
            <v>365</v>
          </cell>
          <cell r="H98">
            <v>24440</v>
          </cell>
          <cell r="S98">
            <v>1469855</v>
          </cell>
          <cell r="T98">
            <v>1825000</v>
          </cell>
        </row>
        <row r="99">
          <cell r="G99">
            <v>365</v>
          </cell>
          <cell r="H99">
            <v>11380</v>
          </cell>
          <cell r="S99">
            <v>858480</v>
          </cell>
          <cell r="T99">
            <v>1825000</v>
          </cell>
        </row>
        <row r="100">
          <cell r="G100">
            <v>365</v>
          </cell>
          <cell r="H100">
            <v>25030</v>
          </cell>
          <cell r="S100">
            <v>2326145</v>
          </cell>
          <cell r="T100">
            <v>2562665</v>
          </cell>
        </row>
        <row r="101">
          <cell r="G101">
            <v>365</v>
          </cell>
          <cell r="H101">
            <v>11592</v>
          </cell>
          <cell r="S101">
            <v>1096825</v>
          </cell>
          <cell r="T101">
            <v>1825000</v>
          </cell>
        </row>
        <row r="102">
          <cell r="G102">
            <v>365</v>
          </cell>
          <cell r="H102">
            <v>2960</v>
          </cell>
          <cell r="S102">
            <v>1301225</v>
          </cell>
          <cell r="T102">
            <v>1928660</v>
          </cell>
        </row>
        <row r="103">
          <cell r="G103">
            <v>365</v>
          </cell>
          <cell r="H103">
            <v>24300</v>
          </cell>
          <cell r="S103">
            <v>1595780</v>
          </cell>
          <cell r="T103">
            <v>1825000</v>
          </cell>
        </row>
        <row r="105">
          <cell r="G105">
            <v>365</v>
          </cell>
          <cell r="H105">
            <v>70500</v>
          </cell>
          <cell r="S105">
            <v>3784320</v>
          </cell>
          <cell r="T105">
            <v>4155525</v>
          </cell>
        </row>
        <row r="106">
          <cell r="G106">
            <v>365</v>
          </cell>
          <cell r="H106">
            <v>170500</v>
          </cell>
          <cell r="S106">
            <v>8823875</v>
          </cell>
          <cell r="T106">
            <v>9653520</v>
          </cell>
        </row>
        <row r="107">
          <cell r="G107">
            <v>365</v>
          </cell>
          <cell r="H107">
            <v>24900</v>
          </cell>
          <cell r="S107">
            <v>1485550</v>
          </cell>
          <cell r="T107">
            <v>1825000</v>
          </cell>
        </row>
        <row r="108">
          <cell r="G108">
            <v>365</v>
          </cell>
          <cell r="H108">
            <v>25400</v>
          </cell>
          <cell r="S108">
            <v>2735675</v>
          </cell>
          <cell r="T108">
            <v>2950660</v>
          </cell>
        </row>
        <row r="109">
          <cell r="G109">
            <v>365</v>
          </cell>
          <cell r="H109">
            <v>11150</v>
          </cell>
          <cell r="S109">
            <v>1002290</v>
          </cell>
          <cell r="T109">
            <v>1825000</v>
          </cell>
        </row>
        <row r="110">
          <cell r="G110">
            <v>365</v>
          </cell>
          <cell r="H110">
            <v>10630</v>
          </cell>
          <cell r="S110">
            <v>604805</v>
          </cell>
          <cell r="T110">
            <v>1825000</v>
          </cell>
        </row>
        <row r="111">
          <cell r="G111">
            <v>365</v>
          </cell>
          <cell r="H111">
            <v>4130</v>
          </cell>
          <cell r="S111">
            <v>214255</v>
          </cell>
          <cell r="T111">
            <v>1825000</v>
          </cell>
        </row>
        <row r="112">
          <cell r="G112">
            <v>365</v>
          </cell>
          <cell r="H112">
            <v>30300</v>
          </cell>
          <cell r="S112">
            <v>3612405</v>
          </cell>
          <cell r="T112">
            <v>4752665</v>
          </cell>
        </row>
        <row r="113">
          <cell r="G113">
            <v>365</v>
          </cell>
          <cell r="H113">
            <v>47800</v>
          </cell>
          <cell r="S113">
            <v>2413745</v>
          </cell>
          <cell r="T113">
            <v>2636760</v>
          </cell>
        </row>
        <row r="114">
          <cell r="G114">
            <v>365</v>
          </cell>
          <cell r="H114">
            <v>2860</v>
          </cell>
          <cell r="S114">
            <v>467200</v>
          </cell>
          <cell r="T114">
            <v>1825000</v>
          </cell>
        </row>
        <row r="116">
          <cell r="G116"/>
          <cell r="H116">
            <v>0</v>
          </cell>
          <cell r="S116">
            <v>0</v>
          </cell>
          <cell r="T116">
            <v>0</v>
          </cell>
        </row>
        <row r="117">
          <cell r="G117">
            <v>365</v>
          </cell>
          <cell r="H117">
            <v>7500</v>
          </cell>
          <cell r="S117">
            <v>784750</v>
          </cell>
          <cell r="T117">
            <v>1825000</v>
          </cell>
        </row>
        <row r="118">
          <cell r="G118">
            <v>365</v>
          </cell>
          <cell r="H118">
            <v>2200</v>
          </cell>
          <cell r="S118">
            <v>266085</v>
          </cell>
          <cell r="T118">
            <v>1825000</v>
          </cell>
        </row>
        <row r="119">
          <cell r="G119">
            <v>365</v>
          </cell>
          <cell r="H119">
            <v>8180</v>
          </cell>
          <cell r="S119">
            <v>1223480</v>
          </cell>
          <cell r="T119">
            <v>1825000</v>
          </cell>
        </row>
        <row r="121">
          <cell r="G121">
            <v>365</v>
          </cell>
          <cell r="H121">
            <v>141500</v>
          </cell>
          <cell r="S121">
            <v>7195245</v>
          </cell>
          <cell r="T121">
            <v>7804065</v>
          </cell>
        </row>
        <row r="122">
          <cell r="G122">
            <v>365</v>
          </cell>
          <cell r="H122">
            <v>270100</v>
          </cell>
          <cell r="S122">
            <v>10220000</v>
          </cell>
          <cell r="T122">
            <v>18804070</v>
          </cell>
        </row>
        <row r="123">
          <cell r="G123">
            <v>365</v>
          </cell>
          <cell r="H123">
            <v>21000</v>
          </cell>
          <cell r="S123">
            <v>12925745</v>
          </cell>
          <cell r="T123">
            <v>16849495</v>
          </cell>
        </row>
        <row r="124">
          <cell r="G124">
            <v>365</v>
          </cell>
          <cell r="H124">
            <v>15200</v>
          </cell>
          <cell r="S124">
            <v>1015430</v>
          </cell>
          <cell r="T124">
            <v>3650000</v>
          </cell>
        </row>
        <row r="125">
          <cell r="G125">
            <v>365</v>
          </cell>
          <cell r="H125">
            <v>86000</v>
          </cell>
          <cell r="S125">
            <v>4013540</v>
          </cell>
          <cell r="T125">
            <v>5790725</v>
          </cell>
        </row>
        <row r="126">
          <cell r="G126">
            <v>365</v>
          </cell>
          <cell r="H126">
            <v>27900</v>
          </cell>
          <cell r="S126">
            <v>3680660</v>
          </cell>
          <cell r="T126">
            <v>4706675</v>
          </cell>
        </row>
        <row r="127">
          <cell r="G127">
            <v>365</v>
          </cell>
          <cell r="H127">
            <v>27400</v>
          </cell>
          <cell r="S127">
            <v>2555000</v>
          </cell>
          <cell r="T127">
            <v>9280125</v>
          </cell>
        </row>
        <row r="128">
          <cell r="G128">
            <v>365</v>
          </cell>
          <cell r="H128">
            <v>59000</v>
          </cell>
          <cell r="S128">
            <v>3839070</v>
          </cell>
          <cell r="T128">
            <v>6172515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ustomer nos and Demand 2018"/>
      <sheetName val="Customer nos and Demand 2019"/>
      <sheetName val="Billing Qty 2020 estimate"/>
      <sheetName val="Billing Qty 2021 OLD Format"/>
      <sheetName val="Billing Qty 2021 NEW Format"/>
      <sheetName val="CHARTS"/>
    </sheetNames>
    <sheetDataSet>
      <sheetData sheetId="0"/>
      <sheetData sheetId="1"/>
      <sheetData sheetId="2"/>
      <sheetData sheetId="3"/>
      <sheetData sheetId="4"/>
      <sheetData sheetId="5">
        <row r="18">
          <cell r="G18">
            <v>242803475</v>
          </cell>
          <cell r="H18">
            <v>2657800</v>
          </cell>
        </row>
        <row r="19">
          <cell r="G19">
            <v>0</v>
          </cell>
          <cell r="H19">
            <v>0</v>
          </cell>
          <cell r="L19">
            <v>361600</v>
          </cell>
        </row>
        <row r="21">
          <cell r="G21">
            <v>47156905</v>
          </cell>
          <cell r="I21">
            <v>352600</v>
          </cell>
          <cell r="J21">
            <v>67700</v>
          </cell>
          <cell r="K21">
            <v>104400</v>
          </cell>
        </row>
        <row r="22">
          <cell r="G22">
            <v>0</v>
          </cell>
          <cell r="I22">
            <v>0</v>
          </cell>
          <cell r="J22">
            <v>0</v>
          </cell>
          <cell r="K22">
            <v>0</v>
          </cell>
          <cell r="M22">
            <v>0</v>
          </cell>
          <cell r="N22">
            <v>87500</v>
          </cell>
          <cell r="O22">
            <v>21900</v>
          </cell>
        </row>
        <row r="23">
          <cell r="G23">
            <v>1460000</v>
          </cell>
          <cell r="I23">
            <v>1800</v>
          </cell>
          <cell r="J23">
            <v>1700</v>
          </cell>
          <cell r="K23">
            <v>1000</v>
          </cell>
          <cell r="U23">
            <v>1752000</v>
          </cell>
        </row>
        <row r="24">
          <cell r="G24">
            <v>0</v>
          </cell>
          <cell r="I24">
            <v>0</v>
          </cell>
          <cell r="J24">
            <v>0</v>
          </cell>
          <cell r="K24">
            <v>0</v>
          </cell>
          <cell r="M24">
            <v>0</v>
          </cell>
          <cell r="N24">
            <v>0</v>
          </cell>
          <cell r="O24">
            <v>0</v>
          </cell>
          <cell r="U24"/>
        </row>
        <row r="27">
          <cell r="G27"/>
          <cell r="H27">
            <v>93000</v>
          </cell>
        </row>
        <row r="28">
          <cell r="G28"/>
          <cell r="H28">
            <v>17000</v>
          </cell>
        </row>
        <row r="30">
          <cell r="G30">
            <v>17076160</v>
          </cell>
          <cell r="H30">
            <v>339500</v>
          </cell>
        </row>
        <row r="31">
          <cell r="G31"/>
          <cell r="H31"/>
          <cell r="L31">
            <v>3000</v>
          </cell>
        </row>
        <row r="32">
          <cell r="G32">
            <v>8568740</v>
          </cell>
          <cell r="I32">
            <v>171600</v>
          </cell>
          <cell r="K32">
            <v>154600</v>
          </cell>
        </row>
        <row r="33">
          <cell r="G33"/>
          <cell r="I33"/>
          <cell r="K33"/>
          <cell r="L33">
            <v>2900</v>
          </cell>
        </row>
        <row r="34">
          <cell r="G34"/>
          <cell r="L34">
            <v>100</v>
          </cell>
        </row>
        <row r="36">
          <cell r="G36">
            <v>7314600</v>
          </cell>
          <cell r="I36">
            <v>32600</v>
          </cell>
          <cell r="J36">
            <v>229600</v>
          </cell>
          <cell r="K36">
            <v>205100</v>
          </cell>
        </row>
        <row r="37">
          <cell r="G37">
            <v>533265</v>
          </cell>
          <cell r="I37">
            <v>4400</v>
          </cell>
          <cell r="J37">
            <v>38000</v>
          </cell>
          <cell r="K37">
            <v>25700</v>
          </cell>
          <cell r="T37">
            <v>26073045</v>
          </cell>
        </row>
        <row r="38">
          <cell r="G38">
            <v>406975</v>
          </cell>
          <cell r="H38">
            <v>29200</v>
          </cell>
          <cell r="Q38">
            <v>1825137</v>
          </cell>
          <cell r="R38">
            <v>4632215</v>
          </cell>
        </row>
        <row r="41">
          <cell r="G41">
            <v>200</v>
          </cell>
          <cell r="H41">
            <v>100</v>
          </cell>
        </row>
        <row r="42">
          <cell r="G42"/>
          <cell r="H42"/>
          <cell r="L42">
            <v>0</v>
          </cell>
        </row>
        <row r="43">
          <cell r="G43">
            <v>400</v>
          </cell>
          <cell r="I43">
            <v>100</v>
          </cell>
          <cell r="K43">
            <v>100</v>
          </cell>
        </row>
        <row r="44">
          <cell r="G44"/>
          <cell r="I44"/>
          <cell r="K44"/>
          <cell r="L44">
            <v>0</v>
          </cell>
        </row>
        <row r="46">
          <cell r="G46">
            <v>1389555</v>
          </cell>
          <cell r="I46">
            <v>1286940</v>
          </cell>
          <cell r="K46">
            <v>1235550</v>
          </cell>
          <cell r="S46">
            <v>236666000</v>
          </cell>
          <cell r="T46">
            <v>323704630</v>
          </cell>
        </row>
        <row r="47">
          <cell r="G47">
            <v>109865</v>
          </cell>
          <cell r="I47">
            <v>79500</v>
          </cell>
          <cell r="K47">
            <v>54000</v>
          </cell>
          <cell r="P47">
            <v>3651331</v>
          </cell>
          <cell r="T47">
            <v>30277845</v>
          </cell>
        </row>
        <row r="48">
          <cell r="G48"/>
          <cell r="I48"/>
          <cell r="K48"/>
        </row>
        <row r="49">
          <cell r="G49">
            <v>79205</v>
          </cell>
          <cell r="H49">
            <v>71000</v>
          </cell>
          <cell r="Q49">
            <v>5382848</v>
          </cell>
          <cell r="R49">
            <v>11592765</v>
          </cell>
        </row>
        <row r="50">
          <cell r="G50">
            <v>365</v>
          </cell>
          <cell r="I50">
            <v>0</v>
          </cell>
          <cell r="K50">
            <v>100</v>
          </cell>
          <cell r="S50">
            <v>0</v>
          </cell>
          <cell r="T50">
            <v>0</v>
          </cell>
        </row>
        <row r="52">
          <cell r="G52"/>
          <cell r="I52"/>
          <cell r="K52"/>
          <cell r="S52"/>
          <cell r="T52"/>
        </row>
        <row r="53">
          <cell r="G53"/>
          <cell r="I53"/>
          <cell r="K53"/>
          <cell r="S53"/>
          <cell r="T53"/>
        </row>
        <row r="54">
          <cell r="G54"/>
          <cell r="I54"/>
          <cell r="K54"/>
          <cell r="S54"/>
          <cell r="T54"/>
        </row>
        <row r="55">
          <cell r="G55"/>
          <cell r="I55"/>
          <cell r="K55"/>
          <cell r="S55"/>
          <cell r="T55"/>
        </row>
        <row r="56">
          <cell r="G56">
            <v>365</v>
          </cell>
          <cell r="I56">
            <v>4140</v>
          </cell>
          <cell r="K56">
            <v>5830</v>
          </cell>
          <cell r="S56">
            <v>738395</v>
          </cell>
          <cell r="T56">
            <v>911040</v>
          </cell>
        </row>
        <row r="57">
          <cell r="G57">
            <v>365</v>
          </cell>
          <cell r="I57">
            <v>420</v>
          </cell>
          <cell r="K57">
            <v>1020</v>
          </cell>
          <cell r="S57">
            <v>287620</v>
          </cell>
          <cell r="T57">
            <v>514650</v>
          </cell>
        </row>
        <row r="58">
          <cell r="G58"/>
          <cell r="I58"/>
          <cell r="K58"/>
          <cell r="S58"/>
          <cell r="T58"/>
        </row>
        <row r="59">
          <cell r="G59"/>
          <cell r="I59"/>
          <cell r="K59"/>
          <cell r="S59"/>
          <cell r="T59"/>
        </row>
        <row r="60">
          <cell r="G60"/>
          <cell r="I60"/>
          <cell r="K60"/>
          <cell r="S60"/>
          <cell r="T60"/>
        </row>
        <row r="61">
          <cell r="G61"/>
          <cell r="I61"/>
          <cell r="K61"/>
          <cell r="S61"/>
          <cell r="T61"/>
        </row>
        <row r="62">
          <cell r="G62">
            <v>365</v>
          </cell>
          <cell r="I62">
            <v>4100</v>
          </cell>
          <cell r="K62">
            <v>5400</v>
          </cell>
          <cell r="S62">
            <v>1069450</v>
          </cell>
          <cell r="T62">
            <v>1800910</v>
          </cell>
        </row>
        <row r="63">
          <cell r="G63">
            <v>365</v>
          </cell>
          <cell r="I63">
            <v>1100</v>
          </cell>
          <cell r="K63">
            <v>1600</v>
          </cell>
          <cell r="P63">
            <v>109475</v>
          </cell>
          <cell r="S63"/>
          <cell r="T63">
            <v>572320</v>
          </cell>
        </row>
        <row r="69">
          <cell r="G69">
            <v>50370</v>
          </cell>
          <cell r="I69">
            <v>265600</v>
          </cell>
          <cell r="K69">
            <v>284700</v>
          </cell>
          <cell r="S69">
            <v>50549580</v>
          </cell>
          <cell r="T69">
            <v>65300325</v>
          </cell>
        </row>
        <row r="70">
          <cell r="G70">
            <v>2190</v>
          </cell>
          <cell r="I70">
            <v>7600</v>
          </cell>
          <cell r="K70">
            <v>10800</v>
          </cell>
          <cell r="P70">
            <v>546922</v>
          </cell>
          <cell r="T70">
            <v>3293760</v>
          </cell>
        </row>
        <row r="71">
          <cell r="G71"/>
          <cell r="I71"/>
          <cell r="K71"/>
        </row>
        <row r="72">
          <cell r="G72">
            <v>4745</v>
          </cell>
          <cell r="H72">
            <v>12500</v>
          </cell>
          <cell r="Q72">
            <v>449678</v>
          </cell>
          <cell r="R72">
            <v>1623520</v>
          </cell>
        </row>
        <row r="73">
          <cell r="G73">
            <v>9125</v>
          </cell>
          <cell r="I73">
            <v>3700</v>
          </cell>
          <cell r="K73">
            <v>3700</v>
          </cell>
          <cell r="S73">
            <v>662840</v>
          </cell>
          <cell r="T73">
            <v>1369115</v>
          </cell>
        </row>
        <row r="74">
          <cell r="G74">
            <v>0</v>
          </cell>
          <cell r="I74">
            <v>0</v>
          </cell>
          <cell r="K74">
            <v>0</v>
          </cell>
          <cell r="S74">
            <v>0</v>
          </cell>
          <cell r="T74">
            <v>0</v>
          </cell>
        </row>
        <row r="76">
          <cell r="G76">
            <v>365</v>
          </cell>
          <cell r="I76">
            <v>12700</v>
          </cell>
          <cell r="K76">
            <v>12500</v>
          </cell>
          <cell r="S76">
            <v>1564390</v>
          </cell>
          <cell r="T76">
            <v>2384180</v>
          </cell>
        </row>
        <row r="77">
          <cell r="G77">
            <v>365</v>
          </cell>
          <cell r="I77">
            <v>7300</v>
          </cell>
          <cell r="K77">
            <v>5700</v>
          </cell>
          <cell r="S77">
            <v>1600890</v>
          </cell>
          <cell r="T77">
            <v>1700170</v>
          </cell>
        </row>
        <row r="78">
          <cell r="G78">
            <v>365</v>
          </cell>
          <cell r="I78">
            <v>5000</v>
          </cell>
          <cell r="K78">
            <v>16000</v>
          </cell>
          <cell r="S78">
            <v>0</v>
          </cell>
          <cell r="T78">
            <v>2117000</v>
          </cell>
        </row>
        <row r="79">
          <cell r="G79">
            <v>365</v>
          </cell>
          <cell r="I79">
            <v>10700</v>
          </cell>
          <cell r="K79">
            <v>8500</v>
          </cell>
          <cell r="S79">
            <v>1764410</v>
          </cell>
          <cell r="T79">
            <v>2027210</v>
          </cell>
        </row>
        <row r="80">
          <cell r="G80">
            <v>365</v>
          </cell>
          <cell r="I80">
            <v>6600</v>
          </cell>
          <cell r="K80">
            <v>4500</v>
          </cell>
          <cell r="S80">
            <v>1330425</v>
          </cell>
          <cell r="T80">
            <v>1372400</v>
          </cell>
        </row>
        <row r="81">
          <cell r="G81">
            <v>365</v>
          </cell>
          <cell r="I81">
            <v>6300</v>
          </cell>
          <cell r="K81">
            <v>5100</v>
          </cell>
          <cell r="S81">
            <v>1231875</v>
          </cell>
          <cell r="T81">
            <v>1259250</v>
          </cell>
        </row>
        <row r="82">
          <cell r="G82">
            <v>365</v>
          </cell>
          <cell r="I82">
            <v>11600</v>
          </cell>
          <cell r="K82">
            <v>11600</v>
          </cell>
          <cell r="S82">
            <v>1614030</v>
          </cell>
          <cell r="T82">
            <v>1665860</v>
          </cell>
        </row>
        <row r="83">
          <cell r="G83">
            <v>365</v>
          </cell>
          <cell r="I83">
            <v>10400</v>
          </cell>
          <cell r="K83">
            <v>9600</v>
          </cell>
          <cell r="S83">
            <v>1488105</v>
          </cell>
          <cell r="T83">
            <v>1766235</v>
          </cell>
        </row>
        <row r="84">
          <cell r="G84">
            <v>365</v>
          </cell>
          <cell r="I84">
            <v>6100</v>
          </cell>
          <cell r="K84">
            <v>4900</v>
          </cell>
          <cell r="S84">
            <v>968710</v>
          </cell>
          <cell r="T84">
            <v>1090620</v>
          </cell>
        </row>
        <row r="93">
          <cell r="G93"/>
          <cell r="H93"/>
          <cell r="S93"/>
          <cell r="T93"/>
        </row>
        <row r="94">
          <cell r="G94">
            <v>365</v>
          </cell>
          <cell r="H94">
            <v>20561.394500000002</v>
          </cell>
          <cell r="S94">
            <v>1573358.78</v>
          </cell>
          <cell r="T94">
            <v>1825000</v>
          </cell>
        </row>
        <row r="95">
          <cell r="G95">
            <v>365</v>
          </cell>
          <cell r="H95">
            <v>24905.050000000003</v>
          </cell>
          <cell r="S95">
            <v>2062195.2500000002</v>
          </cell>
          <cell r="T95">
            <v>2062195.2500000002</v>
          </cell>
        </row>
        <row r="96">
          <cell r="G96">
            <v>365</v>
          </cell>
          <cell r="H96">
            <v>8861.0153499999997</v>
          </cell>
          <cell r="S96">
            <v>1002255.69</v>
          </cell>
          <cell r="T96">
            <v>1825000</v>
          </cell>
        </row>
        <row r="97">
          <cell r="G97">
            <v>365</v>
          </cell>
          <cell r="H97">
            <v>23878.657950000001</v>
          </cell>
          <cell r="S97">
            <v>2490079.2749999999</v>
          </cell>
          <cell r="T97">
            <v>2500878.5299999998</v>
          </cell>
        </row>
        <row r="98">
          <cell r="G98">
            <v>365</v>
          </cell>
          <cell r="H98">
            <v>2289.5800020000001</v>
          </cell>
          <cell r="S98">
            <v>981071.09</v>
          </cell>
          <cell r="T98">
            <v>1919124.375</v>
          </cell>
        </row>
        <row r="99">
          <cell r="G99">
            <v>365</v>
          </cell>
          <cell r="H99">
            <v>24772.561650000003</v>
          </cell>
          <cell r="S99">
            <v>1781500.395</v>
          </cell>
          <cell r="T99">
            <v>1825000</v>
          </cell>
        </row>
        <row r="101">
          <cell r="G101">
            <v>365</v>
          </cell>
          <cell r="H101">
            <v>74000</v>
          </cell>
          <cell r="S101">
            <v>4078845.07</v>
          </cell>
          <cell r="T101">
            <v>5133823.55</v>
          </cell>
        </row>
        <row r="102">
          <cell r="G102">
            <v>365</v>
          </cell>
          <cell r="H102">
            <v>174006.38800000001</v>
          </cell>
          <cell r="S102">
            <v>9781182.7649999987</v>
          </cell>
          <cell r="T102">
            <v>9817630.5700000003</v>
          </cell>
        </row>
        <row r="103">
          <cell r="G103">
            <v>365</v>
          </cell>
          <cell r="H103">
            <v>23846.443004000001</v>
          </cell>
          <cell r="S103">
            <v>1524599.5249999999</v>
          </cell>
          <cell r="T103">
            <v>1825000</v>
          </cell>
        </row>
        <row r="104">
          <cell r="G104">
            <v>365</v>
          </cell>
          <cell r="H104">
            <v>27300</v>
          </cell>
          <cell r="S104">
            <v>3470830.26</v>
          </cell>
          <cell r="T104">
            <v>3472358.15</v>
          </cell>
        </row>
        <row r="105">
          <cell r="G105">
            <v>365</v>
          </cell>
          <cell r="H105">
            <v>10600</v>
          </cell>
          <cell r="S105">
            <v>1145428.3999999999</v>
          </cell>
          <cell r="T105">
            <v>1825000</v>
          </cell>
        </row>
        <row r="106">
          <cell r="G106">
            <v>365</v>
          </cell>
          <cell r="H106">
            <v>10600</v>
          </cell>
          <cell r="S106">
            <v>633535.245</v>
          </cell>
          <cell r="T106">
            <v>1825000</v>
          </cell>
        </row>
        <row r="107">
          <cell r="G107">
            <v>365</v>
          </cell>
          <cell r="H107">
            <v>0</v>
          </cell>
          <cell r="S107">
            <v>0</v>
          </cell>
          <cell r="T107">
            <v>0</v>
          </cell>
        </row>
        <row r="108">
          <cell r="G108">
            <v>365</v>
          </cell>
          <cell r="H108">
            <v>32021</v>
          </cell>
          <cell r="S108">
            <v>4581260.2699999996</v>
          </cell>
          <cell r="T108">
            <v>4618258.8599999994</v>
          </cell>
        </row>
        <row r="109">
          <cell r="G109">
            <v>365</v>
          </cell>
          <cell r="H109">
            <v>51446</v>
          </cell>
          <cell r="S109">
            <v>2717743.645</v>
          </cell>
          <cell r="T109">
            <v>3040755.1399999997</v>
          </cell>
        </row>
        <row r="110">
          <cell r="G110"/>
          <cell r="H110">
            <v>0</v>
          </cell>
          <cell r="S110">
            <v>0</v>
          </cell>
          <cell r="T110">
            <v>0</v>
          </cell>
        </row>
        <row r="112">
          <cell r="G112"/>
          <cell r="H112">
            <v>0</v>
          </cell>
          <cell r="S112">
            <v>0</v>
          </cell>
          <cell r="T112">
            <v>0</v>
          </cell>
        </row>
        <row r="113">
          <cell r="G113">
            <v>365</v>
          </cell>
          <cell r="H113">
            <v>8287.9185390000002</v>
          </cell>
          <cell r="S113">
            <v>1070883.72</v>
          </cell>
          <cell r="T113">
            <v>2372500</v>
          </cell>
        </row>
        <row r="114">
          <cell r="G114">
            <v>365</v>
          </cell>
          <cell r="H114">
            <v>2738.69022</v>
          </cell>
          <cell r="S114">
            <v>308511.505</v>
          </cell>
          <cell r="T114">
            <v>318869.83999999997</v>
          </cell>
        </row>
        <row r="115">
          <cell r="G115">
            <v>365</v>
          </cell>
          <cell r="H115">
            <v>9800</v>
          </cell>
          <cell r="S115">
            <v>1414892.2050000001</v>
          </cell>
          <cell r="T115">
            <v>1825000</v>
          </cell>
        </row>
        <row r="117">
          <cell r="G117">
            <v>365</v>
          </cell>
          <cell r="H117">
            <v>150000</v>
          </cell>
          <cell r="S117">
            <v>7717962.2299999995</v>
          </cell>
          <cell r="T117">
            <v>8005846.4900000002</v>
          </cell>
        </row>
        <row r="118">
          <cell r="G118">
            <v>365</v>
          </cell>
          <cell r="H118">
            <v>229778.88508499999</v>
          </cell>
          <cell r="S118">
            <v>10220000</v>
          </cell>
          <cell r="T118">
            <v>18207293.905000001</v>
          </cell>
        </row>
        <row r="119">
          <cell r="G119">
            <v>365</v>
          </cell>
          <cell r="H119">
            <v>85000</v>
          </cell>
          <cell r="S119">
            <v>14547318.455</v>
          </cell>
          <cell r="T119">
            <v>15953731.345000001</v>
          </cell>
        </row>
        <row r="120">
          <cell r="G120">
            <v>365</v>
          </cell>
          <cell r="H120">
            <v>15061.964</v>
          </cell>
          <cell r="S120">
            <v>1836743.875</v>
          </cell>
          <cell r="T120">
            <v>3650000</v>
          </cell>
        </row>
        <row r="121">
          <cell r="G121">
            <v>365</v>
          </cell>
          <cell r="H121">
            <v>90658.642500000002</v>
          </cell>
          <cell r="S121">
            <v>4013540</v>
          </cell>
          <cell r="T121">
            <v>5960337.9449999994</v>
          </cell>
        </row>
        <row r="122">
          <cell r="G122">
            <v>365</v>
          </cell>
          <cell r="H122">
            <v>31008.333723000003</v>
          </cell>
          <cell r="S122">
            <v>3680831.55</v>
          </cell>
          <cell r="T122">
            <v>3702753.8150000004</v>
          </cell>
        </row>
        <row r="123">
          <cell r="G123">
            <v>365</v>
          </cell>
          <cell r="H123">
            <v>17329.286500000002</v>
          </cell>
          <cell r="S123">
            <v>2555000</v>
          </cell>
          <cell r="T123">
            <v>9330396.8149999995</v>
          </cell>
        </row>
        <row r="124">
          <cell r="G124">
            <v>365</v>
          </cell>
          <cell r="H124">
            <v>33415.6944</v>
          </cell>
          <cell r="S124">
            <v>3308941.4450000003</v>
          </cell>
          <cell r="T124">
            <v>3317635.38</v>
          </cell>
        </row>
        <row r="125">
          <cell r="G125">
            <v>365</v>
          </cell>
          <cell r="H125">
            <v>12000</v>
          </cell>
          <cell r="S125">
            <v>2015820.54</v>
          </cell>
          <cell r="T125">
            <v>2331851.0449999999</v>
          </cell>
        </row>
        <row r="132">
          <cell r="J132">
            <v>337000</v>
          </cell>
          <cell r="K132">
            <v>2172000</v>
          </cell>
          <cell r="L132">
            <v>367600</v>
          </cell>
          <cell r="M132">
            <v>0</v>
          </cell>
          <cell r="N132">
            <v>87500</v>
          </cell>
          <cell r="O132">
            <v>21900</v>
          </cell>
          <cell r="P132">
            <v>4307728</v>
          </cell>
          <cell r="Q132">
            <v>7657663</v>
          </cell>
          <cell r="R132">
            <v>17848500</v>
          </cell>
          <cell r="S132">
            <v>392051051.185</v>
          </cell>
          <cell r="T132">
            <v>587691806.005</v>
          </cell>
          <cell r="U132">
            <v>1752000</v>
          </cell>
          <cell r="V132">
            <v>0</v>
          </cell>
        </row>
      </sheetData>
      <sheetData sheetId="6">
        <row r="42">
          <cell r="J42">
            <v>1340.3332530450236</v>
          </cell>
        </row>
        <row r="43">
          <cell r="J43">
            <v>2750.7831871144977</v>
          </cell>
        </row>
        <row r="44">
          <cell r="J44">
            <v>743.59826692868887</v>
          </cell>
        </row>
        <row r="47">
          <cell r="J47">
            <v>3187.0299143557245</v>
          </cell>
        </row>
        <row r="48">
          <cell r="J48">
            <v>476.99592162703982</v>
          </cell>
        </row>
        <row r="49">
          <cell r="J49">
            <v>1194.2035999020143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1.1 Onesteel"/>
      <sheetName val="1.2 BOC"/>
      <sheetName val="2.1 Onesteel LMF"/>
      <sheetName val="3.1 Nyrstar STr"/>
      <sheetName val="3.2 Nyrstar ZSStn"/>
      <sheetName val="4.1 KCA"/>
      <sheetName val="5.1 Green Tri"/>
      <sheetName val="6.1 Inghams Edinburgh"/>
      <sheetName val="6.2 Inghams Burton"/>
      <sheetName val="6.4 HNA"/>
      <sheetName val="7.14 Int &amp; Forge"/>
      <sheetName val="7.17 Ad Bri"/>
      <sheetName val="7.18 I-O Kilkenny"/>
      <sheetName val="8.4 RA Hospital"/>
      <sheetName val="9.3D Desal Combined"/>
      <sheetName val="Customer Summary"/>
      <sheetName val="Sheet1"/>
      <sheetName val="7.7D Airport"/>
      <sheetName val="7.13D CUFF-Naval-ASC"/>
      <sheetName val="8.3D Westfield TTP"/>
      <sheetName val="9.6D Westfield Marion"/>
      <sheetName val="9.7 Lonsdale Trains"/>
    </sheetNames>
    <sheetDataSet>
      <sheetData sheetId="0"/>
      <sheetData sheetId="1">
        <row r="42">
          <cell r="I42">
            <v>8326.2000000000007</v>
          </cell>
        </row>
      </sheetData>
      <sheetData sheetId="2">
        <row r="42">
          <cell r="I42">
            <v>2769.9</v>
          </cell>
        </row>
      </sheetData>
      <sheetData sheetId="3">
        <row r="44">
          <cell r="I44">
            <v>447.27269999999999</v>
          </cell>
        </row>
        <row r="45">
          <cell r="I45">
            <v>0.26229999999999998</v>
          </cell>
        </row>
        <row r="46">
          <cell r="I46">
            <v>0</v>
          </cell>
        </row>
      </sheetData>
      <sheetData sheetId="4">
        <row r="44">
          <cell r="I44">
            <v>737.73490000000004</v>
          </cell>
        </row>
        <row r="45">
          <cell r="I45">
            <v>0.21640000000000001</v>
          </cell>
        </row>
        <row r="46">
          <cell r="I46">
            <v>0</v>
          </cell>
        </row>
      </sheetData>
      <sheetData sheetId="5">
        <row r="44">
          <cell r="I44">
            <v>392.8306</v>
          </cell>
        </row>
        <row r="45">
          <cell r="I45">
            <v>0.21640000000000001</v>
          </cell>
        </row>
        <row r="46">
          <cell r="I46">
            <v>0</v>
          </cell>
        </row>
      </sheetData>
      <sheetData sheetId="6">
        <row r="42">
          <cell r="I42">
            <v>3570.9</v>
          </cell>
        </row>
      </sheetData>
      <sheetData sheetId="7">
        <row r="44">
          <cell r="I44">
            <v>165.33070000000001</v>
          </cell>
        </row>
        <row r="45">
          <cell r="I45">
            <v>0.219</v>
          </cell>
        </row>
        <row r="46">
          <cell r="I46">
            <v>0</v>
          </cell>
        </row>
      </sheetData>
      <sheetData sheetId="8">
        <row r="44">
          <cell r="I44">
            <v>100.46850000000001</v>
          </cell>
        </row>
        <row r="45">
          <cell r="I45">
            <v>0.17349999999999999</v>
          </cell>
        </row>
        <row r="46">
          <cell r="I46">
            <v>0</v>
          </cell>
        </row>
      </sheetData>
      <sheetData sheetId="9">
        <row r="44">
          <cell r="I44">
            <v>107.417</v>
          </cell>
        </row>
        <row r="45">
          <cell r="I45">
            <v>0.17349999999999999</v>
          </cell>
        </row>
      </sheetData>
      <sheetData sheetId="10">
        <row r="44">
          <cell r="I44">
            <v>371.85860000000002</v>
          </cell>
        </row>
        <row r="45">
          <cell r="I45">
            <v>0.17349999999999999</v>
          </cell>
        </row>
        <row r="46">
          <cell r="I46">
            <v>0</v>
          </cell>
        </row>
      </sheetData>
      <sheetData sheetId="11">
        <row r="44">
          <cell r="I44">
            <v>65.730699999999999</v>
          </cell>
        </row>
        <row r="45">
          <cell r="I45">
            <v>0.17860000000000001</v>
          </cell>
        </row>
        <row r="46">
          <cell r="I46">
            <v>0</v>
          </cell>
        </row>
      </sheetData>
      <sheetData sheetId="12">
        <row r="44">
          <cell r="I44">
            <v>133.51089999999999</v>
          </cell>
        </row>
        <row r="45">
          <cell r="I45">
            <v>0.17860000000000001</v>
          </cell>
        </row>
        <row r="46">
          <cell r="I46">
            <v>0</v>
          </cell>
        </row>
      </sheetData>
      <sheetData sheetId="13">
        <row r="44">
          <cell r="I44">
            <v>36.467100000000002</v>
          </cell>
        </row>
        <row r="45">
          <cell r="I45">
            <v>0.17860000000000001</v>
          </cell>
        </row>
        <row r="46">
          <cell r="I46">
            <v>0</v>
          </cell>
        </row>
      </sheetData>
      <sheetData sheetId="14">
        <row r="44">
          <cell r="I44">
            <v>155.76759999999999</v>
          </cell>
        </row>
        <row r="45">
          <cell r="I45">
            <v>0.19700000000000001</v>
          </cell>
        </row>
        <row r="46">
          <cell r="I46">
            <v>0</v>
          </cell>
        </row>
      </sheetData>
      <sheetData sheetId="15">
        <row r="44">
          <cell r="I44">
            <v>777.5299</v>
          </cell>
        </row>
        <row r="45">
          <cell r="I45">
            <v>3.8699999999999998E-2</v>
          </cell>
        </row>
        <row r="46">
          <cell r="I46">
            <v>2.06E-2</v>
          </cell>
        </row>
      </sheetData>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Std Control"/>
      <sheetName val="Trans"/>
      <sheetName val="JSO"/>
      <sheetName val="CPT"/>
      <sheetName val="DUOS (t)"/>
      <sheetName val="TUOS (t)"/>
      <sheetName val="JSO (t)"/>
      <sheetName val="CPT (t)"/>
      <sheetName val="Neg Serv (t)"/>
      <sheetName val="NUOS (t)"/>
      <sheetName val="Q (t)"/>
      <sheetName val="DUOS (t-1)"/>
      <sheetName val="TUOS (t-1)"/>
      <sheetName val="JSO (t-1)"/>
      <sheetName val="Neg Serv (t-1)"/>
      <sheetName val="NUOS (t-1)"/>
      <sheetName val="TSS DUoS 17-20"/>
      <sheetName val="TSS TUoS 17-20 unadj"/>
      <sheetName val="TSS TUoS 17-20"/>
      <sheetName val="TSS JSO 17-20"/>
      <sheetName val="TSS NUoS 17-20"/>
      <sheetName val="DUoS Schedule"/>
      <sheetName val="TUoS Schedule"/>
      <sheetName val="JSO (PV) Schedule"/>
      <sheetName val="Neg Services Schedule"/>
      <sheetName val="NUoS Schedule"/>
      <sheetName val="Indicative Prices"/>
    </sheetNames>
    <sheetDataSet>
      <sheetData sheetId="0" refreshError="1"/>
      <sheetData sheetId="1" refreshError="1"/>
      <sheetData sheetId="2" refreshError="1"/>
      <sheetData sheetId="3" refreshError="1"/>
      <sheetData sheetId="4" refreshError="1"/>
      <sheetData sheetId="5" refreshError="1"/>
      <sheetData sheetId="6">
        <row r="131">
          <cell r="AR131">
            <v>137.00785523498408</v>
          </cell>
        </row>
        <row r="132">
          <cell r="AR132">
            <v>45.2</v>
          </cell>
        </row>
        <row r="133">
          <cell r="AR133">
            <v>125.03804282208803</v>
          </cell>
        </row>
        <row r="134">
          <cell r="AR134">
            <v>107.65216721383861</v>
          </cell>
        </row>
        <row r="135">
          <cell r="AR135">
            <v>70.599075896771254</v>
          </cell>
        </row>
        <row r="136">
          <cell r="AR136">
            <v>47.914679556219781</v>
          </cell>
        </row>
        <row r="137">
          <cell r="AR137">
            <v>10.79123501975532</v>
          </cell>
        </row>
        <row r="138">
          <cell r="AR138">
            <v>87.18378705254095</v>
          </cell>
        </row>
      </sheetData>
      <sheetData sheetId="7">
        <row r="131">
          <cell r="AR131">
            <v>32.500056930511271</v>
          </cell>
        </row>
        <row r="132">
          <cell r="AR132">
            <v>16.599999999999998</v>
          </cell>
        </row>
        <row r="133">
          <cell r="AR133">
            <v>30.427024091159371</v>
          </cell>
        </row>
        <row r="134">
          <cell r="AR134">
            <v>30.747795973207534</v>
          </cell>
        </row>
        <row r="135">
          <cell r="AR135">
            <v>21.809816272658697</v>
          </cell>
        </row>
        <row r="136">
          <cell r="AR136">
            <v>20.541325697455999</v>
          </cell>
        </row>
        <row r="137">
          <cell r="AR137">
            <v>15.70517570579875</v>
          </cell>
        </row>
        <row r="138">
          <cell r="AR138">
            <v>25.442574921469358</v>
          </cell>
        </row>
      </sheetData>
      <sheetData sheetId="8">
        <row r="131">
          <cell r="AR131">
            <v>15.271834803752231</v>
          </cell>
        </row>
        <row r="132">
          <cell r="AR132">
            <v>11.599999999999998</v>
          </cell>
        </row>
        <row r="133">
          <cell r="AR133">
            <v>14.793104811644659</v>
          </cell>
        </row>
        <row r="134">
          <cell r="AR134">
            <v>8.0838307903408424</v>
          </cell>
        </row>
        <row r="135">
          <cell r="AR135">
            <v>5.2007935783854577</v>
          </cell>
        </row>
        <row r="136">
          <cell r="AR136">
            <v>3.5957098292890035</v>
          </cell>
        </row>
        <row r="137">
          <cell r="AR137">
            <v>0.8</v>
          </cell>
        </row>
        <row r="138">
          <cell r="AR138">
            <v>8.4918205862717926</v>
          </cell>
        </row>
      </sheetData>
      <sheetData sheetId="9" refreshError="1"/>
      <sheetData sheetId="10" refreshError="1"/>
      <sheetData sheetId="11">
        <row r="131">
          <cell r="AT131">
            <v>184.77974696924755</v>
          </cell>
        </row>
        <row r="132">
          <cell r="AT132">
            <v>73.400000000000006</v>
          </cell>
        </row>
        <row r="133">
          <cell r="AT133">
            <v>170.25817172489204</v>
          </cell>
        </row>
        <row r="134">
          <cell r="AT134">
            <v>146.48379397738697</v>
          </cell>
        </row>
        <row r="135">
          <cell r="AT135">
            <v>97.609685747815405</v>
          </cell>
        </row>
        <row r="136">
          <cell r="AT136">
            <v>72.051715082964776</v>
          </cell>
        </row>
        <row r="137">
          <cell r="AT137">
            <v>27.296410725554065</v>
          </cell>
        </row>
        <row r="138">
          <cell r="AT138">
            <v>121.11818256028208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ariff classes"/>
      <sheetName val="2. Capex assumptions"/>
      <sheetName val="3. Opex assumptions"/>
      <sheetName val="4. Demand forecast"/>
      <sheetName val="5. LRMC calculation"/>
      <sheetName val="5a. Non system costs"/>
      <sheetName val="6. Tariff allocation"/>
      <sheetName val="7. 2010-11 tariff revenue"/>
      <sheetName val="8. Stand alone calculation"/>
      <sheetName val="9. Avoidable"/>
      <sheetName val="Tables 16 - 26"/>
      <sheetName val="Table 27 - Price trends"/>
      <sheetName val="Tables 28 - 31"/>
      <sheetName val="Table 32 - Unmetered price"/>
      <sheetName val="Tables 33 - 35"/>
      <sheetName val="Table 34 - Weighted Avg Revenue"/>
      <sheetName val="Table 36 - SC compliance"/>
      <sheetName val="Table 37 - SC small"/>
      <sheetName val="Table 38 - SA-A costs"/>
      <sheetName val="Fig 12 - Cost comparison $kVA"/>
      <sheetName val="Table 39 - LRMC"/>
      <sheetName val="Table 40 - TUoS U-O"/>
      <sheetName val="Table 41 - Alternative WAPC"/>
      <sheetName val="Table 42 - Alternative control"/>
      <sheetName val="LDC"/>
      <sheetName val="HV demand"/>
      <sheetName val="LV demand"/>
      <sheetName val="Res MWh"/>
      <sheetName val="Res MWh Retail"/>
      <sheetName val="Res-HW MWh"/>
      <sheetName val="Res-HW MWh Retail"/>
      <sheetName val="Bus-single MWh"/>
      <sheetName val="Bus-single MWh Retai"/>
      <sheetName val="Bus-two MWh"/>
      <sheetName val="Bus-two MWh Retail"/>
    </sheetNames>
    <sheetDataSet>
      <sheetData sheetId="0"/>
      <sheetData sheetId="1"/>
      <sheetData sheetId="2"/>
      <sheetData sheetId="3"/>
      <sheetData sheetId="4"/>
      <sheetData sheetId="5"/>
      <sheetData sheetId="6"/>
      <sheetData sheetId="7"/>
      <sheetData sheetId="8"/>
      <sheetData sheetId="9"/>
      <sheetData sheetId="10">
        <row r="1">
          <cell r="E1" t="str">
            <v>2012/13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revenues"/>
      <sheetName val="Forecast Customer Numbers"/>
      <sheetName val="Residential"/>
      <sheetName val="Sheet1"/>
      <sheetName val="Small Bus"/>
      <sheetName val="Large LV Bus"/>
      <sheetName val="HV Bus"/>
      <sheetName val="Major Bus"/>
      <sheetName val="RIN Data 3.1"/>
      <sheetName val="RIN Data 3.4"/>
      <sheetName val="RIN Data 3.5"/>
      <sheetName val="RIN Data 3.6"/>
      <sheetName val="Price Schedule"/>
      <sheetName val="Price Schedule 5 year"/>
      <sheetName val="Price Structure FD"/>
    </sheetNames>
    <sheetDataSet>
      <sheetData sheetId="0">
        <row r="6">
          <cell r="F6">
            <v>759.42739737453542</v>
          </cell>
        </row>
      </sheetData>
      <sheetData sheetId="1" refreshError="1"/>
      <sheetData sheetId="2">
        <row r="2">
          <cell r="A2" t="str">
            <v>Residential Customers</v>
          </cell>
        </row>
        <row r="48">
          <cell r="B48" t="str">
            <v>Residential Type 6</v>
          </cell>
        </row>
        <row r="49">
          <cell r="B49" t="str">
            <v>Customers/Supply Ch</v>
          </cell>
        </row>
        <row r="50">
          <cell r="B50" t="str">
            <v>Usage</v>
          </cell>
        </row>
        <row r="53">
          <cell r="B53" t="str">
            <v>Residential TOU</v>
          </cell>
        </row>
        <row r="54">
          <cell r="B54" t="str">
            <v>Customers/Supply Ch</v>
          </cell>
        </row>
        <row r="55">
          <cell r="B55" t="str">
            <v>Peak Usage</v>
          </cell>
        </row>
        <row r="56">
          <cell r="B56" t="str">
            <v>Off-Pk Usage</v>
          </cell>
        </row>
        <row r="57">
          <cell r="B57" t="str">
            <v>Solar Sponge Usage</v>
          </cell>
        </row>
        <row r="60">
          <cell r="B60" t="str">
            <v>Residential Prosumer</v>
          </cell>
        </row>
        <row r="61">
          <cell r="B61" t="str">
            <v>Customers/Supply Ch</v>
          </cell>
        </row>
        <row r="62">
          <cell r="B62" t="str">
            <v>Peak Usage</v>
          </cell>
        </row>
        <row r="63">
          <cell r="B63" t="str">
            <v>Off-Pk Usage</v>
          </cell>
        </row>
        <row r="64">
          <cell r="B64" t="str">
            <v>Solar Sponge Usage</v>
          </cell>
        </row>
        <row r="65">
          <cell r="B65" t="str">
            <v>Summer Demand</v>
          </cell>
        </row>
        <row r="68">
          <cell r="B68" t="str">
            <v>OPCL Hot Water Type 5, 6</v>
          </cell>
        </row>
        <row r="69">
          <cell r="B69" t="str">
            <v>Usage</v>
          </cell>
        </row>
        <row r="72">
          <cell r="B72" t="str">
            <v>OPCL Hot Water Type 4</v>
          </cell>
        </row>
        <row r="73">
          <cell r="B73" t="str">
            <v>Peak Usage</v>
          </cell>
        </row>
        <row r="74">
          <cell r="B74" t="str">
            <v>Off-Pk Usage</v>
          </cell>
        </row>
        <row r="75">
          <cell r="B75" t="str">
            <v>Solar Sponge Usage</v>
          </cell>
        </row>
      </sheetData>
      <sheetData sheetId="3" refreshError="1"/>
      <sheetData sheetId="4">
        <row r="2">
          <cell r="A2" t="str">
            <v>Small Business Customers</v>
          </cell>
        </row>
        <row r="68">
          <cell r="B68" t="str">
            <v>Business Single Type 6</v>
          </cell>
        </row>
        <row r="69">
          <cell r="B69" t="str">
            <v>Customers/Supply Ch</v>
          </cell>
        </row>
        <row r="70">
          <cell r="B70" t="str">
            <v>Usage</v>
          </cell>
        </row>
        <row r="73">
          <cell r="B73" t="str">
            <v>Business 2-Rate Type 6</v>
          </cell>
        </row>
        <row r="74">
          <cell r="B74" t="str">
            <v>Customers/Supply Ch</v>
          </cell>
        </row>
        <row r="75">
          <cell r="B75" t="str">
            <v>Peak usage</v>
          </cell>
        </row>
        <row r="76">
          <cell r="B76" t="str">
            <v>Off-Pk Usage</v>
          </cell>
        </row>
        <row r="79">
          <cell r="B79" t="str">
            <v>Business TOU Type 4, 5</v>
          </cell>
        </row>
        <row r="80">
          <cell r="B80" t="str">
            <v>Customers/Supply Ch</v>
          </cell>
        </row>
        <row r="81">
          <cell r="B81" t="str">
            <v>Peak usage</v>
          </cell>
        </row>
        <row r="82">
          <cell r="B82" t="str">
            <v>Shoulder Usage</v>
          </cell>
        </row>
        <row r="83">
          <cell r="B83" t="str">
            <v>Off-Peak Usage</v>
          </cell>
        </row>
        <row r="86">
          <cell r="B86" t="str">
            <v>Business TOU+MD &gt;120 kVA</v>
          </cell>
        </row>
        <row r="87">
          <cell r="B87" t="str">
            <v>Customers/Supply Ch</v>
          </cell>
        </row>
        <row r="88">
          <cell r="B88" t="str">
            <v>Anytime Max Demand</v>
          </cell>
        </row>
        <row r="89">
          <cell r="B89" t="str">
            <v>Peak usage</v>
          </cell>
        </row>
        <row r="90">
          <cell r="B90" t="str">
            <v>Shoulder Usage</v>
          </cell>
        </row>
        <row r="91">
          <cell r="B91" t="str">
            <v>Off-Peak Usage</v>
          </cell>
        </row>
        <row r="94">
          <cell r="B94" t="str">
            <v>Small Business Actual Demand</v>
          </cell>
        </row>
        <row r="95">
          <cell r="B95" t="str">
            <v>Customers/Supply Ch</v>
          </cell>
        </row>
        <row r="96">
          <cell r="B96" t="str">
            <v>Peak Actual Demand</v>
          </cell>
        </row>
        <row r="97">
          <cell r="B97" t="str">
            <v>Shoulder Actual Demand</v>
          </cell>
        </row>
        <row r="98">
          <cell r="B98" t="str">
            <v>Usage</v>
          </cell>
        </row>
      </sheetData>
      <sheetData sheetId="5">
        <row r="2">
          <cell r="A2" t="str">
            <v>Large LV Business Customers</v>
          </cell>
        </row>
        <row r="68">
          <cell r="B68" t="str">
            <v>Large LV Bus Actual Demand</v>
          </cell>
        </row>
        <row r="69">
          <cell r="B69" t="str">
            <v>Customers/Supply Ch</v>
          </cell>
        </row>
        <row r="70">
          <cell r="B70" t="str">
            <v>Peak Actual Demand</v>
          </cell>
        </row>
        <row r="71">
          <cell r="B71" t="str">
            <v>Shoulder Actual Demand</v>
          </cell>
        </row>
        <row r="72">
          <cell r="B72" t="str">
            <v>Usage</v>
          </cell>
        </row>
        <row r="84">
          <cell r="B84" t="str">
            <v>Customers/Supply Ch</v>
          </cell>
        </row>
        <row r="85">
          <cell r="B85" t="str">
            <v>Peak Actual Monthly Demand</v>
          </cell>
        </row>
        <row r="86">
          <cell r="B86" t="str">
            <v>Anytime Actual Demand</v>
          </cell>
        </row>
        <row r="87">
          <cell r="B87" t="str">
            <v>Peak Usage</v>
          </cell>
        </row>
        <row r="88">
          <cell r="B88" t="str">
            <v>Off-Peak Usage</v>
          </cell>
        </row>
        <row r="92">
          <cell r="B92" t="str">
            <v>Customers/Supply Ch</v>
          </cell>
        </row>
        <row r="93">
          <cell r="B93" t="str">
            <v>Peak Annual Max Demand</v>
          </cell>
        </row>
        <row r="94">
          <cell r="B94" t="str">
            <v>Anytime Actual Demand</v>
          </cell>
        </row>
        <row r="95">
          <cell r="B95" t="str">
            <v>Peak Usage</v>
          </cell>
        </row>
        <row r="96">
          <cell r="B96" t="str">
            <v>Off-Peak Usage</v>
          </cell>
        </row>
        <row r="139">
          <cell r="B139" t="str">
            <v>Large Bus Generation Supplies</v>
          </cell>
        </row>
        <row r="140">
          <cell r="B140" t="str">
            <v>Customers/Supply Ch</v>
          </cell>
        </row>
        <row r="141">
          <cell r="B141" t="str">
            <v>Peak Annual Max Demand</v>
          </cell>
        </row>
        <row r="142">
          <cell r="B142" t="str">
            <v>Anytime Actual Demand</v>
          </cell>
        </row>
        <row r="143">
          <cell r="B143" t="str">
            <v>Peak Usage</v>
          </cell>
        </row>
        <row r="144">
          <cell r="B144" t="str">
            <v>Off-Peak Usage</v>
          </cell>
        </row>
      </sheetData>
      <sheetData sheetId="6">
        <row r="2">
          <cell r="A2" t="str">
            <v>HV Business Customers</v>
          </cell>
        </row>
        <row r="68">
          <cell r="B68" t="str">
            <v>HV Business Actual Demand</v>
          </cell>
        </row>
        <row r="69">
          <cell r="B69" t="str">
            <v>Customers/Supply Ch</v>
          </cell>
        </row>
        <row r="70">
          <cell r="B70" t="str">
            <v>Peak Actual Demand</v>
          </cell>
        </row>
        <row r="71">
          <cell r="B71" t="str">
            <v>Shoulder Actual Demand</v>
          </cell>
        </row>
        <row r="72">
          <cell r="B72" t="str">
            <v>Usage</v>
          </cell>
        </row>
        <row r="90">
          <cell r="B90" t="str">
            <v>Customers/Supply Ch</v>
          </cell>
        </row>
        <row r="91">
          <cell r="B91" t="str">
            <v>Peak Actual Monthly Demand</v>
          </cell>
        </row>
        <row r="92">
          <cell r="B92" t="str">
            <v>Anytime Actual Demand</v>
          </cell>
        </row>
        <row r="93">
          <cell r="B93" t="str">
            <v>Peak Usage</v>
          </cell>
        </row>
        <row r="94">
          <cell r="B94" t="str">
            <v>Off-Peak Usage</v>
          </cell>
        </row>
        <row r="98">
          <cell r="B98" t="str">
            <v>Customers/Supply Ch</v>
          </cell>
        </row>
        <row r="99">
          <cell r="B99" t="str">
            <v>Peak Annual Max Demand</v>
          </cell>
        </row>
        <row r="100">
          <cell r="B100" t="str">
            <v>Anytime Actual Demand</v>
          </cell>
        </row>
        <row r="101">
          <cell r="B101" t="str">
            <v>Peak Usage</v>
          </cell>
        </row>
        <row r="102">
          <cell r="B102" t="str">
            <v>Off-Peak Usage</v>
          </cell>
        </row>
        <row r="106">
          <cell r="B106" t="str">
            <v>Customers/Supply Ch</v>
          </cell>
        </row>
        <row r="107">
          <cell r="B107" t="str">
            <v>Peak Annual Max Demand</v>
          </cell>
        </row>
        <row r="108">
          <cell r="B108" t="str">
            <v>Anytime Actual Demand</v>
          </cell>
        </row>
        <row r="109">
          <cell r="B109" t="str">
            <v>Peak Usage</v>
          </cell>
        </row>
        <row r="110">
          <cell r="B110" t="str">
            <v>Off-Peak Usage</v>
          </cell>
        </row>
        <row r="145">
          <cell r="B145" t="str">
            <v>HV Bus Generation Supplies</v>
          </cell>
        </row>
        <row r="146">
          <cell r="B146" t="str">
            <v>Customers/Supply Ch</v>
          </cell>
        </row>
        <row r="147">
          <cell r="B147" t="str">
            <v>Peak Annual Max Demand</v>
          </cell>
        </row>
        <row r="148">
          <cell r="B148" t="str">
            <v>Anytime Actual Demand</v>
          </cell>
        </row>
        <row r="149">
          <cell r="B149" t="str">
            <v>Peak Usage</v>
          </cell>
        </row>
        <row r="150">
          <cell r="B150" t="str">
            <v>Off-Peak Usage</v>
          </cell>
        </row>
      </sheetData>
      <sheetData sheetId="7">
        <row r="2">
          <cell r="A2" t="str">
            <v>Major Business Customers</v>
          </cell>
        </row>
        <row r="68">
          <cell r="B68" t="str">
            <v>Zone S-Stn Non-Loc</v>
          </cell>
        </row>
        <row r="69">
          <cell r="B69" t="str">
            <v>Customers/Supply Ch</v>
          </cell>
        </row>
        <row r="70">
          <cell r="B70" t="str">
            <v>Peak Agreed Demand</v>
          </cell>
        </row>
        <row r="71">
          <cell r="B71" t="str">
            <v>Anytime Agreed Demand</v>
          </cell>
        </row>
        <row r="72">
          <cell r="B72" t="str">
            <v>Usage</v>
          </cell>
        </row>
        <row r="82">
          <cell r="B82" t="str">
            <v>Sub-Trans Non-Loc</v>
          </cell>
        </row>
        <row r="83">
          <cell r="B83" t="str">
            <v>Customers/Supply Ch</v>
          </cell>
        </row>
        <row r="84">
          <cell r="B84" t="str">
            <v>Peak Agreed Demand</v>
          </cell>
        </row>
        <row r="85">
          <cell r="B85" t="str">
            <v>Anytime Agreed Demand</v>
          </cell>
        </row>
        <row r="86">
          <cell r="B86" t="str">
            <v>Usage</v>
          </cell>
        </row>
      </sheetData>
      <sheetData sheetId="8" refreshError="1"/>
      <sheetData sheetId="9" refreshError="1"/>
      <sheetData sheetId="10" refreshError="1"/>
      <sheetData sheetId="11" refreshError="1"/>
      <sheetData sheetId="12" refreshError="1"/>
      <sheetData sheetId="13">
        <row r="6">
          <cell r="J6">
            <v>170.00219999999999</v>
          </cell>
        </row>
      </sheetData>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revenues"/>
      <sheetName val="Forecast Customer Numbers"/>
      <sheetName val="Chart1"/>
      <sheetName val="Residential"/>
      <sheetName val="Sheet1"/>
      <sheetName val="Small Bus"/>
      <sheetName val="Large LV Bus"/>
      <sheetName val="HV Bus"/>
      <sheetName val="Major Bus"/>
      <sheetName val="RIN Data 3.1"/>
      <sheetName val="RIN Data 3.4"/>
      <sheetName val="RIN Data 3.5"/>
      <sheetName val="RIN Data 3.6"/>
      <sheetName val="Price Schedule"/>
      <sheetName val="Price Schedule 5 year"/>
      <sheetName val="Price Structure FD"/>
    </sheetNames>
    <sheetDataSet>
      <sheetData sheetId="0">
        <row r="6">
          <cell r="F6">
            <v>808.65798475497411</v>
          </cell>
        </row>
      </sheetData>
      <sheetData sheetId="1"/>
      <sheetData sheetId="2" refreshError="1"/>
      <sheetData sheetId="3">
        <row r="35">
          <cell r="F35">
            <v>3182.0919498111698</v>
          </cell>
        </row>
      </sheetData>
      <sheetData sheetId="4"/>
      <sheetData sheetId="5">
        <row r="39">
          <cell r="F39">
            <v>1340.3332530450236</v>
          </cell>
        </row>
      </sheetData>
      <sheetData sheetId="6">
        <row r="39">
          <cell r="G39">
            <v>2723.7979043364303</v>
          </cell>
        </row>
      </sheetData>
      <sheetData sheetId="7">
        <row r="37">
          <cell r="G37">
            <v>753.8</v>
          </cell>
        </row>
      </sheetData>
      <sheetData sheetId="8">
        <row r="27">
          <cell r="G27">
            <v>1194.1680000000001</v>
          </cell>
        </row>
      </sheetData>
      <sheetData sheetId="9"/>
      <sheetData sheetId="10"/>
      <sheetData sheetId="11"/>
      <sheetData sheetId="12"/>
      <sheetData sheetId="13">
        <row r="6">
          <cell r="P6">
            <v>0.42470000000000002</v>
          </cell>
        </row>
      </sheetData>
      <sheetData sheetId="14">
        <row r="6">
          <cell r="J6">
            <v>165.00219999999999</v>
          </cell>
          <cell r="N6">
            <v>175.00219999999999</v>
          </cell>
          <cell r="O6">
            <v>0</v>
          </cell>
          <cell r="P6">
            <v>15</v>
          </cell>
          <cell r="R6">
            <v>185.00219999999999</v>
          </cell>
          <cell r="S6">
            <v>0</v>
          </cell>
          <cell r="T6">
            <v>15</v>
          </cell>
          <cell r="V6">
            <v>195.00219999999999</v>
          </cell>
          <cell r="W6">
            <v>0</v>
          </cell>
          <cell r="X6">
            <v>15</v>
          </cell>
        </row>
        <row r="7">
          <cell r="N7">
            <v>8.3905084671060962E-2</v>
          </cell>
          <cell r="O7">
            <v>3.5608308843501468E-2</v>
          </cell>
          <cell r="P7">
            <v>1.1480325320442894E-2</v>
          </cell>
          <cell r="R7">
            <v>8.1938699396734038E-2</v>
          </cell>
          <cell r="S7">
            <v>3.6602201922563658E-2</v>
          </cell>
          <cell r="T7">
            <v>1.1486197270780143E-2</v>
          </cell>
          <cell r="V7">
            <v>7.9924839365123748E-2</v>
          </cell>
          <cell r="W7">
            <v>3.7623618327448274E-2</v>
          </cell>
          <cell r="X7">
            <v>1.1492280215149857E-2</v>
          </cell>
        </row>
        <row r="8">
          <cell r="N8"/>
          <cell r="O8"/>
          <cell r="P8"/>
          <cell r="R8"/>
          <cell r="S8"/>
          <cell r="T8"/>
          <cell r="V8"/>
          <cell r="W8"/>
          <cell r="X8"/>
        </row>
        <row r="9">
          <cell r="N9">
            <v>175.00219999999999</v>
          </cell>
          <cell r="O9">
            <v>0</v>
          </cell>
          <cell r="P9">
            <v>15</v>
          </cell>
          <cell r="R9">
            <v>185.00219999999999</v>
          </cell>
          <cell r="S9">
            <v>0</v>
          </cell>
          <cell r="T9">
            <v>15</v>
          </cell>
          <cell r="V9">
            <v>195.00219999999999</v>
          </cell>
          <cell r="W9">
            <v>0</v>
          </cell>
          <cell r="X9">
            <v>15</v>
          </cell>
        </row>
        <row r="10">
          <cell r="N10">
            <v>0.1048813558388262</v>
          </cell>
          <cell r="O10">
            <v>4.4510386054376835E-2</v>
          </cell>
          <cell r="P10">
            <v>1.4350406650553617E-2</v>
          </cell>
          <cell r="R10">
            <v>0.10242337424591755</v>
          </cell>
          <cell r="S10">
            <v>4.5752752403204575E-2</v>
          </cell>
          <cell r="T10">
            <v>1.4357746588475179E-2</v>
          </cell>
          <cell r="V10">
            <v>9.9906049206404682E-2</v>
          </cell>
          <cell r="W10">
            <v>4.702952290931034E-2</v>
          </cell>
          <cell r="X10">
            <v>1.4365350268937321E-2</v>
          </cell>
        </row>
        <row r="11">
          <cell r="N11">
            <v>4.1952542335530481E-2</v>
          </cell>
          <cell r="O11">
            <v>1.7804154421750734E-2</v>
          </cell>
          <cell r="P11">
            <v>5.740162660221447E-3</v>
          </cell>
          <cell r="R11">
            <v>4.0969349698367019E-2</v>
          </cell>
          <cell r="S11">
            <v>1.8301100961281829E-2</v>
          </cell>
          <cell r="T11">
            <v>5.7430986353900716E-3</v>
          </cell>
          <cell r="V11">
            <v>3.9962419682561874E-2</v>
          </cell>
          <cell r="W11">
            <v>1.8811809163724137E-2</v>
          </cell>
          <cell r="X11">
            <v>5.7461401075749284E-3</v>
          </cell>
        </row>
        <row r="12">
          <cell r="N12">
            <v>2.097627116776524E-2</v>
          </cell>
          <cell r="O12">
            <v>8.9020772108753671E-3</v>
          </cell>
          <cell r="P12">
            <v>2.8700813301107235E-3</v>
          </cell>
          <cell r="R12">
            <v>2.048467484918351E-2</v>
          </cell>
          <cell r="S12">
            <v>9.1505504806409146E-3</v>
          </cell>
          <cell r="T12">
            <v>2.8715493176950358E-3</v>
          </cell>
          <cell r="V12">
            <v>1.9981209841280937E-2</v>
          </cell>
          <cell r="W12">
            <v>9.4059045818620686E-3</v>
          </cell>
          <cell r="X12">
            <v>2.8730700537874642E-3</v>
          </cell>
        </row>
        <row r="13">
          <cell r="N13"/>
          <cell r="O13"/>
          <cell r="P13"/>
          <cell r="R13"/>
          <cell r="S13"/>
          <cell r="T13"/>
          <cell r="V13"/>
          <cell r="W13"/>
          <cell r="X13"/>
        </row>
        <row r="14">
          <cell r="N14">
            <v>175.00219999999999</v>
          </cell>
          <cell r="O14">
            <v>0</v>
          </cell>
          <cell r="P14">
            <v>15</v>
          </cell>
          <cell r="R14">
            <v>185.00219999999999</v>
          </cell>
          <cell r="S14">
            <v>0</v>
          </cell>
          <cell r="T14">
            <v>15</v>
          </cell>
          <cell r="V14">
            <v>195.00219999999999</v>
          </cell>
          <cell r="W14">
            <v>0</v>
          </cell>
          <cell r="X14">
            <v>15</v>
          </cell>
        </row>
        <row r="15">
          <cell r="N15">
            <v>6.2928813503295725E-2</v>
          </cell>
          <cell r="O15">
            <v>2.6706231632626101E-2</v>
          </cell>
          <cell r="P15">
            <v>8.6102439903321705E-3</v>
          </cell>
          <cell r="R15">
            <v>6.1454024547550529E-2</v>
          </cell>
          <cell r="S15">
            <v>2.7451651441922742E-2</v>
          </cell>
          <cell r="T15">
            <v>8.6146479530851069E-3</v>
          </cell>
          <cell r="V15">
            <v>5.9943629523842815E-2</v>
          </cell>
          <cell r="W15">
            <v>2.8217713745586206E-2</v>
          </cell>
          <cell r="X15">
            <v>8.6192101613623926E-3</v>
          </cell>
        </row>
        <row r="16">
          <cell r="N16">
            <v>2.5171525401318288E-2</v>
          </cell>
          <cell r="O16">
            <v>1.068249265305044E-2</v>
          </cell>
          <cell r="P16">
            <v>3.444097596132868E-3</v>
          </cell>
          <cell r="R16">
            <v>2.458160981902021E-2</v>
          </cell>
          <cell r="S16">
            <v>1.0980660576769097E-2</v>
          </cell>
          <cell r="T16">
            <v>3.4458591812340429E-3</v>
          </cell>
          <cell r="V16">
            <v>2.3977451809537125E-2</v>
          </cell>
          <cell r="W16">
            <v>1.1287085498234482E-2</v>
          </cell>
          <cell r="X16">
            <v>3.447684064544957E-3</v>
          </cell>
        </row>
        <row r="17">
          <cell r="N17">
            <v>1.2585762700659144E-2</v>
          </cell>
          <cell r="O17">
            <v>5.3412463265252201E-3</v>
          </cell>
          <cell r="P17">
            <v>1.722048798066434E-3</v>
          </cell>
          <cell r="R17">
            <v>1.2290804909510105E-2</v>
          </cell>
          <cell r="S17">
            <v>5.4903302883845487E-3</v>
          </cell>
          <cell r="T17">
            <v>1.7229295906170214E-3</v>
          </cell>
          <cell r="V17">
            <v>1.1988725904768563E-2</v>
          </cell>
          <cell r="W17">
            <v>5.643542749117241E-3</v>
          </cell>
          <cell r="X17">
            <v>1.7238420322724785E-3</v>
          </cell>
        </row>
        <row r="18">
          <cell r="N18">
            <v>14.1</v>
          </cell>
          <cell r="O18">
            <v>5.9799999999999995</v>
          </cell>
          <cell r="P18">
            <v>1.92</v>
          </cell>
          <cell r="R18">
            <v>13.76</v>
          </cell>
          <cell r="S18">
            <v>6.14</v>
          </cell>
          <cell r="T18">
            <v>1.92</v>
          </cell>
          <cell r="V18">
            <v>13.419999999999998</v>
          </cell>
          <cell r="W18">
            <v>6.32</v>
          </cell>
          <cell r="X18">
            <v>1.92</v>
          </cell>
        </row>
        <row r="19">
          <cell r="N19"/>
          <cell r="O19"/>
          <cell r="P19"/>
          <cell r="R19"/>
          <cell r="S19"/>
          <cell r="T19"/>
          <cell r="V19"/>
          <cell r="W19"/>
          <cell r="X19"/>
        </row>
        <row r="20">
          <cell r="N20">
            <v>4.1952542335530481E-2</v>
          </cell>
          <cell r="O20">
            <v>1.7804154421750734E-2</v>
          </cell>
          <cell r="P20">
            <v>5.740162660221447E-3</v>
          </cell>
          <cell r="R20">
            <v>4.0969349698367019E-2</v>
          </cell>
          <cell r="S20">
            <v>1.8301100961281829E-2</v>
          </cell>
          <cell r="T20">
            <v>5.7430986353900716E-3</v>
          </cell>
          <cell r="V20">
            <v>3.9962419682561874E-2</v>
          </cell>
          <cell r="W20">
            <v>1.8811809163724137E-2</v>
          </cell>
          <cell r="X20">
            <v>5.7461401075749284E-3</v>
          </cell>
        </row>
        <row r="21">
          <cell r="N21"/>
          <cell r="O21"/>
          <cell r="P21"/>
          <cell r="R21"/>
          <cell r="S21"/>
          <cell r="T21"/>
          <cell r="V21"/>
          <cell r="W21"/>
          <cell r="X21"/>
        </row>
        <row r="22">
          <cell r="N22">
            <v>0.1048813558388262</v>
          </cell>
          <cell r="O22">
            <v>4.4510386054376835E-2</v>
          </cell>
          <cell r="P22">
            <v>1.4350406650553617E-2</v>
          </cell>
          <cell r="R22">
            <v>0.10242337424591755</v>
          </cell>
          <cell r="S22">
            <v>4.5752752403204575E-2</v>
          </cell>
          <cell r="T22">
            <v>1.4357746588475179E-2</v>
          </cell>
          <cell r="V22">
            <v>9.9906049206404682E-2</v>
          </cell>
          <cell r="W22">
            <v>4.702952290931034E-2</v>
          </cell>
          <cell r="X22">
            <v>1.4365350268937321E-2</v>
          </cell>
        </row>
        <row r="23">
          <cell r="N23">
            <v>4.1952542335530481E-2</v>
          </cell>
          <cell r="O23">
            <v>1.7804154421750734E-2</v>
          </cell>
          <cell r="P23">
            <v>5.740162660221447E-3</v>
          </cell>
          <cell r="R23">
            <v>4.0969349698367019E-2</v>
          </cell>
          <cell r="S23">
            <v>1.8301100961281829E-2</v>
          </cell>
          <cell r="T23">
            <v>5.7430986353900716E-3</v>
          </cell>
          <cell r="V23">
            <v>3.9962419682561874E-2</v>
          </cell>
          <cell r="W23">
            <v>1.8811809163724137E-2</v>
          </cell>
          <cell r="X23">
            <v>5.7461401075749284E-3</v>
          </cell>
        </row>
        <row r="24">
          <cell r="N24">
            <v>2.097627116776524E-2</v>
          </cell>
          <cell r="O24">
            <v>8.9020772108753671E-3</v>
          </cell>
          <cell r="P24">
            <v>2.8700813301107235E-3</v>
          </cell>
          <cell r="R24">
            <v>2.048467484918351E-2</v>
          </cell>
          <cell r="S24">
            <v>9.1505504806409146E-3</v>
          </cell>
          <cell r="T24">
            <v>2.8715493176950358E-3</v>
          </cell>
          <cell r="V24">
            <v>1.9981209841280937E-2</v>
          </cell>
          <cell r="W24">
            <v>9.4059045818620686E-3</v>
          </cell>
          <cell r="X24">
            <v>2.8730700537874642E-3</v>
          </cell>
        </row>
        <row r="27">
          <cell r="N27">
            <v>209.99680000000001</v>
          </cell>
          <cell r="O27">
            <v>0</v>
          </cell>
          <cell r="P27">
            <v>15</v>
          </cell>
          <cell r="R27">
            <v>229.99680000000001</v>
          </cell>
          <cell r="S27">
            <v>0</v>
          </cell>
          <cell r="T27">
            <v>15</v>
          </cell>
          <cell r="V27">
            <v>249.99680000000001</v>
          </cell>
          <cell r="W27">
            <v>0</v>
          </cell>
          <cell r="X27">
            <v>15</v>
          </cell>
        </row>
        <row r="28">
          <cell r="N28">
            <v>9.9049847607125277E-2</v>
          </cell>
          <cell r="O28">
            <v>3.9713037579173528E-2</v>
          </cell>
          <cell r="P28">
            <v>8.7788367173623014E-3</v>
          </cell>
          <cell r="R28">
            <v>0.10102369646756647</v>
          </cell>
          <cell r="S28">
            <v>4.1692756467118466E-2</v>
          </cell>
          <cell r="T28">
            <v>8.9828590316230646E-3</v>
          </cell>
          <cell r="V28">
            <v>0.10228393380344139</v>
          </cell>
          <cell r="W28">
            <v>4.3762122114744971E-2</v>
          </cell>
          <cell r="X28">
            <v>9.1977005810229828E-3</v>
          </cell>
        </row>
        <row r="30">
          <cell r="N30">
            <v>209.99680000000001</v>
          </cell>
          <cell r="O30">
            <v>0</v>
          </cell>
          <cell r="P30">
            <v>15</v>
          </cell>
          <cell r="R30">
            <v>229.99680000000001</v>
          </cell>
          <cell r="S30">
            <v>0</v>
          </cell>
          <cell r="T30">
            <v>15</v>
          </cell>
          <cell r="V30">
            <v>249.99680000000001</v>
          </cell>
          <cell r="W30">
            <v>0</v>
          </cell>
          <cell r="X30">
            <v>15</v>
          </cell>
        </row>
        <row r="31">
          <cell r="N31">
            <v>0.11162917825323018</v>
          </cell>
          <cell r="O31">
            <v>4.4756593351728567E-2</v>
          </cell>
          <cell r="P31">
            <v>9.8937489804673141E-3</v>
          </cell>
          <cell r="R31">
            <v>0.1138537059189474</v>
          </cell>
          <cell r="S31">
            <v>4.6987736538442515E-2</v>
          </cell>
          <cell r="T31">
            <v>1.0123682128639193E-2</v>
          </cell>
          <cell r="V31">
            <v>0.11527399339647845</v>
          </cell>
          <cell r="W31">
            <v>4.9319911623317579E-2</v>
          </cell>
          <cell r="X31">
            <v>1.0365808554812901E-2</v>
          </cell>
        </row>
        <row r="32">
          <cell r="N32">
            <v>5.5814589126615091E-2</v>
          </cell>
          <cell r="O32">
            <v>2.2378296675864284E-2</v>
          </cell>
          <cell r="P32">
            <v>4.946874490233657E-3</v>
          </cell>
          <cell r="R32">
            <v>5.6926852959473702E-2</v>
          </cell>
          <cell r="S32">
            <v>2.3493868269221257E-2</v>
          </cell>
          <cell r="T32">
            <v>5.0618410643195966E-3</v>
          </cell>
          <cell r="V32">
            <v>5.7636996698239226E-2</v>
          </cell>
          <cell r="W32">
            <v>2.465995581165879E-2</v>
          </cell>
          <cell r="X32">
            <v>5.1829042774064506E-3</v>
          </cell>
        </row>
        <row r="34">
          <cell r="N34">
            <v>209.99680000000001</v>
          </cell>
          <cell r="O34">
            <v>0</v>
          </cell>
          <cell r="P34">
            <v>15</v>
          </cell>
          <cell r="R34">
            <v>229.99680000000001</v>
          </cell>
          <cell r="S34">
            <v>0</v>
          </cell>
          <cell r="T34">
            <v>15</v>
          </cell>
          <cell r="V34">
            <v>249.99680000000001</v>
          </cell>
          <cell r="W34">
            <v>0</v>
          </cell>
          <cell r="X34">
            <v>15</v>
          </cell>
        </row>
        <row r="35">
          <cell r="N35">
            <v>0.14857477141068792</v>
          </cell>
          <cell r="O35">
            <v>5.9569556368760296E-2</v>
          </cell>
          <cell r="P35">
            <v>1.3168255076043453E-2</v>
          </cell>
          <cell r="R35">
            <v>0.15153554470134969</v>
          </cell>
          <cell r="S35">
            <v>6.2539134700677707E-2</v>
          </cell>
          <cell r="T35">
            <v>1.3474288547434597E-2</v>
          </cell>
          <cell r="V35">
            <v>0.1534259007051621</v>
          </cell>
          <cell r="W35">
            <v>6.5643183172117453E-2</v>
          </cell>
          <cell r="X35">
            <v>1.3796550871534474E-2</v>
          </cell>
        </row>
        <row r="36">
          <cell r="N36">
            <v>0.10340804090183879</v>
          </cell>
          <cell r="O36">
            <v>4.1460411232657167E-2</v>
          </cell>
          <cell r="P36">
            <v>9.1651055329262428E-3</v>
          </cell>
          <cell r="R36">
            <v>0.1054687391121394</v>
          </cell>
          <cell r="S36">
            <v>4.352723775167168E-2</v>
          </cell>
          <cell r="T36">
            <v>9.3781048290144803E-3</v>
          </cell>
          <cell r="V36">
            <v>0.10678442689079282</v>
          </cell>
          <cell r="W36">
            <v>4.568765548779375E-2</v>
          </cell>
          <cell r="X36">
            <v>9.6023994065879952E-3</v>
          </cell>
        </row>
        <row r="37">
          <cell r="N37">
            <v>5.5814589126615091E-2</v>
          </cell>
          <cell r="O37">
            <v>2.2378296675864284E-2</v>
          </cell>
          <cell r="P37">
            <v>4.946874490233657E-3</v>
          </cell>
          <cell r="R37">
            <v>5.6926852959473702E-2</v>
          </cell>
          <cell r="S37">
            <v>2.3493868269221257E-2</v>
          </cell>
          <cell r="T37">
            <v>5.0618410643195966E-3</v>
          </cell>
          <cell r="V37">
            <v>5.7636996698239226E-2</v>
          </cell>
          <cell r="W37">
            <v>2.465995581165879E-2</v>
          </cell>
          <cell r="X37">
            <v>5.1829042774064506E-3</v>
          </cell>
        </row>
        <row r="39">
          <cell r="N39">
            <v>209.99680000000001</v>
          </cell>
          <cell r="O39">
            <v>0</v>
          </cell>
          <cell r="P39">
            <v>15</v>
          </cell>
          <cell r="R39">
            <v>229.99680000000001</v>
          </cell>
          <cell r="S39">
            <v>0</v>
          </cell>
          <cell r="T39">
            <v>15</v>
          </cell>
          <cell r="V39">
            <v>249.99680000000001</v>
          </cell>
          <cell r="W39">
            <v>0</v>
          </cell>
          <cell r="X39">
            <v>15</v>
          </cell>
        </row>
        <row r="40">
          <cell r="N40">
            <v>28.1</v>
          </cell>
          <cell r="O40">
            <v>0</v>
          </cell>
          <cell r="P40">
            <v>0</v>
          </cell>
          <cell r="R40">
            <v>28.7</v>
          </cell>
          <cell r="S40">
            <v>0</v>
          </cell>
          <cell r="T40">
            <v>0</v>
          </cell>
          <cell r="V40">
            <v>29.1</v>
          </cell>
          <cell r="W40">
            <v>0</v>
          </cell>
          <cell r="X40">
            <v>0</v>
          </cell>
        </row>
        <row r="41">
          <cell r="N41">
            <v>0.11885981712855034</v>
          </cell>
          <cell r="O41">
            <v>4.7655645095008241E-2</v>
          </cell>
          <cell r="P41">
            <v>1.0534604060834764E-2</v>
          </cell>
          <cell r="R41">
            <v>0.12122843576107978</v>
          </cell>
          <cell r="S41">
            <v>5.0031307760542168E-2</v>
          </cell>
          <cell r="T41">
            <v>1.077943083794768E-2</v>
          </cell>
          <cell r="V41">
            <v>0.12274072056412969</v>
          </cell>
          <cell r="W41">
            <v>5.2514546537693975E-2</v>
          </cell>
          <cell r="X41">
            <v>1.1037240697227581E-2</v>
          </cell>
        </row>
        <row r="42">
          <cell r="N42">
            <v>8.2726432721471038E-2</v>
          </cell>
          <cell r="O42">
            <v>3.3168328986125734E-2</v>
          </cell>
          <cell r="P42">
            <v>7.3320844263409946E-3</v>
          </cell>
          <cell r="R42">
            <v>8.4374991289711515E-2</v>
          </cell>
          <cell r="S42">
            <v>3.4821790201337348E-2</v>
          </cell>
          <cell r="T42">
            <v>7.5024838632115837E-3</v>
          </cell>
          <cell r="V42">
            <v>8.542754151263425E-2</v>
          </cell>
          <cell r="W42">
            <v>3.6550124390235E-2</v>
          </cell>
          <cell r="X42">
            <v>7.6819195252703955E-3</v>
          </cell>
        </row>
        <row r="43">
          <cell r="N43">
            <v>4.4651671301292079E-2</v>
          </cell>
          <cell r="O43">
            <v>1.7902637340691429E-2</v>
          </cell>
          <cell r="P43">
            <v>3.957499592186926E-3</v>
          </cell>
          <cell r="R43">
            <v>4.5541482367578968E-2</v>
          </cell>
          <cell r="S43">
            <v>1.8795094615377005E-2</v>
          </cell>
          <cell r="T43">
            <v>4.0494728514556778E-3</v>
          </cell>
          <cell r="V43">
            <v>4.6109597358591381E-2</v>
          </cell>
          <cell r="W43">
            <v>1.9727964649327034E-2</v>
          </cell>
          <cell r="X43">
            <v>4.146323421925161E-3</v>
          </cell>
        </row>
        <row r="45">
          <cell r="N45">
            <v>2999.9967999999999</v>
          </cell>
          <cell r="O45">
            <v>0</v>
          </cell>
          <cell r="P45">
            <v>15</v>
          </cell>
          <cell r="R45">
            <v>3999.9967999999999</v>
          </cell>
          <cell r="S45">
            <v>0</v>
          </cell>
          <cell r="T45">
            <v>15</v>
          </cell>
          <cell r="V45">
            <v>4999.9967999999999</v>
          </cell>
          <cell r="W45">
            <v>0</v>
          </cell>
          <cell r="X45">
            <v>15</v>
          </cell>
        </row>
        <row r="46">
          <cell r="N46">
            <v>9.3449600000000004</v>
          </cell>
          <cell r="O46">
            <v>2.6204799999999997</v>
          </cell>
          <cell r="P46">
            <v>0</v>
          </cell>
          <cell r="R46">
            <v>9.3449600000000004</v>
          </cell>
          <cell r="S46">
            <v>2.6204799999999997</v>
          </cell>
          <cell r="T46">
            <v>0</v>
          </cell>
          <cell r="V46">
            <v>9.3449600000000004</v>
          </cell>
          <cell r="W46">
            <v>2.6204799999999997</v>
          </cell>
          <cell r="X46">
            <v>0</v>
          </cell>
        </row>
        <row r="47">
          <cell r="N47">
            <v>4.6573500000000001</v>
          </cell>
          <cell r="O47">
            <v>1.3053999999999999</v>
          </cell>
          <cell r="P47">
            <v>0</v>
          </cell>
          <cell r="R47">
            <v>4.6573500000000001</v>
          </cell>
          <cell r="S47">
            <v>1.3053999999999999</v>
          </cell>
          <cell r="T47">
            <v>0</v>
          </cell>
          <cell r="V47">
            <v>4.6573500000000001</v>
          </cell>
          <cell r="W47">
            <v>1.3053999999999999</v>
          </cell>
          <cell r="X47">
            <v>0</v>
          </cell>
        </row>
        <row r="48">
          <cell r="N48">
            <v>6.59E-2</v>
          </cell>
          <cell r="O48">
            <v>2.5900000000000003E-2</v>
          </cell>
          <cell r="P48">
            <v>7.1000000000000004E-3</v>
          </cell>
          <cell r="R48">
            <v>7.3099999999999998E-2</v>
          </cell>
          <cell r="S48">
            <v>2.8700000000000003E-2</v>
          </cell>
          <cell r="T48">
            <v>7.1000000000000004E-3</v>
          </cell>
          <cell r="V48">
            <v>8.0299999999999996E-2</v>
          </cell>
          <cell r="W48">
            <v>3.15E-2</v>
          </cell>
          <cell r="X48">
            <v>7.1000000000000004E-3</v>
          </cell>
        </row>
        <row r="50">
          <cell r="N50">
            <v>4.1952542335530481E-2</v>
          </cell>
          <cell r="O50">
            <v>1.7804154421750734E-2</v>
          </cell>
          <cell r="P50">
            <v>8.7788367173623014E-3</v>
          </cell>
          <cell r="R50">
            <v>4.0969349698367019E-2</v>
          </cell>
          <cell r="S50">
            <v>1.8301100961281829E-2</v>
          </cell>
          <cell r="T50">
            <v>8.9828590316230646E-3</v>
          </cell>
          <cell r="V50">
            <v>3.9962419682561874E-2</v>
          </cell>
          <cell r="W50">
            <v>1.8811809163724137E-2</v>
          </cell>
          <cell r="X50">
            <v>9.1977005810229828E-3</v>
          </cell>
        </row>
        <row r="52">
          <cell r="N52">
            <v>6.477860033505993E-2</v>
          </cell>
          <cell r="O52">
            <v>2.7282856816892215E-2</v>
          </cell>
          <cell r="P52">
            <v>5.7413592131549456E-3</v>
          </cell>
          <cell r="R52">
            <v>6.6069497489788478E-2</v>
          </cell>
          <cell r="S52">
            <v>2.8642923692910389E-2</v>
          </cell>
          <cell r="T52">
            <v>5.8747898066814847E-3</v>
          </cell>
          <cell r="V52">
            <v>6.6893692707450672E-2</v>
          </cell>
          <cell r="W52">
            <v>3.0064577892829798E-2</v>
          </cell>
          <cell r="X52">
            <v>6.0152961799890313E-3</v>
          </cell>
        </row>
        <row r="64">
          <cell r="N64">
            <v>2384.9634734328779</v>
          </cell>
          <cell r="O64">
            <v>0</v>
          </cell>
          <cell r="P64">
            <v>0</v>
          </cell>
          <cell r="R64">
            <v>2443.9913194003416</v>
          </cell>
          <cell r="S64">
            <v>0</v>
          </cell>
          <cell r="T64">
            <v>0</v>
          </cell>
          <cell r="V64">
            <v>2500.5986779072014</v>
          </cell>
          <cell r="W64">
            <v>0</v>
          </cell>
          <cell r="X64">
            <v>0</v>
          </cell>
        </row>
        <row r="65">
          <cell r="N65">
            <v>50.5</v>
          </cell>
          <cell r="O65">
            <v>42.5</v>
          </cell>
          <cell r="P65">
            <v>0</v>
          </cell>
          <cell r="R65">
            <v>51.7</v>
          </cell>
          <cell r="S65">
            <v>44.5</v>
          </cell>
          <cell r="T65">
            <v>0</v>
          </cell>
          <cell r="V65">
            <v>52.9</v>
          </cell>
          <cell r="W65">
            <v>46.5</v>
          </cell>
          <cell r="X65">
            <v>0</v>
          </cell>
        </row>
        <row r="66">
          <cell r="N66">
            <v>36</v>
          </cell>
          <cell r="O66">
            <v>0</v>
          </cell>
          <cell r="P66">
            <v>0</v>
          </cell>
          <cell r="R66">
            <v>36.9</v>
          </cell>
          <cell r="S66">
            <v>0</v>
          </cell>
          <cell r="T66">
            <v>0</v>
          </cell>
          <cell r="V66">
            <v>37.799999999999997</v>
          </cell>
          <cell r="W66">
            <v>0</v>
          </cell>
          <cell r="X66">
            <v>0</v>
          </cell>
        </row>
        <row r="67">
          <cell r="N67">
            <v>4.0143705184822208E-2</v>
          </cell>
          <cell r="O67">
            <v>1.8939209923524266E-2</v>
          </cell>
          <cell r="P67">
            <v>6.7112414077694915E-3</v>
          </cell>
          <cell r="R67">
            <v>4.1137261888146558E-2</v>
          </cell>
          <cell r="S67">
            <v>1.9819518519055425E-2</v>
          </cell>
          <cell r="T67">
            <v>6.8502060418470789E-3</v>
          </cell>
          <cell r="V67">
            <v>4.2090076946534022E-2</v>
          </cell>
          <cell r="W67">
            <v>2.0731216370931976E-2</v>
          </cell>
          <cell r="X67">
            <v>6.9958126714100878E-3</v>
          </cell>
        </row>
        <row r="68">
          <cell r="N68">
            <v>2.5089815740513877E-2</v>
          </cell>
          <cell r="O68">
            <v>1.1837006202202668E-2</v>
          </cell>
          <cell r="P68">
            <v>4.1945258798559322E-3</v>
          </cell>
          <cell r="R68">
            <v>2.5710788680091596E-2</v>
          </cell>
          <cell r="S68">
            <v>1.2387199074409643E-2</v>
          </cell>
          <cell r="T68">
            <v>4.2813787761544243E-3</v>
          </cell>
          <cell r="V68">
            <v>2.6306298091583764E-2</v>
          </cell>
          <cell r="W68">
            <v>1.2957010231832487E-2</v>
          </cell>
          <cell r="X68">
            <v>4.3723829196313044E-3</v>
          </cell>
        </row>
        <row r="70">
          <cell r="N70">
            <v>2384.9634734328779</v>
          </cell>
          <cell r="O70">
            <v>0</v>
          </cell>
          <cell r="P70">
            <v>0</v>
          </cell>
          <cell r="R70">
            <v>2443.9913194003416</v>
          </cell>
          <cell r="S70">
            <v>0</v>
          </cell>
          <cell r="T70">
            <v>0</v>
          </cell>
          <cell r="V70">
            <v>2500.5986779072014</v>
          </cell>
          <cell r="W70">
            <v>0</v>
          </cell>
          <cell r="X70">
            <v>0</v>
          </cell>
        </row>
        <row r="71">
          <cell r="N71">
            <v>15.15</v>
          </cell>
          <cell r="O71">
            <v>12.75</v>
          </cell>
          <cell r="P71">
            <v>0</v>
          </cell>
          <cell r="R71">
            <v>15.510000000000002</v>
          </cell>
          <cell r="S71">
            <v>13.35</v>
          </cell>
          <cell r="T71">
            <v>0</v>
          </cell>
          <cell r="V71">
            <v>15.87</v>
          </cell>
          <cell r="W71">
            <v>13.95</v>
          </cell>
          <cell r="X71">
            <v>0</v>
          </cell>
        </row>
        <row r="72">
          <cell r="N72">
            <v>36</v>
          </cell>
          <cell r="O72">
            <v>0</v>
          </cell>
          <cell r="P72">
            <v>0</v>
          </cell>
          <cell r="R72">
            <v>36.9</v>
          </cell>
          <cell r="S72">
            <v>0</v>
          </cell>
          <cell r="T72">
            <v>0</v>
          </cell>
          <cell r="V72">
            <v>37.799999999999997</v>
          </cell>
          <cell r="W72">
            <v>0</v>
          </cell>
          <cell r="X72">
            <v>0</v>
          </cell>
        </row>
        <row r="73">
          <cell r="N73">
            <v>4.0143705184822208E-2</v>
          </cell>
          <cell r="O73">
            <v>1.8939209923524266E-2</v>
          </cell>
          <cell r="P73">
            <v>6.7112414077694915E-3</v>
          </cell>
          <cell r="R73">
            <v>4.1137261888146558E-2</v>
          </cell>
          <cell r="S73">
            <v>1.9819518519055425E-2</v>
          </cell>
          <cell r="T73">
            <v>6.8502060418470789E-3</v>
          </cell>
          <cell r="V73">
            <v>4.2090076946534022E-2</v>
          </cell>
          <cell r="W73">
            <v>2.0731216370931976E-2</v>
          </cell>
          <cell r="X73">
            <v>6.9958126714100878E-3</v>
          </cell>
        </row>
        <row r="74">
          <cell r="N74">
            <v>2.5089815740513877E-2</v>
          </cell>
          <cell r="O74">
            <v>1.1837006202202668E-2</v>
          </cell>
          <cell r="P74">
            <v>4.1945258798559322E-3</v>
          </cell>
          <cell r="R74">
            <v>2.5710788680091596E-2</v>
          </cell>
          <cell r="S74">
            <v>1.2387199074409643E-2</v>
          </cell>
          <cell r="T74">
            <v>4.2813787761544243E-3</v>
          </cell>
          <cell r="V74">
            <v>2.6306298091583764E-2</v>
          </cell>
          <cell r="W74">
            <v>1.2957010231832487E-2</v>
          </cell>
          <cell r="X74">
            <v>4.3723829196313044E-3</v>
          </cell>
        </row>
        <row r="76">
          <cell r="N76">
            <v>2999.9967999999999</v>
          </cell>
          <cell r="O76">
            <v>0</v>
          </cell>
          <cell r="P76">
            <v>0</v>
          </cell>
          <cell r="R76">
            <v>3999.9967999999999</v>
          </cell>
          <cell r="S76">
            <v>0</v>
          </cell>
          <cell r="T76">
            <v>0</v>
          </cell>
          <cell r="V76">
            <v>4999.9967999999999</v>
          </cell>
          <cell r="W76">
            <v>0</v>
          </cell>
          <cell r="X76">
            <v>0</v>
          </cell>
        </row>
        <row r="77">
          <cell r="N77">
            <v>9.3449600000000004</v>
          </cell>
          <cell r="O77">
            <v>2.6204799999999997</v>
          </cell>
          <cell r="P77">
            <v>0</v>
          </cell>
          <cell r="R77">
            <v>9.3449600000000004</v>
          </cell>
          <cell r="S77">
            <v>2.6204799999999997</v>
          </cell>
          <cell r="T77">
            <v>0</v>
          </cell>
          <cell r="V77">
            <v>9.3449600000000004</v>
          </cell>
          <cell r="W77">
            <v>2.6204799999999997</v>
          </cell>
          <cell r="X77">
            <v>0</v>
          </cell>
        </row>
        <row r="78">
          <cell r="N78">
            <v>4.6573500000000001</v>
          </cell>
          <cell r="O78">
            <v>1.3053999999999999</v>
          </cell>
          <cell r="P78">
            <v>0</v>
          </cell>
          <cell r="R78">
            <v>4.6573500000000001</v>
          </cell>
          <cell r="S78">
            <v>1.3053999999999999</v>
          </cell>
          <cell r="T78">
            <v>0</v>
          </cell>
          <cell r="V78">
            <v>4.6573500000000001</v>
          </cell>
          <cell r="W78">
            <v>1.3053999999999999</v>
          </cell>
          <cell r="X78">
            <v>0</v>
          </cell>
        </row>
        <row r="79">
          <cell r="N79">
            <v>6.59E-2</v>
          </cell>
          <cell r="O79">
            <v>2.5900000000000003E-2</v>
          </cell>
          <cell r="P79">
            <v>5.1999999999999998E-3</v>
          </cell>
          <cell r="R79">
            <v>7.3099999999999998E-2</v>
          </cell>
          <cell r="S79">
            <v>2.8700000000000003E-2</v>
          </cell>
          <cell r="T79">
            <v>5.1999999999999998E-3</v>
          </cell>
          <cell r="V79">
            <v>8.0299999999999996E-2</v>
          </cell>
          <cell r="W79">
            <v>3.15E-2</v>
          </cell>
          <cell r="X79">
            <v>5.1999999999999998E-3</v>
          </cell>
        </row>
        <row r="81">
          <cell r="N81">
            <v>209.99680000000001</v>
          </cell>
          <cell r="O81">
            <v>0</v>
          </cell>
          <cell r="P81">
            <v>0</v>
          </cell>
          <cell r="R81">
            <v>229.99680000000001</v>
          </cell>
          <cell r="S81">
            <v>0</v>
          </cell>
          <cell r="T81">
            <v>0</v>
          </cell>
          <cell r="V81">
            <v>249.99680000000001</v>
          </cell>
          <cell r="W81">
            <v>0</v>
          </cell>
          <cell r="X81">
            <v>0</v>
          </cell>
        </row>
        <row r="82">
          <cell r="N82">
            <v>0.11885981712855033</v>
          </cell>
          <cell r="O82">
            <v>4.7655645095008234E-2</v>
          </cell>
          <cell r="P82">
            <v>5.8807252835580172E-3</v>
          </cell>
          <cell r="R82">
            <v>0.12122843576107975</v>
          </cell>
          <cell r="S82">
            <v>5.0031307760542161E-2</v>
          </cell>
          <cell r="T82">
            <v>6.0024930441685024E-3</v>
          </cell>
          <cell r="V82">
            <v>0.12274072056412966</v>
          </cell>
          <cell r="W82">
            <v>5.2514546537693961E-2</v>
          </cell>
          <cell r="X82">
            <v>6.1300808533230888E-3</v>
          </cell>
        </row>
        <row r="84">
          <cell r="N84">
            <v>209.99680000000001</v>
          </cell>
          <cell r="O84">
            <v>0</v>
          </cell>
          <cell r="P84">
            <v>0</v>
          </cell>
          <cell r="R84">
            <v>229.99680000000001</v>
          </cell>
          <cell r="S84">
            <v>0</v>
          </cell>
          <cell r="T84">
            <v>0</v>
          </cell>
          <cell r="V84">
            <v>249.99680000000001</v>
          </cell>
          <cell r="W84">
            <v>0</v>
          </cell>
          <cell r="X84">
            <v>0</v>
          </cell>
        </row>
        <row r="85">
          <cell r="N85">
            <v>0.13395501390387621</v>
          </cell>
          <cell r="O85">
            <v>5.3707912022074276E-2</v>
          </cell>
          <cell r="P85">
            <v>6.7112414077694915E-3</v>
          </cell>
          <cell r="R85">
            <v>0.13662444710273688</v>
          </cell>
          <cell r="S85">
            <v>5.6385283846131014E-2</v>
          </cell>
          <cell r="T85">
            <v>6.8502060418470789E-3</v>
          </cell>
          <cell r="V85">
            <v>0.13832879207577414</v>
          </cell>
          <cell r="W85">
            <v>5.9183893947981091E-2</v>
          </cell>
          <cell r="X85">
            <v>6.9958126714100878E-3</v>
          </cell>
        </row>
        <row r="86">
          <cell r="N86">
            <v>6.6977506951938104E-2</v>
          </cell>
          <cell r="O86">
            <v>2.6853956011037138E-2</v>
          </cell>
          <cell r="P86">
            <v>4.1945258798559322E-3</v>
          </cell>
          <cell r="R86">
            <v>6.8312223551368442E-2</v>
          </cell>
          <cell r="S86">
            <v>2.8192641923065507E-2</v>
          </cell>
          <cell r="T86">
            <v>4.2813787761544243E-3</v>
          </cell>
          <cell r="V86">
            <v>6.9164396037887071E-2</v>
          </cell>
          <cell r="W86">
            <v>2.9591946973990545E-2</v>
          </cell>
          <cell r="X86">
            <v>4.3723829196313044E-3</v>
          </cell>
        </row>
        <row r="88">
          <cell r="N88">
            <v>2384.9634734328779</v>
          </cell>
          <cell r="O88">
            <v>0</v>
          </cell>
          <cell r="P88">
            <v>0</v>
          </cell>
          <cell r="R88">
            <v>2443.9913194003416</v>
          </cell>
          <cell r="S88">
            <v>0</v>
          </cell>
          <cell r="T88">
            <v>0</v>
          </cell>
          <cell r="V88">
            <v>2500.5986779072014</v>
          </cell>
          <cell r="W88">
            <v>0</v>
          </cell>
          <cell r="X88">
            <v>0</v>
          </cell>
        </row>
        <row r="89">
          <cell r="N89">
            <v>50.5</v>
          </cell>
          <cell r="O89">
            <v>42.5</v>
          </cell>
          <cell r="P89">
            <v>0</v>
          </cell>
          <cell r="R89">
            <v>51.7</v>
          </cell>
          <cell r="S89">
            <v>44.5</v>
          </cell>
          <cell r="T89">
            <v>0</v>
          </cell>
          <cell r="V89">
            <v>52.9</v>
          </cell>
          <cell r="W89">
            <v>46.5</v>
          </cell>
          <cell r="X89">
            <v>0</v>
          </cell>
        </row>
        <row r="90">
          <cell r="N90">
            <v>36</v>
          </cell>
          <cell r="O90">
            <v>0</v>
          </cell>
          <cell r="P90">
            <v>0</v>
          </cell>
          <cell r="R90">
            <v>36.9</v>
          </cell>
          <cell r="S90">
            <v>0</v>
          </cell>
          <cell r="T90">
            <v>0</v>
          </cell>
          <cell r="V90">
            <v>37.799999999999997</v>
          </cell>
          <cell r="W90">
            <v>0</v>
          </cell>
          <cell r="X90">
            <v>0</v>
          </cell>
        </row>
        <row r="91">
          <cell r="N91">
            <v>0</v>
          </cell>
          <cell r="O91">
            <v>0</v>
          </cell>
          <cell r="P91">
            <v>0</v>
          </cell>
          <cell r="R91">
            <v>0</v>
          </cell>
          <cell r="S91">
            <v>0</v>
          </cell>
          <cell r="T91">
            <v>0</v>
          </cell>
          <cell r="V91">
            <v>0</v>
          </cell>
          <cell r="W91">
            <v>0</v>
          </cell>
          <cell r="X91">
            <v>0</v>
          </cell>
        </row>
        <row r="92">
          <cell r="N92">
            <v>0</v>
          </cell>
          <cell r="O92">
            <v>0</v>
          </cell>
          <cell r="P92">
            <v>0</v>
          </cell>
          <cell r="R92">
            <v>0</v>
          </cell>
          <cell r="S92">
            <v>0</v>
          </cell>
          <cell r="T92">
            <v>0</v>
          </cell>
          <cell r="V92">
            <v>0</v>
          </cell>
          <cell r="W92">
            <v>0</v>
          </cell>
          <cell r="X92">
            <v>0</v>
          </cell>
        </row>
        <row r="104">
          <cell r="N104">
            <v>13263.435318727577</v>
          </cell>
          <cell r="O104">
            <v>0</v>
          </cell>
          <cell r="P104">
            <v>0</v>
          </cell>
          <cell r="R104">
            <v>13552.916320314198</v>
          </cell>
          <cell r="S104">
            <v>0</v>
          </cell>
          <cell r="T104">
            <v>0</v>
          </cell>
          <cell r="V104">
            <v>13851.080479361111</v>
          </cell>
          <cell r="W104">
            <v>0</v>
          </cell>
          <cell r="X104">
            <v>0</v>
          </cell>
        </row>
        <row r="105">
          <cell r="N105">
            <v>34.4</v>
          </cell>
          <cell r="O105">
            <v>40.5</v>
          </cell>
          <cell r="P105">
            <v>0</v>
          </cell>
          <cell r="R105">
            <v>35.200000000000003</v>
          </cell>
          <cell r="S105">
            <v>42.4</v>
          </cell>
          <cell r="T105">
            <v>0</v>
          </cell>
          <cell r="V105">
            <v>36</v>
          </cell>
          <cell r="W105">
            <v>44.4</v>
          </cell>
          <cell r="X105">
            <v>0</v>
          </cell>
        </row>
        <row r="106">
          <cell r="N106">
            <v>33.4</v>
          </cell>
          <cell r="O106">
            <v>0</v>
          </cell>
          <cell r="P106">
            <v>0</v>
          </cell>
          <cell r="R106">
            <v>34.1</v>
          </cell>
          <cell r="S106">
            <v>0</v>
          </cell>
          <cell r="T106">
            <v>0</v>
          </cell>
          <cell r="V106">
            <v>34.9</v>
          </cell>
          <cell r="W106">
            <v>0</v>
          </cell>
          <cell r="X106">
            <v>0</v>
          </cell>
        </row>
        <row r="107">
          <cell r="N107">
            <v>2.1221496509964126E-2</v>
          </cell>
          <cell r="O107">
            <v>1.3444308248430221E-2</v>
          </cell>
          <cell r="P107">
            <v>4.421930155655172E-3</v>
          </cell>
          <cell r="R107">
            <v>2.1684666112502717E-2</v>
          </cell>
          <cell r="S107">
            <v>1.4062746427858012E-2</v>
          </cell>
          <cell r="T107">
            <v>4.5147607947111923E-3</v>
          </cell>
          <cell r="V107">
            <v>2.2161728766977778E-2</v>
          </cell>
          <cell r="W107">
            <v>1.4709632763539482E-2</v>
          </cell>
          <cell r="X107">
            <v>4.6115726439539947E-3</v>
          </cell>
        </row>
        <row r="108">
          <cell r="N108">
            <v>1.326343531872758E-2</v>
          </cell>
          <cell r="O108">
            <v>8.4026926552688893E-3</v>
          </cell>
          <cell r="P108">
            <v>2.7637063472844814E-3</v>
          </cell>
          <cell r="R108">
            <v>1.3552916320314199E-2</v>
          </cell>
          <cell r="S108">
            <v>8.7892165174112587E-3</v>
          </cell>
          <cell r="T108">
            <v>2.8217254966944939E-3</v>
          </cell>
          <cell r="V108">
            <v>1.3851080479361112E-2</v>
          </cell>
          <cell r="W108">
            <v>9.1935204772121762E-3</v>
          </cell>
          <cell r="X108">
            <v>2.8822329024712451E-3</v>
          </cell>
        </row>
        <row r="110">
          <cell r="N110">
            <v>13263.435318727577</v>
          </cell>
          <cell r="O110">
            <v>0</v>
          </cell>
          <cell r="P110">
            <v>0</v>
          </cell>
          <cell r="R110">
            <v>13552.916320314198</v>
          </cell>
          <cell r="S110">
            <v>0</v>
          </cell>
          <cell r="T110">
            <v>0</v>
          </cell>
          <cell r="V110">
            <v>13851.080479361111</v>
          </cell>
          <cell r="W110">
            <v>0</v>
          </cell>
          <cell r="X110">
            <v>0</v>
          </cell>
        </row>
        <row r="111">
          <cell r="N111">
            <v>10.319999999999999</v>
          </cell>
          <cell r="O111">
            <v>12.15</v>
          </cell>
          <cell r="P111">
            <v>0</v>
          </cell>
          <cell r="R111">
            <v>10.56</v>
          </cell>
          <cell r="S111">
            <v>12.719999999999999</v>
          </cell>
          <cell r="T111">
            <v>0</v>
          </cell>
          <cell r="V111">
            <v>10.8</v>
          </cell>
          <cell r="W111">
            <v>13.319999999999999</v>
          </cell>
          <cell r="X111">
            <v>0</v>
          </cell>
        </row>
        <row r="112">
          <cell r="N112">
            <v>33.4</v>
          </cell>
          <cell r="O112">
            <v>0</v>
          </cell>
          <cell r="P112">
            <v>0</v>
          </cell>
          <cell r="R112">
            <v>34.1</v>
          </cell>
          <cell r="S112">
            <v>0</v>
          </cell>
          <cell r="T112">
            <v>0</v>
          </cell>
          <cell r="V112">
            <v>34.9</v>
          </cell>
          <cell r="W112">
            <v>0</v>
          </cell>
          <cell r="X112">
            <v>0</v>
          </cell>
        </row>
        <row r="113">
          <cell r="N113">
            <v>2.1221496509964126E-2</v>
          </cell>
          <cell r="O113">
            <v>1.3444308248430221E-2</v>
          </cell>
          <cell r="P113">
            <v>4.421930155655172E-3</v>
          </cell>
          <cell r="R113">
            <v>2.1684666112502717E-2</v>
          </cell>
          <cell r="S113">
            <v>1.4062746427858012E-2</v>
          </cell>
          <cell r="T113">
            <v>4.5147607947111923E-3</v>
          </cell>
          <cell r="V113">
            <v>2.2161728766977778E-2</v>
          </cell>
          <cell r="W113">
            <v>1.4709632763539482E-2</v>
          </cell>
          <cell r="X113">
            <v>4.6115726439539947E-3</v>
          </cell>
        </row>
        <row r="114">
          <cell r="N114">
            <v>1.326343531872758E-2</v>
          </cell>
          <cell r="O114">
            <v>8.4026926552688893E-3</v>
          </cell>
          <cell r="P114">
            <v>2.7637063472844814E-3</v>
          </cell>
          <cell r="R114">
            <v>1.3552916320314199E-2</v>
          </cell>
          <cell r="S114">
            <v>8.7892165174112587E-3</v>
          </cell>
          <cell r="T114">
            <v>2.8217254966944939E-3</v>
          </cell>
          <cell r="V114">
            <v>1.3851080479361112E-2</v>
          </cell>
          <cell r="W114">
            <v>9.1935204772121762E-3</v>
          </cell>
          <cell r="X114">
            <v>2.8822329024712451E-3</v>
          </cell>
        </row>
        <row r="116">
          <cell r="N116">
            <v>2384.9634734328779</v>
          </cell>
          <cell r="O116">
            <v>0</v>
          </cell>
          <cell r="P116">
            <v>0</v>
          </cell>
          <cell r="R116">
            <v>2443.9913194003416</v>
          </cell>
          <cell r="S116">
            <v>0</v>
          </cell>
          <cell r="T116">
            <v>0</v>
          </cell>
          <cell r="V116">
            <v>2500.5986779072014</v>
          </cell>
          <cell r="W116">
            <v>0</v>
          </cell>
          <cell r="X116">
            <v>0</v>
          </cell>
        </row>
        <row r="117">
          <cell r="N117">
            <v>50.5</v>
          </cell>
          <cell r="O117">
            <v>63.75</v>
          </cell>
          <cell r="P117">
            <v>0</v>
          </cell>
          <cell r="R117">
            <v>51.7</v>
          </cell>
          <cell r="S117">
            <v>66.75</v>
          </cell>
          <cell r="T117">
            <v>0</v>
          </cell>
          <cell r="V117">
            <v>52.9</v>
          </cell>
          <cell r="W117">
            <v>69.75</v>
          </cell>
          <cell r="X117">
            <v>0</v>
          </cell>
        </row>
        <row r="118">
          <cell r="N118">
            <v>36</v>
          </cell>
          <cell r="O118">
            <v>0</v>
          </cell>
          <cell r="P118">
            <v>0</v>
          </cell>
          <cell r="R118">
            <v>36.9</v>
          </cell>
          <cell r="S118">
            <v>0</v>
          </cell>
          <cell r="T118">
            <v>0</v>
          </cell>
          <cell r="V118">
            <v>37.799999999999997</v>
          </cell>
          <cell r="W118">
            <v>0</v>
          </cell>
          <cell r="X118">
            <v>0</v>
          </cell>
        </row>
        <row r="119">
          <cell r="N119">
            <v>4.0143705184822208E-2</v>
          </cell>
          <cell r="O119">
            <v>1.8939209923524266E-2</v>
          </cell>
          <cell r="P119">
            <v>4.421930155655172E-3</v>
          </cell>
          <cell r="R119">
            <v>4.1137261888146558E-2</v>
          </cell>
          <cell r="S119">
            <v>1.9819518519055425E-2</v>
          </cell>
          <cell r="T119">
            <v>4.5147607947111923E-3</v>
          </cell>
          <cell r="V119">
            <v>4.2090076946534022E-2</v>
          </cell>
          <cell r="W119">
            <v>2.0731216370931976E-2</v>
          </cell>
          <cell r="X119">
            <v>4.6115726439539947E-3</v>
          </cell>
        </row>
        <row r="120">
          <cell r="N120">
            <v>2.5089815740513877E-2</v>
          </cell>
          <cell r="O120">
            <v>1.1837006202202668E-2</v>
          </cell>
          <cell r="P120">
            <v>2.7637063472844814E-3</v>
          </cell>
          <cell r="R120">
            <v>2.5710788680091596E-2</v>
          </cell>
          <cell r="S120">
            <v>1.2387199074409643E-2</v>
          </cell>
          <cell r="T120">
            <v>2.8217254966944939E-3</v>
          </cell>
          <cell r="V120">
            <v>2.6306298091583764E-2</v>
          </cell>
          <cell r="W120">
            <v>1.2957010231832487E-2</v>
          </cell>
          <cell r="X120">
            <v>2.8822329024712451E-3</v>
          </cell>
        </row>
        <row r="122">
          <cell r="N122">
            <v>2999.9967999999999</v>
          </cell>
          <cell r="O122">
            <v>0</v>
          </cell>
          <cell r="P122">
            <v>0</v>
          </cell>
          <cell r="R122">
            <v>3999.9967999999999</v>
          </cell>
          <cell r="S122">
            <v>0</v>
          </cell>
          <cell r="T122">
            <v>0</v>
          </cell>
          <cell r="V122">
            <v>4999.9967999999999</v>
          </cell>
          <cell r="W122">
            <v>0</v>
          </cell>
          <cell r="X122">
            <v>0</v>
          </cell>
        </row>
        <row r="123">
          <cell r="N123">
            <v>9.3449600000000004</v>
          </cell>
          <cell r="O123">
            <v>2.6204799999999997</v>
          </cell>
          <cell r="P123">
            <v>0</v>
          </cell>
          <cell r="R123">
            <v>9.3449600000000004</v>
          </cell>
          <cell r="S123">
            <v>2.6204799999999997</v>
          </cell>
          <cell r="T123">
            <v>0</v>
          </cell>
          <cell r="V123">
            <v>9.3449600000000004</v>
          </cell>
          <cell r="W123">
            <v>2.6204799999999997</v>
          </cell>
          <cell r="X123">
            <v>0</v>
          </cell>
        </row>
        <row r="124">
          <cell r="N124">
            <v>4.6573500000000001</v>
          </cell>
          <cell r="O124">
            <v>1.3053999999999999</v>
          </cell>
          <cell r="P124">
            <v>0</v>
          </cell>
          <cell r="R124">
            <v>4.6573500000000001</v>
          </cell>
          <cell r="S124">
            <v>1.3053999999999999</v>
          </cell>
          <cell r="T124">
            <v>0</v>
          </cell>
          <cell r="V124">
            <v>4.6573500000000001</v>
          </cell>
          <cell r="W124">
            <v>1.3053999999999999</v>
          </cell>
          <cell r="X124">
            <v>0</v>
          </cell>
        </row>
        <row r="125">
          <cell r="N125">
            <v>6.59E-2</v>
          </cell>
          <cell r="O125">
            <v>2.5900000000000003E-2</v>
          </cell>
          <cell r="P125">
            <v>3.5999999999999999E-3</v>
          </cell>
          <cell r="R125">
            <v>7.3099999999999998E-2</v>
          </cell>
          <cell r="S125">
            <v>2.8700000000000003E-2</v>
          </cell>
          <cell r="T125">
            <v>3.5999999999999999E-3</v>
          </cell>
          <cell r="V125">
            <v>8.0299999999999996E-2</v>
          </cell>
          <cell r="W125">
            <v>3.15E-2</v>
          </cell>
          <cell r="X125">
            <v>3.5999999999999999E-3</v>
          </cell>
        </row>
        <row r="127">
          <cell r="N127">
            <v>0</v>
          </cell>
          <cell r="O127">
            <v>0</v>
          </cell>
          <cell r="P127">
            <v>0</v>
          </cell>
          <cell r="R127">
            <v>0</v>
          </cell>
          <cell r="S127">
            <v>0</v>
          </cell>
          <cell r="T127">
            <v>0</v>
          </cell>
          <cell r="V127">
            <v>0</v>
          </cell>
          <cell r="W127">
            <v>0</v>
          </cell>
          <cell r="X127">
            <v>0</v>
          </cell>
        </row>
        <row r="128">
          <cell r="N128">
            <v>34.4</v>
          </cell>
          <cell r="O128">
            <v>40.5</v>
          </cell>
          <cell r="P128">
            <v>0</v>
          </cell>
          <cell r="R128">
            <v>35.200000000000003</v>
          </cell>
          <cell r="S128">
            <v>42.4</v>
          </cell>
          <cell r="T128">
            <v>0</v>
          </cell>
          <cell r="V128">
            <v>36</v>
          </cell>
          <cell r="W128">
            <v>44.4</v>
          </cell>
          <cell r="X128">
            <v>0</v>
          </cell>
        </row>
        <row r="129">
          <cell r="N129">
            <v>33.4</v>
          </cell>
          <cell r="O129">
            <v>0</v>
          </cell>
          <cell r="P129">
            <v>0</v>
          </cell>
          <cell r="R129">
            <v>34.1</v>
          </cell>
          <cell r="S129">
            <v>0</v>
          </cell>
          <cell r="T129">
            <v>0</v>
          </cell>
          <cell r="V129">
            <v>34.9</v>
          </cell>
          <cell r="W129">
            <v>0</v>
          </cell>
          <cell r="X129">
            <v>0</v>
          </cell>
        </row>
        <row r="130">
          <cell r="N130">
            <v>0</v>
          </cell>
          <cell r="O130">
            <v>0</v>
          </cell>
          <cell r="P130">
            <v>0</v>
          </cell>
          <cell r="R130">
            <v>0</v>
          </cell>
          <cell r="S130">
            <v>0</v>
          </cell>
          <cell r="T130">
            <v>0</v>
          </cell>
          <cell r="V130">
            <v>0</v>
          </cell>
          <cell r="W130">
            <v>0</v>
          </cell>
          <cell r="X130">
            <v>0</v>
          </cell>
        </row>
        <row r="131">
          <cell r="N131">
            <v>0</v>
          </cell>
          <cell r="O131">
            <v>0</v>
          </cell>
          <cell r="P131">
            <v>0</v>
          </cell>
          <cell r="R131">
            <v>0</v>
          </cell>
          <cell r="S131">
            <v>0</v>
          </cell>
          <cell r="T131">
            <v>0</v>
          </cell>
          <cell r="V131">
            <v>0</v>
          </cell>
          <cell r="W131">
            <v>0</v>
          </cell>
          <cell r="X131">
            <v>0</v>
          </cell>
        </row>
        <row r="134">
          <cell r="N134">
            <v>0</v>
          </cell>
          <cell r="O134">
            <v>0</v>
          </cell>
          <cell r="P134">
            <v>0</v>
          </cell>
          <cell r="R134">
            <v>0</v>
          </cell>
          <cell r="S134">
            <v>0</v>
          </cell>
          <cell r="T134">
            <v>0</v>
          </cell>
          <cell r="V134">
            <v>0</v>
          </cell>
          <cell r="W134">
            <v>0</v>
          </cell>
          <cell r="X134">
            <v>0</v>
          </cell>
        </row>
        <row r="135">
          <cell r="N135">
            <v>14.2</v>
          </cell>
          <cell r="O135">
            <v>40.5</v>
          </cell>
          <cell r="P135">
            <v>0</v>
          </cell>
          <cell r="R135">
            <v>14.2</v>
          </cell>
          <cell r="S135">
            <v>42.4</v>
          </cell>
          <cell r="T135">
            <v>0</v>
          </cell>
          <cell r="V135">
            <v>14.2</v>
          </cell>
          <cell r="W135">
            <v>44.4</v>
          </cell>
          <cell r="X135">
            <v>0</v>
          </cell>
        </row>
        <row r="136">
          <cell r="N136">
            <v>25.4</v>
          </cell>
          <cell r="O136">
            <v>0</v>
          </cell>
          <cell r="P136">
            <v>0</v>
          </cell>
          <cell r="R136">
            <v>25.5</v>
          </cell>
          <cell r="S136">
            <v>0</v>
          </cell>
          <cell r="T136">
            <v>0</v>
          </cell>
          <cell r="V136">
            <v>25.6</v>
          </cell>
          <cell r="W136">
            <v>0</v>
          </cell>
          <cell r="X136">
            <v>0</v>
          </cell>
        </row>
        <row r="137">
          <cell r="N137">
            <v>4.1059034309734593E-3</v>
          </cell>
          <cell r="O137">
            <v>1.0923500451849555E-2</v>
          </cell>
          <cell r="P137">
            <v>8.4527894381393042E-4</v>
          </cell>
          <cell r="R137">
            <v>4.1202740929818663E-3</v>
          </cell>
          <cell r="S137">
            <v>1.1425981472634635E-2</v>
          </cell>
          <cell r="T137">
            <v>8.4527894381393064E-4</v>
          </cell>
          <cell r="V137">
            <v>4.1346950523073033E-3</v>
          </cell>
          <cell r="W137">
            <v>1.1951576620375829E-2</v>
          </cell>
          <cell r="X137">
            <v>8.4527894381393042E-4</v>
          </cell>
        </row>
        <row r="139">
          <cell r="N139">
            <v>0</v>
          </cell>
          <cell r="O139">
            <v>0</v>
          </cell>
          <cell r="P139">
            <v>0</v>
          </cell>
          <cell r="R139">
            <v>0</v>
          </cell>
          <cell r="S139">
            <v>0</v>
          </cell>
          <cell r="T139">
            <v>0</v>
          </cell>
          <cell r="V139">
            <v>0</v>
          </cell>
          <cell r="W139">
            <v>0</v>
          </cell>
          <cell r="X139">
            <v>0</v>
          </cell>
        </row>
        <row r="140">
          <cell r="N140">
            <v>0</v>
          </cell>
          <cell r="O140">
            <v>40.5</v>
          </cell>
          <cell r="P140">
            <v>0</v>
          </cell>
          <cell r="R140">
            <v>0</v>
          </cell>
          <cell r="S140">
            <v>42.4</v>
          </cell>
          <cell r="T140">
            <v>0</v>
          </cell>
          <cell r="V140">
            <v>0</v>
          </cell>
          <cell r="W140">
            <v>44.4</v>
          </cell>
          <cell r="X140">
            <v>0</v>
          </cell>
        </row>
        <row r="141">
          <cell r="N141">
            <v>14.2</v>
          </cell>
          <cell r="O141">
            <v>0</v>
          </cell>
          <cell r="P141">
            <v>0</v>
          </cell>
          <cell r="R141">
            <v>14.2</v>
          </cell>
          <cell r="S141">
            <v>0</v>
          </cell>
          <cell r="T141">
            <v>0</v>
          </cell>
          <cell r="V141">
            <v>14.2</v>
          </cell>
          <cell r="W141">
            <v>0</v>
          </cell>
          <cell r="X141">
            <v>0</v>
          </cell>
        </row>
        <row r="142">
          <cell r="N142">
            <v>1.4781252351504454E-3</v>
          </cell>
          <cell r="O142">
            <v>1.0923500451849555E-2</v>
          </cell>
          <cell r="P142">
            <v>8.4527894381393042E-4</v>
          </cell>
          <cell r="R142">
            <v>1.483298673473472E-3</v>
          </cell>
          <cell r="S142">
            <v>1.1425981472634635E-2</v>
          </cell>
          <cell r="T142">
            <v>8.4527894381393064E-4</v>
          </cell>
          <cell r="V142">
            <v>1.4884902188306293E-3</v>
          </cell>
          <cell r="W142">
            <v>1.1951576620375829E-2</v>
          </cell>
          <cell r="X142">
            <v>8.4527894381393042E-4</v>
          </cell>
        </row>
      </sheetData>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NSP amendments"/>
    </sheetNames>
    <sheetDataSet>
      <sheetData sheetId="0" refreshError="1"/>
      <sheetData sheetId="1" refreshError="1"/>
      <sheetData sheetId="2" refreshError="1"/>
      <sheetData sheetId="3" refreshError="1"/>
      <sheetData sheetId="4">
        <row r="24">
          <cell r="C24">
            <v>-38062705.536566369</v>
          </cell>
        </row>
      </sheetData>
      <sheetData sheetId="5" refreshError="1"/>
      <sheetData sheetId="6" refreshError="1"/>
      <sheetData sheetId="7" refreshError="1"/>
      <sheetData sheetId="8">
        <row r="12">
          <cell r="D12">
            <v>10355.11590956942</v>
          </cell>
        </row>
      </sheetData>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NSP amendments"/>
    </sheetNames>
    <sheetDataSet>
      <sheetData sheetId="0"/>
      <sheetData sheetId="1"/>
      <sheetData sheetId="2"/>
      <sheetData sheetId="3"/>
      <sheetData sheetId="4">
        <row r="24">
          <cell r="C24">
            <v>22196934.777813505</v>
          </cell>
        </row>
      </sheetData>
      <sheetData sheetId="5"/>
      <sheetData sheetId="6"/>
      <sheetData sheetId="7"/>
      <sheetData sheetId="8">
        <row r="12">
          <cell r="D12">
            <v>10214.620056368474</v>
          </cell>
        </row>
      </sheetData>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NSP amendments"/>
    </sheetNames>
    <sheetDataSet>
      <sheetData sheetId="0"/>
      <sheetData sheetId="1"/>
      <sheetData sheetId="2"/>
      <sheetData sheetId="3">
        <row r="66">
          <cell r="C66" t="str">
            <v>Financial</v>
          </cell>
        </row>
      </sheetData>
      <sheetData sheetId="4">
        <row r="24">
          <cell r="C24">
            <v>17067560.717834804</v>
          </cell>
        </row>
      </sheetData>
      <sheetData sheetId="5"/>
      <sheetData sheetId="6"/>
      <sheetData sheetId="7"/>
      <sheetData sheetId="8">
        <row r="12">
          <cell r="D12">
            <v>10153.866861921531</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AER only"/>
      <sheetName val="Instructions"/>
      <sheetName val="Contents"/>
      <sheetName val="Business &amp; other details"/>
      <sheetName val="CPI series"/>
      <sheetName val="2.6 Non-network"/>
      <sheetName val="2.14 Forecast price changes"/>
      <sheetName val="2.16 Opex Summary"/>
      <sheetName val="2.17 Step Changes"/>
      <sheetName val="3.5 Physical assets"/>
      <sheetName val="6.2 Reliability &amp; Cust serv"/>
      <sheetName val="2020-25 Reset RIN - WB1 Input d"/>
    </sheetNames>
    <sheetDataSet>
      <sheetData sheetId="0" refreshError="1"/>
      <sheetData sheetId="1" refreshError="1"/>
      <sheetData sheetId="2" refreshError="1"/>
      <sheetData sheetId="3" refreshError="1"/>
      <sheetData sheetId="4" refreshError="1">
        <row r="1">
          <cell r="B1" t="str">
            <v>REGULATORY REPORTING STATEMENT</v>
          </cell>
        </row>
        <row r="3">
          <cell r="B3" t="str">
            <v>2020-21 to 2024-25</v>
          </cell>
        </row>
        <row r="14">
          <cell r="C14" t="str">
            <v>SA Power Networks</v>
          </cell>
        </row>
        <row r="35">
          <cell r="C35" t="str">
            <v>2020-21</v>
          </cell>
          <cell r="D35" t="str">
            <v>2021-22</v>
          </cell>
          <cell r="E35" t="str">
            <v>2022-23</v>
          </cell>
          <cell r="F35" t="str">
            <v>2023-24</v>
          </cell>
          <cell r="G35" t="str">
            <v>2024-25</v>
          </cell>
        </row>
        <row r="39">
          <cell r="F39" t="str">
            <v>2018-19</v>
          </cell>
          <cell r="G39" t="str">
            <v>2019-20</v>
          </cell>
        </row>
        <row r="74">
          <cell r="C74" t="str">
            <v>June 2020</v>
          </cell>
        </row>
        <row r="83">
          <cell r="C83">
            <v>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sheetName val="Outcomes"/>
      <sheetName val="SCS"/>
      <sheetName val="TRANS"/>
      <sheetName val="JSO"/>
      <sheetName val="DUoS (t)"/>
      <sheetName val="Q (t)"/>
    </sheetNames>
    <sheetDataSet>
      <sheetData sheetId="0" refreshError="1"/>
      <sheetData sheetId="1" refreshError="1">
        <row r="3">
          <cell r="B3" t="str">
            <v>SA Power Networks</v>
          </cell>
        </row>
        <row r="4">
          <cell r="B4">
            <v>2021</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Std Control"/>
      <sheetName val="Trans"/>
      <sheetName val="JSO"/>
      <sheetName val="CPT"/>
      <sheetName val="DUOS (t)"/>
      <sheetName val="TUOS (t)"/>
      <sheetName val="JSO (t)"/>
      <sheetName val="CPT (t)"/>
      <sheetName val="Neg Serv (t)"/>
      <sheetName val="NUOS (t)"/>
      <sheetName val="Q (t)"/>
      <sheetName val="DUOS (t-1)"/>
      <sheetName val="TUOS (t-1)"/>
      <sheetName val="JSO (t-1)"/>
      <sheetName val="Neg Serv (t-1)"/>
      <sheetName val="NUOS (t-1)"/>
      <sheetName val="TSS DUoS 17-20"/>
      <sheetName val="TSS TUoS 17-20 unadj"/>
      <sheetName val="TSS TUoS 17-20"/>
      <sheetName val="TSS JSO 17-20"/>
      <sheetName val="TSS NUoS 17-20"/>
      <sheetName val="DUoS Schedule"/>
      <sheetName val="TUoS Schedule"/>
      <sheetName val="JSO (PV) Schedule"/>
      <sheetName val="Neg Services Schedule"/>
      <sheetName val="NUoS Schedule"/>
      <sheetName val="Indicative Prices"/>
    </sheetNames>
    <sheetDataSet>
      <sheetData sheetId="0" refreshError="1">
        <row r="82">
          <cell r="C82" t="str">
            <v>New_South_Wales</v>
          </cell>
        </row>
        <row r="83">
          <cell r="C83" t="str">
            <v>South_Australia</v>
          </cell>
        </row>
        <row r="84">
          <cell r="C84" t="str">
            <v>Victoria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N"/>
    </sheetNames>
    <sheetDataSet>
      <sheetData sheetId="0">
        <row r="3">
          <cell r="B3">
            <v>4.7455559849309541E-2</v>
          </cell>
        </row>
        <row r="6">
          <cell r="B6">
            <v>2.2739900899011012E-2</v>
          </cell>
        </row>
        <row r="9">
          <cell r="B9">
            <v>2.4166123692419772E-2</v>
          </cell>
        </row>
        <row r="11">
          <cell r="H11">
            <v>775.90954497412315</v>
          </cell>
        </row>
        <row r="13">
          <cell r="J13">
            <v>1.7892495215348712E-2</v>
          </cell>
          <cell r="K13">
            <v>1.7892495215348712E-2</v>
          </cell>
          <cell r="L13">
            <v>1.7892495215348712E-2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Inputs"/>
      <sheetName val="Actual Performance"/>
      <sheetName val="STPIS Performance Calculations"/>
      <sheetName val="S-factor"/>
      <sheetName val="overlap between reg periods"/>
      <sheetName val="2018-19 Daily Performance"/>
      <sheetName val="2017-18 Daily Performance"/>
      <sheetName val="2016-17 Daily Performance"/>
      <sheetName val="2018-19 Major Event Days"/>
      <sheetName val="2017-18 Major Event Days"/>
      <sheetName val="2016-17 Major Event Days"/>
      <sheetName val="2018-19 Telephone Answering"/>
      <sheetName val="2017-18 Telephone Answering"/>
      <sheetName val="2016-17 Telephone Answering"/>
      <sheetName val="Customer numbers"/>
      <sheetName val="2014-15 Telephone Answering"/>
      <sheetName val="2014-15 Major Event Days"/>
      <sheetName val="2014-15 Daily Performance "/>
      <sheetName val="2014-15 STPIS Exclusions"/>
      <sheetName val="2013-14 STPIS Exclusions"/>
      <sheetName val="2013-14 Major Event Days"/>
      <sheetName val="2013-14 Daily Performance Data"/>
      <sheetName val="2013-14 Telephone Answering"/>
      <sheetName val="2012-13 STPIS Exclusions"/>
      <sheetName val="2012-13 Major Event Days"/>
      <sheetName val="2012-13 Daily Performance Data"/>
      <sheetName val="2012-13 Telephone Answering"/>
      <sheetName val="2011-12 Major Event Days"/>
      <sheetName val="2011-12 Daily Performance Data"/>
      <sheetName val="2011-12 Telephone Answering"/>
      <sheetName val="2011-12 STPIS Exclusions"/>
    </sheetNames>
    <sheetDataSet>
      <sheetData sheetId="0" refreshError="1"/>
      <sheetData sheetId="1" refreshError="1"/>
      <sheetData sheetId="2" refreshError="1"/>
      <sheetData sheetId="3">
        <row r="36">
          <cell r="H36">
            <v>-5.8292991223979158E-7</v>
          </cell>
          <cell r="I36">
            <v>2.2371809708668033E-2</v>
          </cell>
          <cell r="J36">
            <v>1.3487255731585046E-2</v>
          </cell>
          <cell r="K36">
            <v>-6.6536169262350064E-3</v>
          </cell>
          <cell r="L36">
            <v>1.4359118242871505E-2</v>
          </cell>
          <cell r="M36">
            <v>4.2206517490312449E-2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20 Telephone Answering"/>
      <sheetName val="2019-20 Major Event Days "/>
      <sheetName val="2019-20 Daily Performance "/>
      <sheetName val="AER Inputs"/>
      <sheetName val="Actual Performance"/>
      <sheetName val="STPIS Performance Calculations"/>
      <sheetName val="S-factor"/>
      <sheetName val="overlap between reg periods"/>
      <sheetName val="2018-19 Daily Performance"/>
      <sheetName val="2017-18 Daily Performance"/>
      <sheetName val="2016-17 Daily Performance"/>
      <sheetName val="2018-19 Major Event Days"/>
      <sheetName val="2017-18 Major Event Days"/>
      <sheetName val="2016-17 Major Event Days"/>
      <sheetName val="2018-19 Telephone Answering"/>
      <sheetName val="2017-18 Telephone Answering"/>
      <sheetName val="2016-17 Telephone Answering"/>
      <sheetName val="Customer numbers"/>
      <sheetName val="2014-15 Telephone Answering"/>
      <sheetName val="2014-15 Major Event Days"/>
      <sheetName val="2014-15 Daily Performance "/>
      <sheetName val="2014-15 STPIS Exclusions"/>
      <sheetName val="2013-14 STPIS Exclusions"/>
      <sheetName val="2013-14 Major Event Days"/>
      <sheetName val="2013-14 Daily Performance Data"/>
      <sheetName val="2013-14 Telephone Answering"/>
      <sheetName val="2012-13 STPIS Exclusions"/>
      <sheetName val="2012-13 Major Event Days"/>
      <sheetName val="2012-13 Daily Performance Data"/>
      <sheetName val="2012-13 Telephone Answering"/>
      <sheetName val="2011-12 Major Event Days"/>
      <sheetName val="2011-12 Daily Performance Data"/>
      <sheetName val="2011-12 Telephone Answering"/>
      <sheetName val="2011-12 STPIS Exclusions"/>
    </sheetNames>
    <sheetDataSet>
      <sheetData sheetId="0"/>
      <sheetData sheetId="1"/>
      <sheetData sheetId="2"/>
      <sheetData sheetId="3"/>
      <sheetData sheetId="4"/>
      <sheetData sheetId="5"/>
      <sheetData sheetId="6">
        <row r="36">
          <cell r="N36">
            <v>1.3775850933446687E-2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PTRM 2015-16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 val="temp_shared assets"/>
      <sheetName val="SAPN - Final decision - PTRM - "/>
    </sheetNames>
    <definedNames>
      <definedName name="vanilla01" refersTo="='WACC'!$G$18"/>
      <definedName name="vanilla02" refersTo="='WACC'!$H$18"/>
      <definedName name="vanilla03" refersTo="='WACC'!$I$18"/>
      <definedName name="X_03_RevCap" refersTo="='X factors'!$I$63"/>
    </definedNames>
    <sheetDataSet>
      <sheetData sheetId="0" refreshError="1"/>
      <sheetData sheetId="1" refreshError="1"/>
      <sheetData sheetId="2" refreshError="1"/>
      <sheetData sheetId="3" refreshError="1"/>
      <sheetData sheetId="4">
        <row r="18">
          <cell r="G18">
            <v>6.1679999999999999E-2</v>
          </cell>
          <cell r="H18">
            <v>6.1856401757822851E-2</v>
          </cell>
          <cell r="I18">
            <v>6.1753980592531385E-2</v>
          </cell>
        </row>
      </sheetData>
      <sheetData sheetId="5" refreshError="1"/>
      <sheetData sheetId="6" refreshError="1"/>
      <sheetData sheetId="7" refreshError="1"/>
      <sheetData sheetId="8">
        <row r="63">
          <cell r="I63">
            <v>-9.4255243297011355E-3</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png"/><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3.bin"/><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4.bin"/><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8.bin"/><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70F69-8AF0-4C1B-8E45-51711185FD75}">
  <sheetPr codeName="Sheet1">
    <tabColor rgb="FF1F4C71"/>
  </sheetPr>
  <dimension ref="A1:S64"/>
  <sheetViews>
    <sheetView showGridLines="0" zoomScale="90" zoomScaleNormal="90" workbookViewId="0">
      <selection activeCell="T38" sqref="T38"/>
    </sheetView>
  </sheetViews>
  <sheetFormatPr defaultRowHeight="15" x14ac:dyDescent="0.25"/>
  <cols>
    <col min="1" max="1" width="2.5703125" style="128" customWidth="1"/>
    <col min="2" max="2" width="6.140625" style="128" customWidth="1"/>
    <col min="3" max="16384" width="9.140625" style="128"/>
  </cols>
  <sheetData>
    <row r="1" spans="1:13" s="132" customFormat="1" ht="21" x14ac:dyDescent="0.35">
      <c r="A1" s="139" t="s">
        <v>0</v>
      </c>
    </row>
    <row r="3" spans="1:13" ht="18.75" x14ac:dyDescent="0.3">
      <c r="B3" s="127" t="s">
        <v>1</v>
      </c>
    </row>
    <row r="5" spans="1:13" x14ac:dyDescent="0.25">
      <c r="B5" s="133" t="s">
        <v>201</v>
      </c>
      <c r="I5" s="133" t="s">
        <v>2</v>
      </c>
    </row>
    <row r="6" spans="1:13" x14ac:dyDescent="0.25">
      <c r="B6" s="135"/>
    </row>
    <row r="7" spans="1:13" x14ac:dyDescent="0.25">
      <c r="B7" s="133" t="s">
        <v>202</v>
      </c>
      <c r="I7" s="133" t="s">
        <v>464</v>
      </c>
    </row>
    <row r="8" spans="1:13" x14ac:dyDescent="0.25">
      <c r="B8" s="133"/>
    </row>
    <row r="9" spans="1:13" x14ac:dyDescent="0.25">
      <c r="B9" s="133" t="s">
        <v>203</v>
      </c>
      <c r="C9"/>
      <c r="I9" s="128" t="s">
        <v>465</v>
      </c>
      <c r="K9"/>
    </row>
    <row r="10" spans="1:13" x14ac:dyDescent="0.25">
      <c r="B10" s="133"/>
    </row>
    <row r="11" spans="1:13" x14ac:dyDescent="0.25">
      <c r="B11" s="133">
        <v>4</v>
      </c>
      <c r="C11" s="583"/>
      <c r="I11" s="128" t="s">
        <v>466</v>
      </c>
      <c r="L11"/>
    </row>
    <row r="12" spans="1:13" x14ac:dyDescent="0.25">
      <c r="B12" s="133"/>
    </row>
    <row r="13" spans="1:13" x14ac:dyDescent="0.25">
      <c r="B13" s="133">
        <v>5</v>
      </c>
      <c r="C13"/>
      <c r="I13" s="133" t="s">
        <v>467</v>
      </c>
    </row>
    <row r="15" spans="1:13" x14ac:dyDescent="0.25">
      <c r="B15" s="134" t="s">
        <v>3</v>
      </c>
    </row>
    <row r="16" spans="1:13" x14ac:dyDescent="0.25">
      <c r="D16" s="134" t="s">
        <v>4</v>
      </c>
      <c r="M16"/>
    </row>
    <row r="17" spans="2:19" x14ac:dyDescent="0.25">
      <c r="D17" s="134" t="s">
        <v>5</v>
      </c>
    </row>
    <row r="18" spans="2:19" x14ac:dyDescent="0.25">
      <c r="D18" s="134" t="s">
        <v>6</v>
      </c>
    </row>
    <row r="19" spans="2:19" x14ac:dyDescent="0.25">
      <c r="D19" s="134" t="s">
        <v>7</v>
      </c>
    </row>
    <row r="20" spans="2:19" x14ac:dyDescent="0.25">
      <c r="D20" s="133" t="s">
        <v>199</v>
      </c>
    </row>
    <row r="21" spans="2:19" x14ac:dyDescent="0.25">
      <c r="B21"/>
      <c r="D21" s="133" t="s">
        <v>463</v>
      </c>
    </row>
    <row r="22" spans="2:19" x14ac:dyDescent="0.25">
      <c r="D22" s="133" t="s">
        <v>468</v>
      </c>
    </row>
    <row r="23" spans="2:19" x14ac:dyDescent="0.25">
      <c r="D23" s="133" t="s">
        <v>8</v>
      </c>
    </row>
    <row r="24" spans="2:19" x14ac:dyDescent="0.25">
      <c r="D24" s="133" t="s">
        <v>469</v>
      </c>
    </row>
    <row r="25" spans="2:19" x14ac:dyDescent="0.25">
      <c r="D25" s="133" t="s">
        <v>200</v>
      </c>
    </row>
    <row r="26" spans="2:19" x14ac:dyDescent="0.25">
      <c r="D26" s="133" t="s">
        <v>470</v>
      </c>
    </row>
    <row r="27" spans="2:19" x14ac:dyDescent="0.25">
      <c r="D27" s="133" t="s">
        <v>666</v>
      </c>
    </row>
    <row r="28" spans="2:19" x14ac:dyDescent="0.25">
      <c r="D28" s="133"/>
    </row>
    <row r="29" spans="2:19" x14ac:dyDescent="0.25">
      <c r="S29" s="137"/>
    </row>
    <row r="30" spans="2:19" ht="18.75" x14ac:dyDescent="0.3">
      <c r="B30" s="127" t="s">
        <v>9</v>
      </c>
      <c r="E30" s="138"/>
    </row>
    <row r="32" spans="2:19" x14ac:dyDescent="0.25">
      <c r="B32" s="128" t="s">
        <v>659</v>
      </c>
    </row>
    <row r="34" spans="2:3" x14ac:dyDescent="0.25">
      <c r="B34" s="126" t="s">
        <v>660</v>
      </c>
    </row>
    <row r="36" spans="2:3" x14ac:dyDescent="0.25">
      <c r="B36" s="126" t="s">
        <v>419</v>
      </c>
      <c r="C36" s="128" t="s">
        <v>661</v>
      </c>
    </row>
    <row r="44" spans="2:3" x14ac:dyDescent="0.25">
      <c r="B44" s="126" t="s">
        <v>473</v>
      </c>
      <c r="C44" s="128" t="s">
        <v>662</v>
      </c>
    </row>
    <row r="54" spans="2:4" x14ac:dyDescent="0.25">
      <c r="B54" s="134" t="s">
        <v>3</v>
      </c>
    </row>
    <row r="55" spans="2:4" x14ac:dyDescent="0.25">
      <c r="D55" s="134" t="s">
        <v>5</v>
      </c>
    </row>
    <row r="56" spans="2:4" x14ac:dyDescent="0.25">
      <c r="D56" s="128" t="s">
        <v>663</v>
      </c>
    </row>
    <row r="58" spans="2:4" x14ac:dyDescent="0.25">
      <c r="D58" s="128" t="s">
        <v>664</v>
      </c>
    </row>
    <row r="59" spans="2:4" x14ac:dyDescent="0.25">
      <c r="D59" s="133" t="s">
        <v>200</v>
      </c>
    </row>
    <row r="60" spans="2:4" x14ac:dyDescent="0.25">
      <c r="D60" s="133" t="s">
        <v>665</v>
      </c>
    </row>
    <row r="61" spans="2:4" x14ac:dyDescent="0.25">
      <c r="D61" s="133" t="s">
        <v>666</v>
      </c>
    </row>
    <row r="62" spans="2:4" x14ac:dyDescent="0.25">
      <c r="D62" s="133" t="s">
        <v>468</v>
      </c>
    </row>
    <row r="63" spans="2:4" x14ac:dyDescent="0.25">
      <c r="D63" s="133" t="s">
        <v>8</v>
      </c>
    </row>
    <row r="64" spans="2:4" x14ac:dyDescent="0.25">
      <c r="D64" s="133" t="s">
        <v>469</v>
      </c>
    </row>
  </sheetData>
  <hyperlinks>
    <hyperlink ref="D23" location="_ftn1" display="_ftn1" xr:uid="{69E4B240-F17F-418D-BBEB-00F332F62C4C}"/>
    <hyperlink ref="D63" location="_ftn1" display="_ftn1" xr:uid="{AD986FD2-9BE0-4624-9A78-B6D598E2E9ED}"/>
  </hyperlinks>
  <pageMargins left="0.7" right="0.7" top="0.75" bottom="0.75" header="0.3" footer="0.3"/>
  <pageSetup paperSize="9" orientation="portrait" r:id="rId1"/>
  <customProperties>
    <customPr name="_pios_id" r:id="rId2"/>
  </customProperties>
  <drawing r:id="rId3"/>
  <legacyDrawing r:id="rId4"/>
  <oleObjects>
    <mc:AlternateContent xmlns:mc="http://schemas.openxmlformats.org/markup-compatibility/2006">
      <mc:Choice Requires="x14">
        <oleObject progId="Equation.3" shapeId="1025" r:id="rId5">
          <objectPr defaultSize="0" autoPict="0" r:id="rId6">
            <anchor moveWithCells="1" sizeWithCells="1">
              <from>
                <xdr:col>2</xdr:col>
                <xdr:colOff>114300</xdr:colOff>
                <xdr:row>19</xdr:row>
                <xdr:rowOff>9525</xdr:rowOff>
              </from>
              <to>
                <xdr:col>2</xdr:col>
                <xdr:colOff>314325</xdr:colOff>
                <xdr:row>19</xdr:row>
                <xdr:rowOff>152400</xdr:rowOff>
              </to>
            </anchor>
          </objectPr>
        </oleObject>
      </mc:Choice>
      <mc:Fallback>
        <oleObject progId="Equation.3" shapeId="1025"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7873-A934-498B-9937-440C3460D1F8}">
  <sheetPr codeName="Sheet4">
    <pageSetUpPr fitToPage="1"/>
  </sheetPr>
  <dimension ref="A1:AC454"/>
  <sheetViews>
    <sheetView showGridLines="0" zoomScale="90" zoomScaleNormal="90" workbookViewId="0">
      <pane xSplit="4" ySplit="15" topLeftCell="S124" activePane="bottomRight" state="frozenSplit"/>
      <selection activeCell="X100" sqref="X100:BO101"/>
      <selection pane="topRight" activeCell="X100" sqref="X100:BO101"/>
      <selection pane="bottomLeft" activeCell="X100" sqref="X100:BO101"/>
      <selection pane="bottomRight" activeCell="H174" sqref="H174"/>
    </sheetView>
  </sheetViews>
  <sheetFormatPr defaultRowHeight="15" x14ac:dyDescent="0.25"/>
  <cols>
    <col min="1" max="1" width="1.5703125" style="3" customWidth="1"/>
    <col min="2" max="2" width="7.7109375" style="3" customWidth="1"/>
    <col min="3" max="3" width="12.7109375" style="3" bestFit="1" customWidth="1"/>
    <col min="4" max="4" width="14" style="3" bestFit="1" customWidth="1"/>
    <col min="5" max="5" width="48.42578125" style="3" bestFit="1" customWidth="1"/>
    <col min="6" max="6" width="3.7109375" style="3" customWidth="1"/>
    <col min="7" max="24" width="13.140625" style="3" customWidth="1"/>
    <col min="25" max="26" width="9.140625" style="3"/>
    <col min="27" max="29" width="12.140625" style="128" customWidth="1"/>
    <col min="30" max="16384" width="9.140625" style="3"/>
  </cols>
  <sheetData>
    <row r="1" spans="2:29" ht="24" customHeight="1" x14ac:dyDescent="0.35">
      <c r="B1" s="1" t="str">
        <f>'Model Update'!D5</f>
        <v>SA Power Networks</v>
      </c>
      <c r="C1" s="2"/>
      <c r="D1" s="2"/>
      <c r="G1" s="4" t="s">
        <v>11</v>
      </c>
    </row>
    <row r="2" spans="2:29" ht="21.75" customHeight="1" x14ac:dyDescent="0.25">
      <c r="B2" s="5" t="s">
        <v>178</v>
      </c>
      <c r="C2" s="2"/>
      <c r="D2" s="2"/>
      <c r="H2" s="6" t="s">
        <v>13</v>
      </c>
      <c r="I2" s="6"/>
      <c r="J2" s="6"/>
      <c r="K2" s="6"/>
    </row>
    <row r="3" spans="2:29" ht="18" hidden="1" customHeight="1" x14ac:dyDescent="0.3">
      <c r="B3" s="7"/>
      <c r="C3" s="2"/>
      <c r="D3" s="2"/>
      <c r="H3" s="6"/>
      <c r="I3" s="6"/>
      <c r="J3" s="6"/>
      <c r="K3" s="6"/>
    </row>
    <row r="4" spans="2:29" ht="18" hidden="1" customHeight="1" x14ac:dyDescent="0.3">
      <c r="B4" s="7"/>
      <c r="C4" s="2"/>
      <c r="D4" s="2"/>
      <c r="H4" s="6"/>
      <c r="I4" s="6"/>
      <c r="J4" s="6"/>
      <c r="K4" s="6"/>
    </row>
    <row r="5" spans="2:29" ht="12.75" customHeight="1" x14ac:dyDescent="0.3">
      <c r="B5" s="7"/>
      <c r="C5" s="2"/>
      <c r="D5" s="2"/>
      <c r="H5" s="6"/>
      <c r="I5" s="6"/>
      <c r="J5" s="6"/>
      <c r="K5" s="6"/>
    </row>
    <row r="6" spans="2:29" ht="12.75" customHeight="1" x14ac:dyDescent="0.3">
      <c r="B6" s="7"/>
      <c r="C6" s="2"/>
      <c r="D6" s="2"/>
      <c r="I6" s="6"/>
      <c r="J6" s="6"/>
      <c r="K6" s="6"/>
    </row>
    <row r="7" spans="2:29" ht="18.75" x14ac:dyDescent="0.3">
      <c r="B7" s="7" t="str">
        <f>"Information for financial year ending 30 June "&amp;'Model Update'!C12</f>
        <v>Information for financial year ending 30 June 2022</v>
      </c>
      <c r="C7" s="2"/>
      <c r="D7" s="2"/>
      <c r="H7" s="6"/>
      <c r="I7" s="6"/>
      <c r="J7" s="6"/>
      <c r="K7" s="6"/>
      <c r="W7" s="251">
        <f>Days_Year</f>
        <v>365</v>
      </c>
    </row>
    <row r="8" spans="2:29" x14ac:dyDescent="0.25">
      <c r="B8" s="8"/>
      <c r="C8" s="2"/>
      <c r="D8" s="2"/>
    </row>
    <row r="9" spans="2:29" ht="18.75" x14ac:dyDescent="0.25">
      <c r="B9" s="8"/>
      <c r="C9" s="2"/>
      <c r="D9" s="2"/>
      <c r="G9" s="913" t="s">
        <v>15</v>
      </c>
      <c r="H9" s="913"/>
      <c r="I9" s="913"/>
      <c r="J9" s="913"/>
      <c r="K9" s="913"/>
      <c r="L9" s="913"/>
      <c r="M9" s="913"/>
      <c r="N9" s="913"/>
      <c r="O9" s="913"/>
      <c r="P9" s="913"/>
      <c r="Q9" s="913"/>
      <c r="R9" s="913"/>
      <c r="S9" s="913"/>
      <c r="T9" s="913"/>
      <c r="U9" s="913"/>
      <c r="V9" s="914"/>
      <c r="W9" s="915"/>
      <c r="X9" s="915"/>
    </row>
    <row r="10" spans="2:29" x14ac:dyDescent="0.25">
      <c r="E10" s="9"/>
      <c r="V10" s="10"/>
    </row>
    <row r="11" spans="2:29" ht="12.75" x14ac:dyDescent="0.2">
      <c r="B11" s="11" t="s">
        <v>16</v>
      </c>
      <c r="C11" s="12"/>
      <c r="D11" s="12"/>
      <c r="E11" s="13"/>
      <c r="G11" s="121">
        <f>'Model Update'!C12</f>
        <v>2022</v>
      </c>
      <c r="H11" s="122">
        <f>$G$11</f>
        <v>2022</v>
      </c>
      <c r="I11" s="12"/>
      <c r="J11" s="14"/>
      <c r="K11" s="15"/>
      <c r="L11" s="122">
        <f>$G$11</f>
        <v>2022</v>
      </c>
      <c r="M11" s="16"/>
      <c r="N11" s="16"/>
      <c r="O11" s="15"/>
      <c r="P11" s="122">
        <f>$G$11</f>
        <v>2022</v>
      </c>
      <c r="Q11" s="12"/>
      <c r="R11" s="14"/>
      <c r="S11" s="122">
        <f>$G$11</f>
        <v>2022</v>
      </c>
      <c r="T11" s="17"/>
      <c r="U11" s="122">
        <f>$G$11</f>
        <v>2022</v>
      </c>
      <c r="V11" s="13"/>
      <c r="W11" s="919" t="s">
        <v>17</v>
      </c>
      <c r="X11" s="920"/>
      <c r="AA11" s="452"/>
      <c r="AB11" s="12"/>
      <c r="AC11" s="13"/>
    </row>
    <row r="12" spans="2:29" x14ac:dyDescent="0.25">
      <c r="B12" s="18"/>
      <c r="E12" s="10"/>
      <c r="G12" s="19" t="s">
        <v>18</v>
      </c>
      <c r="H12" s="20" t="s">
        <v>19</v>
      </c>
      <c r="J12" s="21"/>
      <c r="K12" s="22"/>
      <c r="L12" s="20" t="s">
        <v>20</v>
      </c>
      <c r="M12" s="23"/>
      <c r="N12" s="23"/>
      <c r="O12" s="22"/>
      <c r="P12" s="904" t="s">
        <v>21</v>
      </c>
      <c r="Q12" s="905"/>
      <c r="R12" s="906"/>
      <c r="S12" s="907" t="s">
        <v>634</v>
      </c>
      <c r="T12" s="908"/>
      <c r="U12" s="904" t="s">
        <v>635</v>
      </c>
      <c r="V12" s="906"/>
      <c r="W12" s="24"/>
      <c r="X12" s="22" t="s">
        <v>23</v>
      </c>
      <c r="AA12" s="916" t="s">
        <v>366</v>
      </c>
      <c r="AB12" s="917"/>
      <c r="AC12" s="918"/>
    </row>
    <row r="13" spans="2:29" x14ac:dyDescent="0.25">
      <c r="B13" s="18"/>
      <c r="E13" s="10"/>
      <c r="G13" s="19"/>
      <c r="H13" s="25" t="s">
        <v>23</v>
      </c>
      <c r="I13" s="21" t="s">
        <v>23</v>
      </c>
      <c r="J13" s="21" t="s">
        <v>23</v>
      </c>
      <c r="K13" s="22" t="s">
        <v>23</v>
      </c>
      <c r="L13" s="25" t="s">
        <v>23</v>
      </c>
      <c r="M13" s="21" t="s">
        <v>23</v>
      </c>
      <c r="N13" s="21" t="s">
        <v>23</v>
      </c>
      <c r="O13" s="22" t="s">
        <v>23</v>
      </c>
      <c r="P13" s="129" t="s">
        <v>24</v>
      </c>
      <c r="Q13" s="128" t="s">
        <v>24</v>
      </c>
      <c r="R13" s="159" t="s">
        <v>24</v>
      </c>
      <c r="S13" s="129" t="s">
        <v>24</v>
      </c>
      <c r="T13" s="159" t="s">
        <v>24</v>
      </c>
      <c r="U13" s="160" t="s">
        <v>25</v>
      </c>
      <c r="V13" s="158" t="s">
        <v>25</v>
      </c>
      <c r="W13" s="24"/>
      <c r="X13" s="22"/>
      <c r="AA13" s="234" t="s">
        <v>23</v>
      </c>
      <c r="AB13" s="235" t="s">
        <v>23</v>
      </c>
      <c r="AC13" s="236" t="s">
        <v>212</v>
      </c>
    </row>
    <row r="14" spans="2:29" s="21" customFormat="1" x14ac:dyDescent="0.25">
      <c r="B14" s="19" t="s">
        <v>26</v>
      </c>
      <c r="C14" s="21" t="s">
        <v>27</v>
      </c>
      <c r="D14" s="21" t="s">
        <v>27</v>
      </c>
      <c r="E14" s="22" t="s">
        <v>28</v>
      </c>
      <c r="F14" s="3"/>
      <c r="G14" s="19" t="s">
        <v>29</v>
      </c>
      <c r="H14" s="25" t="s">
        <v>30</v>
      </c>
      <c r="I14" s="21" t="s">
        <v>31</v>
      </c>
      <c r="J14" s="21" t="s">
        <v>32</v>
      </c>
      <c r="K14" s="22" t="s">
        <v>33</v>
      </c>
      <c r="L14" s="25" t="s">
        <v>30</v>
      </c>
      <c r="M14" s="21" t="s">
        <v>31</v>
      </c>
      <c r="N14" s="21" t="s">
        <v>32</v>
      </c>
      <c r="O14" s="22" t="s">
        <v>33</v>
      </c>
      <c r="P14" s="160"/>
      <c r="Q14" s="129"/>
      <c r="R14" s="129"/>
      <c r="S14" s="160"/>
      <c r="T14" s="158"/>
      <c r="U14" s="160" t="s">
        <v>34</v>
      </c>
      <c r="V14" s="158"/>
      <c r="W14" s="25" t="s">
        <v>22</v>
      </c>
      <c r="X14" s="22" t="s">
        <v>35</v>
      </c>
      <c r="AA14" s="234" t="s">
        <v>208</v>
      </c>
      <c r="AB14" s="235" t="s">
        <v>209</v>
      </c>
      <c r="AC14" s="236"/>
    </row>
    <row r="15" spans="2:29" s="21" customFormat="1" x14ac:dyDescent="0.25">
      <c r="B15" s="26"/>
      <c r="C15" s="27" t="s">
        <v>36</v>
      </c>
      <c r="D15" s="27" t="s">
        <v>37</v>
      </c>
      <c r="E15" s="28" t="s">
        <v>38</v>
      </c>
      <c r="F15" s="3"/>
      <c r="G15" s="26" t="s">
        <v>29</v>
      </c>
      <c r="H15" s="29" t="s">
        <v>30</v>
      </c>
      <c r="I15" s="27" t="s">
        <v>31</v>
      </c>
      <c r="J15" s="27" t="s">
        <v>39</v>
      </c>
      <c r="K15" s="28" t="s">
        <v>32</v>
      </c>
      <c r="L15" s="29" t="s">
        <v>30</v>
      </c>
      <c r="M15" s="27"/>
      <c r="N15" s="27"/>
      <c r="O15" s="28"/>
      <c r="P15" s="165" t="s">
        <v>40</v>
      </c>
      <c r="Q15" s="163" t="s">
        <v>638</v>
      </c>
      <c r="R15" s="163" t="s">
        <v>639</v>
      </c>
      <c r="S15" s="165" t="s">
        <v>637</v>
      </c>
      <c r="T15" s="164" t="s">
        <v>636</v>
      </c>
      <c r="U15" s="165" t="s">
        <v>34</v>
      </c>
      <c r="V15" s="166" t="s">
        <v>636</v>
      </c>
      <c r="W15" s="29" t="s">
        <v>22</v>
      </c>
      <c r="X15" s="28" t="s">
        <v>35</v>
      </c>
      <c r="AA15" s="165"/>
      <c r="AB15" s="163"/>
      <c r="AC15" s="164"/>
    </row>
    <row r="16" spans="2:29" ht="15" customHeight="1" x14ac:dyDescent="0.25">
      <c r="B16" s="30" t="s">
        <v>41</v>
      </c>
      <c r="C16" s="14" t="s">
        <v>42</v>
      </c>
      <c r="D16" s="12"/>
      <c r="E16" s="13"/>
      <c r="G16" s="31"/>
      <c r="H16" s="32"/>
      <c r="I16" s="33"/>
      <c r="J16" s="33"/>
      <c r="K16" s="34"/>
      <c r="L16" s="33"/>
      <c r="M16" s="33"/>
      <c r="N16" s="33"/>
      <c r="O16" s="34"/>
      <c r="P16" s="32"/>
      <c r="Q16" s="33"/>
      <c r="R16" s="34"/>
      <c r="S16" s="32"/>
      <c r="T16" s="33"/>
      <c r="U16" s="32"/>
      <c r="V16" s="34"/>
      <c r="W16" s="301">
        <f>G16/$W$7</f>
        <v>0</v>
      </c>
      <c r="X16" s="302">
        <f>SUM(H16:O16)</f>
        <v>0</v>
      </c>
      <c r="AA16" s="253">
        <f>SUBTOTAL(9,AA17:AA27)</f>
        <v>3212600</v>
      </c>
      <c r="AB16" s="253">
        <f>SUBTOTAL(9,AB17:AB27)</f>
        <v>477000</v>
      </c>
      <c r="AC16" s="254">
        <f>SUM(AA16:AB16)</f>
        <v>3689600</v>
      </c>
    </row>
    <row r="17" spans="2:29" ht="15" customHeight="1" x14ac:dyDescent="0.25">
      <c r="B17" s="35"/>
      <c r="C17" s="36" t="s">
        <v>43</v>
      </c>
      <c r="D17" s="37"/>
      <c r="E17" s="10"/>
      <c r="G17" s="38"/>
      <c r="H17" s="39"/>
      <c r="I17" s="40"/>
      <c r="J17" s="40"/>
      <c r="K17" s="41"/>
      <c r="L17" s="42"/>
      <c r="M17" s="42"/>
      <c r="N17" s="42"/>
      <c r="O17" s="43"/>
      <c r="P17" s="39"/>
      <c r="Q17" s="40"/>
      <c r="R17" s="41"/>
      <c r="S17" s="39"/>
      <c r="T17" s="40"/>
      <c r="U17" s="39"/>
      <c r="V17" s="41"/>
      <c r="W17" s="303">
        <f t="shared" ref="W17:W79" si="0">G17/$W$7</f>
        <v>0</v>
      </c>
      <c r="X17" s="304">
        <f t="shared" ref="X17:X79" si="1">SUM(H17:O17)</f>
        <v>0</v>
      </c>
      <c r="AA17" s="260">
        <f>SUBTOTAL(9,AA18:AA19)</f>
        <v>2400100</v>
      </c>
      <c r="AB17" s="261">
        <f>SUBTOTAL(9,AB18:AB19)</f>
        <v>361300</v>
      </c>
      <c r="AC17" s="254">
        <f>SUM(AA17:AB17)</f>
        <v>2761400</v>
      </c>
    </row>
    <row r="18" spans="2:29" ht="15" customHeight="1" x14ac:dyDescent="0.25">
      <c r="B18" s="156">
        <v>1</v>
      </c>
      <c r="C18" s="44" t="s">
        <v>44</v>
      </c>
      <c r="D18" s="45" t="s">
        <v>44</v>
      </c>
      <c r="E18" s="46" t="s">
        <v>641</v>
      </c>
      <c r="G18" s="47">
        <f>'[16]Billing Qty 2022'!G18</f>
        <v>231964800</v>
      </c>
      <c r="H18" s="48">
        <f>'[16]Billing Qty 2022'!H18</f>
        <v>2400100</v>
      </c>
      <c r="I18" s="40"/>
      <c r="J18" s="40"/>
      <c r="K18" s="41"/>
      <c r="L18" s="42"/>
      <c r="M18" s="49"/>
      <c r="N18" s="49"/>
      <c r="O18" s="50"/>
      <c r="P18" s="39"/>
      <c r="Q18" s="40"/>
      <c r="R18" s="41"/>
      <c r="S18" s="39"/>
      <c r="T18" s="40"/>
      <c r="U18" s="39"/>
      <c r="V18" s="41"/>
      <c r="W18" s="303">
        <f t="shared" si="0"/>
        <v>635520</v>
      </c>
      <c r="X18" s="304">
        <f t="shared" si="1"/>
        <v>2400100</v>
      </c>
      <c r="AA18" s="256">
        <f>SUM(H18:K18)</f>
        <v>2400100</v>
      </c>
      <c r="AB18" s="262">
        <f>SUM(L18:O18)</f>
        <v>0</v>
      </c>
      <c r="AC18" s="257">
        <f t="shared" ref="AC18:AC82" si="2">SUM(AA18:AB18)</f>
        <v>2400100</v>
      </c>
    </row>
    <row r="19" spans="2:29" ht="15" customHeight="1" x14ac:dyDescent="0.25">
      <c r="B19" s="156">
        <f>B18+1</f>
        <v>2</v>
      </c>
      <c r="C19" s="44" t="s">
        <v>643</v>
      </c>
      <c r="D19" s="45" t="s">
        <v>643</v>
      </c>
      <c r="E19" s="46" t="s">
        <v>47</v>
      </c>
      <c r="G19" s="47">
        <f>'[16]Billing Qty 2022'!G19</f>
        <v>0</v>
      </c>
      <c r="H19" s="48">
        <f>'[16]Billing Qty 2022'!H19</f>
        <v>0</v>
      </c>
      <c r="I19" s="40"/>
      <c r="J19" s="40"/>
      <c r="K19" s="41"/>
      <c r="L19" s="53">
        <f>'[16]Billing Qty 2022'!L19</f>
        <v>361300</v>
      </c>
      <c r="M19" s="49"/>
      <c r="N19" s="49"/>
      <c r="O19" s="50"/>
      <c r="P19" s="39"/>
      <c r="Q19" s="40"/>
      <c r="R19" s="41"/>
      <c r="S19" s="39"/>
      <c r="T19" s="40"/>
      <c r="U19" s="39"/>
      <c r="V19" s="41"/>
      <c r="W19" s="303">
        <f t="shared" si="0"/>
        <v>0</v>
      </c>
      <c r="X19" s="304">
        <f>SUM(H19:O19)</f>
        <v>361300</v>
      </c>
      <c r="AA19" s="256">
        <f>SUM(H19:K19)</f>
        <v>0</v>
      </c>
      <c r="AB19" s="262">
        <f>SUM(L19:O19)</f>
        <v>361300</v>
      </c>
      <c r="AC19" s="257">
        <f t="shared" si="2"/>
        <v>361300</v>
      </c>
    </row>
    <row r="20" spans="2:29" ht="15" customHeight="1" x14ac:dyDescent="0.25">
      <c r="B20" s="172"/>
      <c r="C20" s="36" t="s">
        <v>48</v>
      </c>
      <c r="D20" s="37"/>
      <c r="E20" s="10"/>
      <c r="G20" s="38"/>
      <c r="H20" s="39"/>
      <c r="I20" s="40"/>
      <c r="J20" s="40"/>
      <c r="K20" s="41"/>
      <c r="L20" s="40"/>
      <c r="M20" s="40"/>
      <c r="N20" s="40"/>
      <c r="O20" s="41"/>
      <c r="P20" s="39"/>
      <c r="Q20" s="40"/>
      <c r="R20" s="41"/>
      <c r="S20" s="39"/>
      <c r="T20" s="40"/>
      <c r="U20" s="39"/>
      <c r="V20" s="41"/>
      <c r="W20" s="303">
        <f t="shared" si="0"/>
        <v>0</v>
      </c>
      <c r="X20" s="304">
        <f t="shared" si="1"/>
        <v>0</v>
      </c>
      <c r="AA20" s="260">
        <f>SUBTOTAL(9,AA22:AA27)</f>
        <v>812500</v>
      </c>
      <c r="AB20" s="261">
        <f>SUBTOTAL(9,AB22:AB27)</f>
        <v>115700</v>
      </c>
      <c r="AC20" s="257">
        <f t="shared" si="2"/>
        <v>928200</v>
      </c>
    </row>
    <row r="21" spans="2:29" ht="15" customHeight="1" x14ac:dyDescent="0.25">
      <c r="B21" s="156">
        <f>B19+1</f>
        <v>3</v>
      </c>
      <c r="C21" s="44" t="s">
        <v>46</v>
      </c>
      <c r="D21" s="45" t="s">
        <v>46</v>
      </c>
      <c r="E21" s="182" t="s">
        <v>642</v>
      </c>
      <c r="G21" s="47">
        <f>'[16]Billing Qty 2022'!G21</f>
        <v>0</v>
      </c>
      <c r="H21" s="48">
        <f>'[16]Billing Qty 2022'!H21</f>
        <v>0</v>
      </c>
      <c r="I21" s="40"/>
      <c r="J21" s="40"/>
      <c r="K21" s="41"/>
      <c r="L21" s="49"/>
      <c r="M21" s="53">
        <f>'[16]Billing Qty 2022'!M21</f>
        <v>0</v>
      </c>
      <c r="N21" s="53">
        <f>'[16]Billing Qty 2022'!N21</f>
        <v>0</v>
      </c>
      <c r="O21" s="53">
        <f>'[16]Billing Qty 2022'!O21</f>
        <v>0</v>
      </c>
      <c r="P21" s="39"/>
      <c r="Q21" s="40"/>
      <c r="R21" s="41"/>
      <c r="S21" s="39"/>
      <c r="T21" s="40"/>
      <c r="U21" s="39"/>
      <c r="V21" s="41"/>
      <c r="W21" s="303"/>
      <c r="X21" s="304">
        <f>SUM(H21:O21)</f>
        <v>0</v>
      </c>
      <c r="AA21" s="256">
        <f t="shared" ref="AA21:AA27" si="3">SUM(H21:K21)</f>
        <v>0</v>
      </c>
      <c r="AB21" s="262">
        <f t="shared" ref="AB21:AB27" si="4">SUM(L21:O21)</f>
        <v>0</v>
      </c>
      <c r="AC21" s="257">
        <f t="shared" si="2"/>
        <v>0</v>
      </c>
    </row>
    <row r="22" spans="2:29" ht="15" customHeight="1" x14ac:dyDescent="0.25">
      <c r="B22" s="156">
        <f>B21+1</f>
        <v>4</v>
      </c>
      <c r="C22" s="44" t="s">
        <v>49</v>
      </c>
      <c r="D22" s="45" t="s">
        <v>49</v>
      </c>
      <c r="E22" s="46" t="s">
        <v>50</v>
      </c>
      <c r="G22" s="47">
        <f>'[16]Billing Qty 2022'!G22</f>
        <v>61281675</v>
      </c>
      <c r="H22" s="39"/>
      <c r="I22" s="53">
        <f>'[16]Billing Qty 2022'!I22</f>
        <v>569600</v>
      </c>
      <c r="J22" s="53">
        <f>'[16]Billing Qty 2022'!J22</f>
        <v>113900</v>
      </c>
      <c r="K22" s="54">
        <f>'[16]Billing Qty 2022'!K22</f>
        <v>126700</v>
      </c>
      <c r="L22" s="49"/>
      <c r="M22" s="49"/>
      <c r="N22" s="49"/>
      <c r="O22" s="50"/>
      <c r="P22" s="39"/>
      <c r="Q22" s="40"/>
      <c r="R22" s="41"/>
      <c r="S22" s="39"/>
      <c r="T22" s="40"/>
      <c r="U22" s="39"/>
      <c r="V22" s="41"/>
      <c r="W22" s="303">
        <f t="shared" si="0"/>
        <v>167895</v>
      </c>
      <c r="X22" s="304">
        <f t="shared" si="1"/>
        <v>810200</v>
      </c>
      <c r="AA22" s="256">
        <f t="shared" si="3"/>
        <v>810200</v>
      </c>
      <c r="AB22" s="262">
        <f t="shared" si="4"/>
        <v>0</v>
      </c>
      <c r="AC22" s="257">
        <f t="shared" si="2"/>
        <v>810200</v>
      </c>
    </row>
    <row r="23" spans="2:29" ht="15" customHeight="1" x14ac:dyDescent="0.25">
      <c r="B23" s="19">
        <f>B22+1</f>
        <v>5</v>
      </c>
      <c r="C23" s="44" t="s">
        <v>51</v>
      </c>
      <c r="D23" s="45" t="s">
        <v>51</v>
      </c>
      <c r="E23" s="46" t="s">
        <v>52</v>
      </c>
      <c r="G23" s="47">
        <f>'[16]Billing Qty 2022'!G23</f>
        <v>0</v>
      </c>
      <c r="H23" s="39"/>
      <c r="I23" s="53">
        <f>'[16]Billing Qty 2022'!I23</f>
        <v>0</v>
      </c>
      <c r="J23" s="53">
        <f>'[16]Billing Qty 2022'!J23</f>
        <v>0</v>
      </c>
      <c r="K23" s="54">
        <f>'[16]Billing Qty 2022'!K23</f>
        <v>0</v>
      </c>
      <c r="L23" s="49"/>
      <c r="M23" s="53">
        <f>'[16]Billing Qty 2022'!M23</f>
        <v>0</v>
      </c>
      <c r="N23" s="53">
        <f>'[16]Billing Qty 2022'!N23</f>
        <v>92600</v>
      </c>
      <c r="O23" s="53">
        <f>'[16]Billing Qty 2022'!O23</f>
        <v>23100</v>
      </c>
      <c r="P23" s="39"/>
      <c r="Q23" s="40"/>
      <c r="R23" s="41"/>
      <c r="S23" s="39"/>
      <c r="T23" s="40"/>
      <c r="U23" s="39"/>
      <c r="V23" s="41"/>
      <c r="W23" s="303">
        <f t="shared" si="0"/>
        <v>0</v>
      </c>
      <c r="X23" s="304">
        <f t="shared" si="1"/>
        <v>115700</v>
      </c>
      <c r="AA23" s="256">
        <f t="shared" si="3"/>
        <v>0</v>
      </c>
      <c r="AB23" s="262">
        <f t="shared" si="4"/>
        <v>115700</v>
      </c>
      <c r="AC23" s="257">
        <f t="shared" si="2"/>
        <v>115700</v>
      </c>
    </row>
    <row r="24" spans="2:29" ht="15" customHeight="1" x14ac:dyDescent="0.25">
      <c r="B24" s="19">
        <f>B23+1</f>
        <v>6</v>
      </c>
      <c r="C24" s="44" t="s">
        <v>53</v>
      </c>
      <c r="D24" s="45" t="s">
        <v>53</v>
      </c>
      <c r="E24" s="46" t="s">
        <v>54</v>
      </c>
      <c r="G24" s="47">
        <f>'[16]Billing Qty 2022'!G24/2</f>
        <v>371935</v>
      </c>
      <c r="H24" s="39"/>
      <c r="I24" s="53">
        <f>'[16]Billing Qty 2022'!I24/2</f>
        <v>450</v>
      </c>
      <c r="J24" s="53">
        <f>'[16]Billing Qty 2022'!J24/2</f>
        <v>450</v>
      </c>
      <c r="K24" s="54">
        <f>'[16]Billing Qty 2022'!K24/2</f>
        <v>250</v>
      </c>
      <c r="L24" s="49"/>
      <c r="M24" s="49"/>
      <c r="N24" s="49"/>
      <c r="O24" s="50"/>
      <c r="P24" s="39"/>
      <c r="Q24" s="40"/>
      <c r="R24" s="41"/>
      <c r="S24" s="39"/>
      <c r="T24" s="40"/>
      <c r="U24" s="48">
        <f>'[16]Billing Qty 2022'!U24/2</f>
        <v>446395</v>
      </c>
      <c r="V24" s="41"/>
      <c r="W24" s="303">
        <f t="shared" si="0"/>
        <v>1019</v>
      </c>
      <c r="X24" s="304">
        <f t="shared" si="1"/>
        <v>1150</v>
      </c>
      <c r="AA24" s="256">
        <f t="shared" si="3"/>
        <v>1150</v>
      </c>
      <c r="AB24" s="262">
        <f t="shared" si="4"/>
        <v>0</v>
      </c>
      <c r="AC24" s="257">
        <f t="shared" si="2"/>
        <v>1150</v>
      </c>
    </row>
    <row r="25" spans="2:29" ht="15" customHeight="1" x14ac:dyDescent="0.25">
      <c r="B25" s="19">
        <f>B24+1</f>
        <v>7</v>
      </c>
      <c r="C25" s="44" t="s">
        <v>55</v>
      </c>
      <c r="D25" s="45" t="s">
        <v>55</v>
      </c>
      <c r="E25" s="46" t="s">
        <v>56</v>
      </c>
      <c r="G25" s="47">
        <f>'[16]Billing Qty 2022'!G25</f>
        <v>0</v>
      </c>
      <c r="H25" s="39"/>
      <c r="I25" s="53">
        <f>'[16]Billing Qty 2022'!I25</f>
        <v>0</v>
      </c>
      <c r="J25" s="53">
        <f>'[16]Billing Qty 2022'!J25</f>
        <v>0</v>
      </c>
      <c r="K25" s="54">
        <f>'[16]Billing Qty 2022'!K25</f>
        <v>0</v>
      </c>
      <c r="L25" s="49"/>
      <c r="M25" s="53">
        <f>'[16]Billing Qty 2022'!M25</f>
        <v>0</v>
      </c>
      <c r="N25" s="53">
        <f>'[16]Billing Qty 2022'!N25</f>
        <v>0</v>
      </c>
      <c r="O25" s="53">
        <f>'[16]Billing Qty 2022'!O25</f>
        <v>0</v>
      </c>
      <c r="P25" s="39"/>
      <c r="Q25" s="40"/>
      <c r="R25" s="41"/>
      <c r="S25" s="39"/>
      <c r="T25" s="40"/>
      <c r="U25" s="48">
        <f>'[16]Billing Qty 2022'!U25</f>
        <v>0</v>
      </c>
      <c r="V25" s="41"/>
      <c r="W25" s="303">
        <f t="shared" si="0"/>
        <v>0</v>
      </c>
      <c r="X25" s="304">
        <f t="shared" si="1"/>
        <v>0</v>
      </c>
      <c r="AA25" s="256">
        <f t="shared" si="3"/>
        <v>0</v>
      </c>
      <c r="AB25" s="262">
        <f t="shared" si="4"/>
        <v>0</v>
      </c>
      <c r="AC25" s="257">
        <f t="shared" si="2"/>
        <v>0</v>
      </c>
    </row>
    <row r="26" spans="2:29" ht="15" customHeight="1" x14ac:dyDescent="0.25">
      <c r="B26" s="19">
        <v>8</v>
      </c>
      <c r="C26" s="44" t="s">
        <v>699</v>
      </c>
      <c r="D26" s="45" t="s">
        <v>699</v>
      </c>
      <c r="E26" s="46" t="s">
        <v>701</v>
      </c>
      <c r="G26" s="47">
        <f>G24</f>
        <v>371935</v>
      </c>
      <c r="H26" s="39"/>
      <c r="I26" s="53">
        <f>0.118*SUM($I$24:$K$24)</f>
        <v>135.69999999999999</v>
      </c>
      <c r="J26" s="53">
        <f>0.719*SUM($I$24:$K$24)</f>
        <v>826.85</v>
      </c>
      <c r="K26" s="54">
        <f>0.163*SUM($I$24:$K$24)</f>
        <v>187.45000000000002</v>
      </c>
      <c r="L26" s="49"/>
      <c r="M26" s="49"/>
      <c r="N26" s="49"/>
      <c r="O26" s="50"/>
      <c r="P26" s="39"/>
      <c r="Q26" s="40"/>
      <c r="R26" s="41"/>
      <c r="S26" s="39"/>
      <c r="T26" s="40"/>
      <c r="U26" s="81"/>
      <c r="V26" s="41"/>
      <c r="W26" s="303">
        <f>G26/$W$7</f>
        <v>1019</v>
      </c>
      <c r="X26" s="304">
        <f>SUM(H26:O26)</f>
        <v>1150</v>
      </c>
      <c r="AA26" s="256">
        <f t="shared" si="3"/>
        <v>1150</v>
      </c>
      <c r="AB26" s="262">
        <f t="shared" si="4"/>
        <v>0</v>
      </c>
      <c r="AC26" s="257">
        <f>SUM(AA26:AB26)</f>
        <v>1150</v>
      </c>
    </row>
    <row r="27" spans="2:29" ht="15" customHeight="1" x14ac:dyDescent="0.25">
      <c r="B27" s="26">
        <v>9</v>
      </c>
      <c r="C27" s="55" t="s">
        <v>700</v>
      </c>
      <c r="D27" s="56" t="s">
        <v>700</v>
      </c>
      <c r="E27" s="57" t="s">
        <v>702</v>
      </c>
      <c r="G27" s="58">
        <f>'[16]Billing Qty 2022'!G27</f>
        <v>0</v>
      </c>
      <c r="H27" s="59"/>
      <c r="I27" s="60">
        <f>'[16]Billing Qty 2022'!I27</f>
        <v>0</v>
      </c>
      <c r="J27" s="60">
        <f>'[16]Billing Qty 2022'!J27</f>
        <v>0</v>
      </c>
      <c r="K27" s="61">
        <f>'[16]Billing Qty 2022'!K27</f>
        <v>0</v>
      </c>
      <c r="L27" s="62"/>
      <c r="M27" s="60">
        <f>'[16]Billing Qty 2022'!M27</f>
        <v>0</v>
      </c>
      <c r="N27" s="60">
        <f>'[16]Billing Qty 2022'!N27</f>
        <v>0</v>
      </c>
      <c r="O27" s="60">
        <f>'[16]Billing Qty 2022'!O27</f>
        <v>0</v>
      </c>
      <c r="P27" s="59"/>
      <c r="Q27" s="63"/>
      <c r="R27" s="64"/>
      <c r="S27" s="59"/>
      <c r="T27" s="63"/>
      <c r="U27" s="96"/>
      <c r="V27" s="64"/>
      <c r="W27" s="305">
        <f>G27/$W$7</f>
        <v>0</v>
      </c>
      <c r="X27" s="306">
        <f>SUM(H27:O27)</f>
        <v>0</v>
      </c>
      <c r="AA27" s="256">
        <f t="shared" si="3"/>
        <v>0</v>
      </c>
      <c r="AB27" s="262">
        <f t="shared" si="4"/>
        <v>0</v>
      </c>
      <c r="AC27" s="257">
        <f>SUM(AA27:AB27)</f>
        <v>0</v>
      </c>
    </row>
    <row r="28" spans="2:29" ht="15" customHeight="1" x14ac:dyDescent="0.25">
      <c r="B28" s="30" t="s">
        <v>57</v>
      </c>
      <c r="C28" s="14" t="s">
        <v>58</v>
      </c>
      <c r="D28" s="14"/>
      <c r="E28" s="13"/>
      <c r="G28" s="66"/>
      <c r="H28" s="67"/>
      <c r="I28" s="68"/>
      <c r="J28" s="68"/>
      <c r="K28" s="69"/>
      <c r="L28" s="70"/>
      <c r="M28" s="70"/>
      <c r="N28" s="70"/>
      <c r="O28" s="71"/>
      <c r="P28" s="68"/>
      <c r="Q28" s="68"/>
      <c r="R28" s="69"/>
      <c r="S28" s="67"/>
      <c r="T28" s="68"/>
      <c r="U28" s="67"/>
      <c r="V28" s="69"/>
      <c r="W28" s="301">
        <f t="shared" si="0"/>
        <v>0</v>
      </c>
      <c r="X28" s="302">
        <f t="shared" si="1"/>
        <v>0</v>
      </c>
      <c r="AA28" s="253">
        <f>SUBTOTAL(9,AA29:AA41)</f>
        <v>1299500</v>
      </c>
      <c r="AB28" s="253">
        <f>SUBTOTAL(9,AB29:AB41)</f>
        <v>6000</v>
      </c>
      <c r="AC28" s="254">
        <f t="shared" si="2"/>
        <v>1305500</v>
      </c>
    </row>
    <row r="29" spans="2:29" ht="15" customHeight="1" x14ac:dyDescent="0.25">
      <c r="B29" s="35"/>
      <c r="C29" s="36" t="s">
        <v>59</v>
      </c>
      <c r="D29" s="37"/>
      <c r="E29" s="10"/>
      <c r="G29" s="72"/>
      <c r="H29" s="73"/>
      <c r="I29" s="74"/>
      <c r="J29" s="74"/>
      <c r="K29" s="75"/>
      <c r="L29" s="51"/>
      <c r="M29" s="51"/>
      <c r="N29" s="51"/>
      <c r="O29" s="52"/>
      <c r="P29" s="74"/>
      <c r="Q29" s="74"/>
      <c r="R29" s="75"/>
      <c r="S29" s="73"/>
      <c r="T29" s="74"/>
      <c r="U29" s="73"/>
      <c r="V29" s="75"/>
      <c r="W29" s="303">
        <f t="shared" si="0"/>
        <v>0</v>
      </c>
      <c r="X29" s="304">
        <f t="shared" si="1"/>
        <v>0</v>
      </c>
      <c r="AA29" s="260">
        <f>SUBTOTAL(9,AA30:AA31)</f>
        <v>108000</v>
      </c>
      <c r="AB29" s="261">
        <f>SUBTOTAL(9,AB30:AB31)</f>
        <v>0</v>
      </c>
      <c r="AC29" s="257">
        <f t="shared" si="2"/>
        <v>108000</v>
      </c>
    </row>
    <row r="30" spans="2:29" ht="15" customHeight="1" x14ac:dyDescent="0.25">
      <c r="B30" s="19">
        <v>1</v>
      </c>
      <c r="C30" s="44" t="s">
        <v>60</v>
      </c>
      <c r="D30" s="45" t="str">
        <f>C30</f>
        <v>LVUU</v>
      </c>
      <c r="E30" s="76" t="s">
        <v>61</v>
      </c>
      <c r="G30" s="77">
        <f>'[16]Billing Qty 2022'!G30</f>
        <v>0</v>
      </c>
      <c r="H30" s="78">
        <f>'[16]Billing Qty 2022'!H30</f>
        <v>91000</v>
      </c>
      <c r="I30" s="79"/>
      <c r="J30" s="79"/>
      <c r="K30" s="80"/>
      <c r="L30" s="79"/>
      <c r="M30" s="79"/>
      <c r="N30" s="79"/>
      <c r="O30" s="80"/>
      <c r="P30" s="79"/>
      <c r="Q30" s="79"/>
      <c r="R30" s="80"/>
      <c r="S30" s="81"/>
      <c r="T30" s="79"/>
      <c r="U30" s="82"/>
      <c r="V30" s="83"/>
      <c r="W30" s="303">
        <f t="shared" si="0"/>
        <v>0</v>
      </c>
      <c r="X30" s="304">
        <f t="shared" si="1"/>
        <v>91000</v>
      </c>
      <c r="AA30" s="256">
        <f>SUM(H30:K30)</f>
        <v>91000</v>
      </c>
      <c r="AB30" s="262">
        <f>SUM(L30:O30)</f>
        <v>0</v>
      </c>
      <c r="AC30" s="257">
        <f t="shared" si="2"/>
        <v>91000</v>
      </c>
    </row>
    <row r="31" spans="2:29" ht="15" customHeight="1" x14ac:dyDescent="0.25">
      <c r="B31" s="19">
        <f t="shared" ref="B31:B41" si="5">B30+1</f>
        <v>2</v>
      </c>
      <c r="C31" s="44" t="s">
        <v>62</v>
      </c>
      <c r="D31" s="45" t="str">
        <f>C31</f>
        <v>LVUU24</v>
      </c>
      <c r="E31" s="76" t="s">
        <v>63</v>
      </c>
      <c r="G31" s="77">
        <f>'[16]Billing Qty 2022'!G31</f>
        <v>0</v>
      </c>
      <c r="H31" s="78">
        <f>'[16]Billing Qty 2022'!H31</f>
        <v>17000</v>
      </c>
      <c r="I31" s="79"/>
      <c r="J31" s="79"/>
      <c r="K31" s="80"/>
      <c r="L31" s="79"/>
      <c r="M31" s="79"/>
      <c r="N31" s="79"/>
      <c r="O31" s="80"/>
      <c r="P31" s="79"/>
      <c r="Q31" s="79"/>
      <c r="R31" s="80"/>
      <c r="S31" s="81"/>
      <c r="T31" s="79"/>
      <c r="U31" s="82"/>
      <c r="V31" s="83"/>
      <c r="W31" s="303">
        <f t="shared" si="0"/>
        <v>0</v>
      </c>
      <c r="X31" s="304">
        <f t="shared" si="1"/>
        <v>17000</v>
      </c>
      <c r="AA31" s="256">
        <f>SUM(H31:K31)</f>
        <v>17000</v>
      </c>
      <c r="AB31" s="262">
        <f>SUM(L31:O31)</f>
        <v>0</v>
      </c>
      <c r="AC31" s="257">
        <f t="shared" si="2"/>
        <v>17000</v>
      </c>
    </row>
    <row r="32" spans="2:29" ht="15" customHeight="1" x14ac:dyDescent="0.25">
      <c r="B32" s="19"/>
      <c r="C32" s="84" t="s">
        <v>64</v>
      </c>
      <c r="D32" s="85"/>
      <c r="E32" s="85"/>
      <c r="G32" s="86"/>
      <c r="H32" s="81"/>
      <c r="I32" s="79"/>
      <c r="J32" s="79"/>
      <c r="K32" s="80"/>
      <c r="L32" s="79"/>
      <c r="M32" s="79"/>
      <c r="N32" s="79"/>
      <c r="O32" s="80"/>
      <c r="P32" s="79"/>
      <c r="Q32" s="79"/>
      <c r="R32" s="80"/>
      <c r="S32" s="81"/>
      <c r="T32" s="79"/>
      <c r="U32" s="81"/>
      <c r="V32" s="80"/>
      <c r="W32" s="303">
        <f t="shared" si="0"/>
        <v>0</v>
      </c>
      <c r="X32" s="304">
        <f t="shared" si="1"/>
        <v>0</v>
      </c>
      <c r="AA32" s="252">
        <f>SUBTOTAL(9,AA33:AA37)</f>
        <v>632900</v>
      </c>
      <c r="AB32" s="252">
        <f>SUBTOTAL(9,AB33:AB37)</f>
        <v>6000</v>
      </c>
      <c r="AC32" s="254">
        <f t="shared" si="2"/>
        <v>638900</v>
      </c>
    </row>
    <row r="33" spans="2:29" ht="15" customHeight="1" x14ac:dyDescent="0.25">
      <c r="B33" s="19">
        <f>B31+1</f>
        <v>3</v>
      </c>
      <c r="C33" s="44" t="s">
        <v>65</v>
      </c>
      <c r="D33" s="45" t="str">
        <f>C33</f>
        <v>BSR</v>
      </c>
      <c r="E33" s="76" t="s">
        <v>66</v>
      </c>
      <c r="G33" s="77">
        <f>'[16]Billing Qty 2022'!G33</f>
        <v>16762625</v>
      </c>
      <c r="H33" s="78">
        <f>'[16]Billing Qty 2022'!H33</f>
        <v>322200</v>
      </c>
      <c r="I33" s="79"/>
      <c r="J33" s="79"/>
      <c r="K33" s="80"/>
      <c r="L33" s="79"/>
      <c r="M33" s="79"/>
      <c r="N33" s="79"/>
      <c r="O33" s="80"/>
      <c r="P33" s="79"/>
      <c r="Q33" s="79"/>
      <c r="R33" s="80"/>
      <c r="S33" s="81"/>
      <c r="T33" s="79"/>
      <c r="U33" s="82"/>
      <c r="V33" s="83"/>
      <c r="W33" s="303">
        <f t="shared" si="0"/>
        <v>45925</v>
      </c>
      <c r="X33" s="304">
        <f t="shared" si="1"/>
        <v>322200</v>
      </c>
      <c r="AA33" s="256">
        <f>SUM(H33:K33)</f>
        <v>322200</v>
      </c>
      <c r="AB33" s="262">
        <f>SUM(L33:O33)</f>
        <v>0</v>
      </c>
      <c r="AC33" s="257">
        <f t="shared" si="2"/>
        <v>322200</v>
      </c>
    </row>
    <row r="34" spans="2:29" ht="15" customHeight="1" x14ac:dyDescent="0.25">
      <c r="B34" s="19">
        <f t="shared" si="5"/>
        <v>4</v>
      </c>
      <c r="C34" s="44" t="s">
        <v>67</v>
      </c>
      <c r="D34" s="45" t="str">
        <f>C34</f>
        <v>BSRCL</v>
      </c>
      <c r="E34" s="76" t="s">
        <v>68</v>
      </c>
      <c r="G34" s="77">
        <f>'[16]Billing Qty 2022'!G34</f>
        <v>0</v>
      </c>
      <c r="H34" s="78">
        <f>'[16]Billing Qty 2022'!H34</f>
        <v>0</v>
      </c>
      <c r="I34" s="79"/>
      <c r="J34" s="79"/>
      <c r="K34" s="80"/>
      <c r="L34" s="87">
        <f>'[16]Billing Qty 2022'!L34</f>
        <v>3000</v>
      </c>
      <c r="M34" s="79"/>
      <c r="N34" s="79"/>
      <c r="O34" s="80"/>
      <c r="P34" s="79"/>
      <c r="Q34" s="79"/>
      <c r="R34" s="80"/>
      <c r="S34" s="81"/>
      <c r="T34" s="79"/>
      <c r="U34" s="82"/>
      <c r="V34" s="83"/>
      <c r="W34" s="303">
        <f t="shared" si="0"/>
        <v>0</v>
      </c>
      <c r="X34" s="304">
        <f t="shared" si="1"/>
        <v>3000</v>
      </c>
      <c r="AA34" s="256">
        <f>SUM(H34:K34)</f>
        <v>0</v>
      </c>
      <c r="AB34" s="262">
        <f>SUM(L34:O34)</f>
        <v>3000</v>
      </c>
      <c r="AC34" s="257">
        <f t="shared" si="2"/>
        <v>3000</v>
      </c>
    </row>
    <row r="35" spans="2:29" ht="15" customHeight="1" x14ac:dyDescent="0.25">
      <c r="B35" s="19">
        <f t="shared" si="5"/>
        <v>5</v>
      </c>
      <c r="C35" s="44" t="s">
        <v>69</v>
      </c>
      <c r="D35" s="45" t="str">
        <f>C35</f>
        <v>B2R</v>
      </c>
      <c r="E35" s="76" t="s">
        <v>70</v>
      </c>
      <c r="G35" s="77">
        <f>'[16]Billing Qty 2022'!G35</f>
        <v>8452305</v>
      </c>
      <c r="H35" s="81"/>
      <c r="I35" s="53">
        <f>'[16]Billing Qty 2022'!I35</f>
        <v>163500</v>
      </c>
      <c r="J35" s="79"/>
      <c r="K35" s="54">
        <f>'[16]Billing Qty 2022'!K35</f>
        <v>147200</v>
      </c>
      <c r="L35" s="79"/>
      <c r="M35" s="79"/>
      <c r="N35" s="79"/>
      <c r="O35" s="80"/>
      <c r="P35" s="79"/>
      <c r="Q35" s="79"/>
      <c r="R35" s="80"/>
      <c r="S35" s="81"/>
      <c r="T35" s="79"/>
      <c r="U35" s="82"/>
      <c r="V35" s="83"/>
      <c r="W35" s="303">
        <f t="shared" si="0"/>
        <v>23157</v>
      </c>
      <c r="X35" s="304">
        <f t="shared" si="1"/>
        <v>310700</v>
      </c>
      <c r="AA35" s="256">
        <f>SUM(H35:K35)</f>
        <v>310700</v>
      </c>
      <c r="AB35" s="262">
        <f>SUM(L35:O35)</f>
        <v>0</v>
      </c>
      <c r="AC35" s="257">
        <f t="shared" si="2"/>
        <v>310700</v>
      </c>
    </row>
    <row r="36" spans="2:29" ht="15" customHeight="1" x14ac:dyDescent="0.25">
      <c r="B36" s="19">
        <f t="shared" si="5"/>
        <v>6</v>
      </c>
      <c r="C36" s="44" t="s">
        <v>71</v>
      </c>
      <c r="D36" s="45" t="str">
        <f>C36</f>
        <v>B2RCL</v>
      </c>
      <c r="E36" s="76" t="s">
        <v>72</v>
      </c>
      <c r="G36" s="77">
        <f>'[16]Billing Qty 2022'!G36</f>
        <v>0</v>
      </c>
      <c r="H36" s="81"/>
      <c r="I36" s="53">
        <f>'[16]Billing Qty 2022'!I36</f>
        <v>0</v>
      </c>
      <c r="J36" s="79"/>
      <c r="K36" s="54">
        <f>'[16]Billing Qty 2022'!K36</f>
        <v>0</v>
      </c>
      <c r="L36" s="87">
        <f>'[16]Billing Qty 2022'!L36</f>
        <v>3000</v>
      </c>
      <c r="M36" s="79"/>
      <c r="N36" s="79"/>
      <c r="O36" s="80"/>
      <c r="P36" s="79"/>
      <c r="Q36" s="79"/>
      <c r="R36" s="80"/>
      <c r="S36" s="81"/>
      <c r="T36" s="79"/>
      <c r="U36" s="82"/>
      <c r="V36" s="83"/>
      <c r="W36" s="303">
        <f t="shared" si="0"/>
        <v>0</v>
      </c>
      <c r="X36" s="304">
        <f t="shared" si="1"/>
        <v>3000</v>
      </c>
      <c r="AA36" s="256">
        <f>SUM(H36:K36)</f>
        <v>0</v>
      </c>
      <c r="AB36" s="262">
        <f>SUM(L36:O36)</f>
        <v>3000</v>
      </c>
      <c r="AC36" s="257">
        <f t="shared" si="2"/>
        <v>3000</v>
      </c>
    </row>
    <row r="37" spans="2:29" ht="15" customHeight="1" x14ac:dyDescent="0.25">
      <c r="B37" s="19">
        <f t="shared" si="5"/>
        <v>7</v>
      </c>
      <c r="C37" s="44" t="s">
        <v>73</v>
      </c>
      <c r="D37" s="45" t="str">
        <f>C37</f>
        <v>BCL</v>
      </c>
      <c r="E37" s="76" t="s">
        <v>74</v>
      </c>
      <c r="G37" s="77">
        <f>'[16]Billing Qty 2022'!G37</f>
        <v>0</v>
      </c>
      <c r="H37" s="81"/>
      <c r="I37" s="79"/>
      <c r="J37" s="79"/>
      <c r="K37" s="80"/>
      <c r="L37" s="87">
        <f>'[16]Billing Qty 2022'!L37</f>
        <v>0</v>
      </c>
      <c r="M37" s="79"/>
      <c r="N37" s="79"/>
      <c r="O37" s="80"/>
      <c r="P37" s="79"/>
      <c r="Q37" s="79"/>
      <c r="R37" s="80"/>
      <c r="S37" s="81"/>
      <c r="T37" s="79"/>
      <c r="U37" s="82"/>
      <c r="V37" s="83"/>
      <c r="W37" s="303">
        <f t="shared" si="0"/>
        <v>0</v>
      </c>
      <c r="X37" s="304">
        <f t="shared" si="1"/>
        <v>0</v>
      </c>
      <c r="AA37" s="256">
        <f>SUM(H37:K37)</f>
        <v>0</v>
      </c>
      <c r="AB37" s="262">
        <f>SUM(L37:O37)</f>
        <v>0</v>
      </c>
      <c r="AC37" s="257">
        <f t="shared" si="2"/>
        <v>0</v>
      </c>
    </row>
    <row r="38" spans="2:29" ht="15" customHeight="1" x14ac:dyDescent="0.25">
      <c r="B38" s="19"/>
      <c r="C38" s="84" t="s">
        <v>75</v>
      </c>
      <c r="D38" s="85"/>
      <c r="E38" s="85"/>
      <c r="G38" s="86"/>
      <c r="H38" s="81"/>
      <c r="I38" s="79"/>
      <c r="J38" s="79"/>
      <c r="K38" s="80"/>
      <c r="L38" s="79"/>
      <c r="M38" s="79"/>
      <c r="N38" s="79"/>
      <c r="O38" s="80"/>
      <c r="P38" s="79"/>
      <c r="Q38" s="79"/>
      <c r="R38" s="80"/>
      <c r="S38" s="81"/>
      <c r="T38" s="79"/>
      <c r="U38" s="81"/>
      <c r="V38" s="80"/>
      <c r="W38" s="303">
        <f t="shared" si="0"/>
        <v>0</v>
      </c>
      <c r="X38" s="304">
        <f t="shared" si="1"/>
        <v>0</v>
      </c>
      <c r="AA38" s="252">
        <f>SUBTOTAL(9,AA39:AA41)</f>
        <v>558600</v>
      </c>
      <c r="AB38" s="252">
        <f>SUBTOTAL(9,AB39:AB41)</f>
        <v>0</v>
      </c>
      <c r="AC38" s="254">
        <f t="shared" si="2"/>
        <v>558600</v>
      </c>
    </row>
    <row r="39" spans="2:29" ht="15" customHeight="1" x14ac:dyDescent="0.25">
      <c r="B39" s="19">
        <f>B37+1</f>
        <v>8</v>
      </c>
      <c r="C39" s="44" t="s">
        <v>76</v>
      </c>
      <c r="D39" s="45" t="str">
        <f>C39</f>
        <v>SBTOU</v>
      </c>
      <c r="E39" s="76" t="s">
        <v>77</v>
      </c>
      <c r="G39" s="77">
        <f>'[16]Billing Qty 2022'!G39</f>
        <v>8194980</v>
      </c>
      <c r="H39" s="81"/>
      <c r="I39" s="87">
        <f>'[16]Billing Qty 2022'!I39</f>
        <v>32400</v>
      </c>
      <c r="J39" s="87">
        <f>'[16]Billing Qty 2022'!J39</f>
        <v>231500</v>
      </c>
      <c r="K39" s="88">
        <f>'[16]Billing Qty 2022'!K39</f>
        <v>204400</v>
      </c>
      <c r="L39" s="79"/>
      <c r="M39" s="79"/>
      <c r="N39" s="79"/>
      <c r="O39" s="80"/>
      <c r="P39" s="79"/>
      <c r="Q39" s="79"/>
      <c r="R39" s="80"/>
      <c r="S39" s="81"/>
      <c r="T39" s="79"/>
      <c r="U39" s="82"/>
      <c r="V39" s="83"/>
      <c r="W39" s="303">
        <f t="shared" si="0"/>
        <v>22452</v>
      </c>
      <c r="X39" s="304">
        <f t="shared" si="1"/>
        <v>468300</v>
      </c>
      <c r="AA39" s="256">
        <f>SUM(H39:K39)</f>
        <v>468300</v>
      </c>
      <c r="AB39" s="262">
        <f>SUM(L39:O39)</f>
        <v>0</v>
      </c>
      <c r="AC39" s="257">
        <f t="shared" si="2"/>
        <v>468300</v>
      </c>
    </row>
    <row r="40" spans="2:29" ht="15" customHeight="1" x14ac:dyDescent="0.25">
      <c r="B40" s="19">
        <f t="shared" si="5"/>
        <v>9</v>
      </c>
      <c r="C40" s="44" t="s">
        <v>78</v>
      </c>
      <c r="D40" s="45" t="str">
        <f>C40</f>
        <v>SBTOUD</v>
      </c>
      <c r="E40" s="76" t="s">
        <v>79</v>
      </c>
      <c r="G40" s="77">
        <f>'[16]Billing Qty 2022'!G40</f>
        <v>568305</v>
      </c>
      <c r="H40" s="81"/>
      <c r="I40" s="87">
        <f>'[16]Billing Qty 2022'!I40</f>
        <v>4700</v>
      </c>
      <c r="J40" s="87">
        <f>'[16]Billing Qty 2022'!J40</f>
        <v>40800</v>
      </c>
      <c r="K40" s="88">
        <f>'[16]Billing Qty 2022'!K40</f>
        <v>27600</v>
      </c>
      <c r="L40" s="79"/>
      <c r="M40" s="79"/>
      <c r="N40" s="79"/>
      <c r="O40" s="80"/>
      <c r="P40" s="79"/>
      <c r="Q40" s="79"/>
      <c r="R40" s="80"/>
      <c r="S40" s="81"/>
      <c r="T40" s="87">
        <f>'[16]Billing Qty 2022'!T40</f>
        <v>27963015</v>
      </c>
      <c r="U40" s="82"/>
      <c r="V40" s="83"/>
      <c r="W40" s="303">
        <f t="shared" si="0"/>
        <v>1557</v>
      </c>
      <c r="X40" s="304">
        <f t="shared" si="1"/>
        <v>73100</v>
      </c>
      <c r="AA40" s="256">
        <f>SUM(H40:K40)</f>
        <v>73100</v>
      </c>
      <c r="AB40" s="262">
        <f>SUM(L40:O40)</f>
        <v>0</v>
      </c>
      <c r="AC40" s="257">
        <f t="shared" si="2"/>
        <v>73100</v>
      </c>
    </row>
    <row r="41" spans="2:29" ht="15" customHeight="1" x14ac:dyDescent="0.25">
      <c r="B41" s="26">
        <f t="shared" si="5"/>
        <v>10</v>
      </c>
      <c r="C41" s="55" t="s">
        <v>80</v>
      </c>
      <c r="D41" s="56" t="str">
        <f>C41</f>
        <v>SBD</v>
      </c>
      <c r="E41" s="89" t="s">
        <v>81</v>
      </c>
      <c r="G41" s="90">
        <f>'[16]Billing Qty 2022'!G41</f>
        <v>251120</v>
      </c>
      <c r="H41" s="91">
        <f>'[16]Billing Qty 2022'!H41</f>
        <v>17200</v>
      </c>
      <c r="I41" s="92"/>
      <c r="J41" s="92"/>
      <c r="K41" s="93"/>
      <c r="L41" s="92"/>
      <c r="M41" s="92"/>
      <c r="N41" s="92"/>
      <c r="O41" s="93"/>
      <c r="P41" s="92"/>
      <c r="Q41" s="94">
        <f>'[16]Billing Qty 2022'!Q41</f>
        <v>1070741</v>
      </c>
      <c r="R41" s="95">
        <f>'[16]Billing Qty 2022'!R41</f>
        <v>2717425</v>
      </c>
      <c r="S41" s="96"/>
      <c r="T41" s="92"/>
      <c r="U41" s="97"/>
      <c r="V41" s="98"/>
      <c r="W41" s="305">
        <f t="shared" si="0"/>
        <v>688</v>
      </c>
      <c r="X41" s="306">
        <f t="shared" si="1"/>
        <v>17200</v>
      </c>
      <c r="AA41" s="256">
        <f>SUM(H41:K41)</f>
        <v>17200</v>
      </c>
      <c r="AB41" s="262">
        <f>SUM(L41:O41)</f>
        <v>0</v>
      </c>
      <c r="AC41" s="257">
        <f t="shared" si="2"/>
        <v>17200</v>
      </c>
    </row>
    <row r="42" spans="2:29" ht="15" customHeight="1" x14ac:dyDescent="0.25">
      <c r="B42" s="30" t="s">
        <v>82</v>
      </c>
      <c r="C42" s="14" t="s">
        <v>83</v>
      </c>
      <c r="D42" s="14"/>
      <c r="E42" s="99"/>
      <c r="G42" s="100"/>
      <c r="H42" s="101"/>
      <c r="I42" s="102"/>
      <c r="J42" s="102"/>
      <c r="K42" s="103"/>
      <c r="L42" s="102"/>
      <c r="M42" s="102"/>
      <c r="N42" s="102"/>
      <c r="O42" s="103"/>
      <c r="P42" s="102"/>
      <c r="Q42" s="102"/>
      <c r="R42" s="103"/>
      <c r="S42" s="101"/>
      <c r="T42" s="102"/>
      <c r="U42" s="101"/>
      <c r="V42" s="103"/>
      <c r="W42" s="301">
        <f t="shared" si="0"/>
        <v>0</v>
      </c>
      <c r="X42" s="302">
        <f t="shared" si="1"/>
        <v>0</v>
      </c>
      <c r="AA42" s="253">
        <f>SUBTOTAL(9,AA43:AA69)</f>
        <v>2608314</v>
      </c>
      <c r="AB42" s="253">
        <f>SUBTOTAL(9,AB43:AB69)</f>
        <v>0</v>
      </c>
      <c r="AC42" s="254">
        <f t="shared" si="2"/>
        <v>2608314</v>
      </c>
    </row>
    <row r="43" spans="2:29" ht="15" customHeight="1" x14ac:dyDescent="0.25">
      <c r="B43" s="19"/>
      <c r="C43" s="36" t="s">
        <v>84</v>
      </c>
      <c r="D43" s="37"/>
      <c r="E43" s="85"/>
      <c r="G43" s="86"/>
      <c r="H43" s="81"/>
      <c r="I43" s="79"/>
      <c r="J43" s="79"/>
      <c r="K43" s="80"/>
      <c r="L43" s="79"/>
      <c r="M43" s="79"/>
      <c r="N43" s="79"/>
      <c r="O43" s="80"/>
      <c r="P43" s="79"/>
      <c r="Q43" s="79"/>
      <c r="R43" s="80"/>
      <c r="S43" s="81"/>
      <c r="T43" s="79"/>
      <c r="U43" s="81"/>
      <c r="V43" s="80"/>
      <c r="W43" s="303">
        <f t="shared" si="0"/>
        <v>0</v>
      </c>
      <c r="X43" s="304">
        <f t="shared" si="1"/>
        <v>0</v>
      </c>
      <c r="AA43" s="252">
        <f>SUBTOTAL(9,AA44:AA47)</f>
        <v>0</v>
      </c>
      <c r="AB43" s="252">
        <f>SUBTOTAL(9,AB44:AB47)</f>
        <v>0</v>
      </c>
      <c r="AC43" s="257">
        <f t="shared" si="2"/>
        <v>0</v>
      </c>
    </row>
    <row r="44" spans="2:29" ht="15" customHeight="1" x14ac:dyDescent="0.25">
      <c r="B44" s="19">
        <f t="shared" ref="B44:B53" si="6">B43+1</f>
        <v>1</v>
      </c>
      <c r="C44" s="44" t="s">
        <v>85</v>
      </c>
      <c r="D44" s="45" t="str">
        <f>C44</f>
        <v>LBSR</v>
      </c>
      <c r="E44" s="76" t="s">
        <v>86</v>
      </c>
      <c r="G44" s="77">
        <f>'[16]Billing Qty 2022'!G44</f>
        <v>0</v>
      </c>
      <c r="H44" s="78">
        <f>'[16]Billing Qty 2022'!H44</f>
        <v>0</v>
      </c>
      <c r="I44" s="79"/>
      <c r="J44" s="79"/>
      <c r="K44" s="80"/>
      <c r="L44" s="79"/>
      <c r="M44" s="79"/>
      <c r="N44" s="79"/>
      <c r="O44" s="80"/>
      <c r="P44" s="79"/>
      <c r="Q44" s="79"/>
      <c r="R44" s="80"/>
      <c r="S44" s="81"/>
      <c r="T44" s="79"/>
      <c r="U44" s="82"/>
      <c r="V44" s="83"/>
      <c r="W44" s="303">
        <f t="shared" si="0"/>
        <v>0</v>
      </c>
      <c r="X44" s="304">
        <f t="shared" si="1"/>
        <v>0</v>
      </c>
      <c r="AA44" s="256">
        <f>SUM(H44:K44)</f>
        <v>0</v>
      </c>
      <c r="AB44" s="262">
        <f>SUM(L44:O44)</f>
        <v>0</v>
      </c>
      <c r="AC44" s="257">
        <f t="shared" si="2"/>
        <v>0</v>
      </c>
    </row>
    <row r="45" spans="2:29" ht="15" customHeight="1" x14ac:dyDescent="0.25">
      <c r="B45" s="19">
        <f t="shared" si="6"/>
        <v>2</v>
      </c>
      <c r="C45" s="44" t="s">
        <v>87</v>
      </c>
      <c r="D45" s="45" t="str">
        <f>C45</f>
        <v>LBSRCL</v>
      </c>
      <c r="E45" s="76" t="s">
        <v>88</v>
      </c>
      <c r="G45" s="77">
        <f>'[16]Billing Qty 2022'!G45</f>
        <v>0</v>
      </c>
      <c r="H45" s="78">
        <f>'[16]Billing Qty 2022'!H45</f>
        <v>0</v>
      </c>
      <c r="I45" s="79"/>
      <c r="J45" s="79"/>
      <c r="K45" s="80"/>
      <c r="L45" s="87">
        <f>'[16]Billing Qty 2022'!L45</f>
        <v>0</v>
      </c>
      <c r="M45" s="79"/>
      <c r="N45" s="79"/>
      <c r="O45" s="80"/>
      <c r="P45" s="79"/>
      <c r="Q45" s="79"/>
      <c r="R45" s="80"/>
      <c r="S45" s="81"/>
      <c r="T45" s="79"/>
      <c r="U45" s="82"/>
      <c r="V45" s="83"/>
      <c r="W45" s="303">
        <f t="shared" si="0"/>
        <v>0</v>
      </c>
      <c r="X45" s="304">
        <f t="shared" si="1"/>
        <v>0</v>
      </c>
      <c r="AA45" s="256">
        <f>SUM(H45:K45)</f>
        <v>0</v>
      </c>
      <c r="AB45" s="262">
        <f>SUM(L45:O45)</f>
        <v>0</v>
      </c>
      <c r="AC45" s="257">
        <f t="shared" si="2"/>
        <v>0</v>
      </c>
    </row>
    <row r="46" spans="2:29" ht="15" customHeight="1" x14ac:dyDescent="0.25">
      <c r="B46" s="19">
        <f t="shared" si="6"/>
        <v>3</v>
      </c>
      <c r="C46" s="44" t="s">
        <v>89</v>
      </c>
      <c r="D46" s="45" t="str">
        <f>C46</f>
        <v>LB2R</v>
      </c>
      <c r="E46" s="76" t="s">
        <v>90</v>
      </c>
      <c r="G46" s="77">
        <f>'[16]Billing Qty 2022'!G46</f>
        <v>0</v>
      </c>
      <c r="H46" s="81"/>
      <c r="I46" s="87">
        <f>'[16]Billing Qty 2022'!I46</f>
        <v>0</v>
      </c>
      <c r="J46" s="79"/>
      <c r="K46" s="88">
        <f>'[16]Billing Qty 2022'!K46</f>
        <v>0</v>
      </c>
      <c r="L46" s="79"/>
      <c r="M46" s="79"/>
      <c r="N46" s="79"/>
      <c r="O46" s="80"/>
      <c r="P46" s="79"/>
      <c r="Q46" s="79"/>
      <c r="R46" s="80"/>
      <c r="S46" s="81"/>
      <c r="T46" s="79"/>
      <c r="U46" s="82"/>
      <c r="V46" s="83"/>
      <c r="W46" s="303">
        <f t="shared" si="0"/>
        <v>0</v>
      </c>
      <c r="X46" s="304">
        <f t="shared" si="1"/>
        <v>0</v>
      </c>
      <c r="AA46" s="256">
        <f>SUM(H46:K46)</f>
        <v>0</v>
      </c>
      <c r="AB46" s="262">
        <f>SUM(L46:O46)</f>
        <v>0</v>
      </c>
      <c r="AC46" s="257">
        <f t="shared" si="2"/>
        <v>0</v>
      </c>
    </row>
    <row r="47" spans="2:29" ht="15" customHeight="1" x14ac:dyDescent="0.25">
      <c r="B47" s="19">
        <f t="shared" si="6"/>
        <v>4</v>
      </c>
      <c r="C47" s="44" t="s">
        <v>91</v>
      </c>
      <c r="D47" s="45" t="str">
        <f>C47</f>
        <v>LB2RCL</v>
      </c>
      <c r="E47" s="104" t="s">
        <v>92</v>
      </c>
      <c r="G47" s="77">
        <f>'[16]Billing Qty 2022'!G47</f>
        <v>0</v>
      </c>
      <c r="H47" s="81"/>
      <c r="I47" s="87">
        <f>'[16]Billing Qty 2022'!I47</f>
        <v>0</v>
      </c>
      <c r="J47" s="79"/>
      <c r="K47" s="88">
        <f>'[16]Billing Qty 2022'!K47</f>
        <v>0</v>
      </c>
      <c r="L47" s="87">
        <f>'[16]Billing Qty 2022'!L47</f>
        <v>0</v>
      </c>
      <c r="M47" s="79"/>
      <c r="N47" s="79"/>
      <c r="O47" s="80"/>
      <c r="P47" s="79"/>
      <c r="Q47" s="79"/>
      <c r="R47" s="80"/>
      <c r="S47" s="81"/>
      <c r="T47" s="79"/>
      <c r="U47" s="82"/>
      <c r="V47" s="83"/>
      <c r="W47" s="303">
        <f t="shared" si="0"/>
        <v>0</v>
      </c>
      <c r="X47" s="304">
        <f t="shared" si="1"/>
        <v>0</v>
      </c>
      <c r="AA47" s="256">
        <f>SUM(H47:K47)</f>
        <v>0</v>
      </c>
      <c r="AB47" s="262">
        <f>SUM(L47:O47)</f>
        <v>0</v>
      </c>
      <c r="AC47" s="257">
        <f t="shared" si="2"/>
        <v>0</v>
      </c>
    </row>
    <row r="48" spans="2:29" ht="15" customHeight="1" x14ac:dyDescent="0.25">
      <c r="B48" s="19"/>
      <c r="C48" s="36" t="s">
        <v>93</v>
      </c>
      <c r="D48" s="37"/>
      <c r="E48" s="85"/>
      <c r="G48" s="86"/>
      <c r="H48" s="81"/>
      <c r="I48" s="79"/>
      <c r="J48" s="79"/>
      <c r="K48" s="80"/>
      <c r="L48" s="79"/>
      <c r="M48" s="79"/>
      <c r="N48" s="79"/>
      <c r="O48" s="80"/>
      <c r="P48" s="79"/>
      <c r="Q48" s="79"/>
      <c r="R48" s="80"/>
      <c r="S48" s="81"/>
      <c r="T48" s="79"/>
      <c r="U48" s="81"/>
      <c r="V48" s="80"/>
      <c r="W48" s="303">
        <f t="shared" si="0"/>
        <v>0</v>
      </c>
      <c r="X48" s="304">
        <f t="shared" si="1"/>
        <v>0</v>
      </c>
      <c r="AA48" s="252">
        <f>SUBTOTAL(9,AA49:AA69)</f>
        <v>2608314</v>
      </c>
      <c r="AB48" s="252">
        <f>SUBTOTAL(9,AB49:AB69)</f>
        <v>0</v>
      </c>
      <c r="AC48" s="254">
        <f t="shared" si="2"/>
        <v>2608314</v>
      </c>
    </row>
    <row r="49" spans="2:29" ht="15" customHeight="1" x14ac:dyDescent="0.25">
      <c r="B49" s="19">
        <f>B47+1</f>
        <v>5</v>
      </c>
      <c r="C49" s="44" t="s">
        <v>579</v>
      </c>
      <c r="D49" s="45" t="s">
        <v>580</v>
      </c>
      <c r="E49" s="105" t="s">
        <v>94</v>
      </c>
      <c r="G49" s="77">
        <f>'[16]Billing Qty 2022'!G49</f>
        <v>1834125</v>
      </c>
      <c r="H49" s="81"/>
      <c r="I49" s="87">
        <f>'[16]Billing Qty 2022'!I49</f>
        <v>1289849</v>
      </c>
      <c r="J49" s="79"/>
      <c r="K49" s="88">
        <f>'[16]Billing Qty 2022'!K49</f>
        <v>1151747</v>
      </c>
      <c r="L49" s="79"/>
      <c r="M49" s="79"/>
      <c r="N49" s="79"/>
      <c r="O49" s="80"/>
      <c r="P49" s="79"/>
      <c r="Q49" s="79"/>
      <c r="R49" s="80"/>
      <c r="S49" s="78">
        <f>'[16]Billing Qty 2022'!S49</f>
        <v>227186585</v>
      </c>
      <c r="T49" s="87">
        <f>'[16]Billing Qty 2022'!T49</f>
        <v>311083660</v>
      </c>
      <c r="U49" s="82"/>
      <c r="V49" s="83"/>
      <c r="W49" s="303">
        <f t="shared" si="0"/>
        <v>5025</v>
      </c>
      <c r="X49" s="304">
        <f t="shared" si="1"/>
        <v>2441596</v>
      </c>
      <c r="AA49" s="256">
        <f t="shared" ref="AA49:AA69" si="7">SUM(H49:K49)</f>
        <v>2441596</v>
      </c>
      <c r="AB49" s="262">
        <f t="shared" ref="AB49:AB69" si="8">SUM(L49:O49)</f>
        <v>0</v>
      </c>
      <c r="AC49" s="257">
        <f t="shared" si="2"/>
        <v>2441596</v>
      </c>
    </row>
    <row r="50" spans="2:29" ht="15" customHeight="1" x14ac:dyDescent="0.25">
      <c r="B50" s="19">
        <f t="shared" si="6"/>
        <v>6</v>
      </c>
      <c r="C50" s="44" t="s">
        <v>577</v>
      </c>
      <c r="D50" s="45" t="s">
        <v>581</v>
      </c>
      <c r="E50" s="105" t="s">
        <v>95</v>
      </c>
      <c r="G50" s="77">
        <f>'[16]Billing Qty 2022'!G50</f>
        <v>101105</v>
      </c>
      <c r="H50" s="81"/>
      <c r="I50" s="87">
        <f>'[16]Billing Qty 2022'!I50</f>
        <v>72420</v>
      </c>
      <c r="J50" s="79"/>
      <c r="K50" s="88">
        <f>'[16]Billing Qty 2022'!K50</f>
        <v>52230</v>
      </c>
      <c r="L50" s="79"/>
      <c r="M50" s="79"/>
      <c r="N50" s="79"/>
      <c r="O50" s="80"/>
      <c r="P50" s="87">
        <f>'[16]Billing Qty 2022'!P50</f>
        <v>3434193</v>
      </c>
      <c r="Q50" s="79"/>
      <c r="R50" s="80"/>
      <c r="S50" s="81"/>
      <c r="T50" s="87">
        <f>'[16]Billing Qty 2022'!T50</f>
        <v>27420260</v>
      </c>
      <c r="U50" s="81"/>
      <c r="V50" s="80"/>
      <c r="W50" s="303">
        <f t="shared" si="0"/>
        <v>277</v>
      </c>
      <c r="X50" s="304">
        <f t="shared" si="1"/>
        <v>124650</v>
      </c>
      <c r="AA50" s="256">
        <f t="shared" si="7"/>
        <v>124650</v>
      </c>
      <c r="AB50" s="262">
        <f t="shared" si="8"/>
        <v>0</v>
      </c>
      <c r="AC50" s="257">
        <f t="shared" si="2"/>
        <v>124650</v>
      </c>
    </row>
    <row r="51" spans="2:29" ht="15" customHeight="1" x14ac:dyDescent="0.25">
      <c r="B51" s="19">
        <f t="shared" si="6"/>
        <v>7</v>
      </c>
      <c r="C51" s="833" t="s">
        <v>578</v>
      </c>
      <c r="D51" s="834" t="s">
        <v>582</v>
      </c>
      <c r="E51" s="835" t="s">
        <v>96</v>
      </c>
      <c r="G51" s="86"/>
      <c r="H51" s="81"/>
      <c r="I51" s="79"/>
      <c r="J51" s="79"/>
      <c r="K51" s="80"/>
      <c r="L51" s="79"/>
      <c r="M51" s="79"/>
      <c r="N51" s="79"/>
      <c r="O51" s="80"/>
      <c r="P51" s="79"/>
      <c r="Q51" s="79"/>
      <c r="R51" s="80"/>
      <c r="S51" s="81"/>
      <c r="T51" s="79"/>
      <c r="U51" s="81"/>
      <c r="V51" s="80"/>
      <c r="W51" s="303">
        <f t="shared" si="0"/>
        <v>0</v>
      </c>
      <c r="X51" s="304">
        <f t="shared" si="1"/>
        <v>0</v>
      </c>
      <c r="AA51" s="256">
        <f t="shared" si="7"/>
        <v>0</v>
      </c>
      <c r="AB51" s="262">
        <f t="shared" si="8"/>
        <v>0</v>
      </c>
      <c r="AC51" s="257">
        <f t="shared" si="2"/>
        <v>0</v>
      </c>
    </row>
    <row r="52" spans="2:29" ht="15" customHeight="1" x14ac:dyDescent="0.25">
      <c r="B52" s="19">
        <f t="shared" si="6"/>
        <v>8</v>
      </c>
      <c r="C52" s="44" t="s">
        <v>97</v>
      </c>
      <c r="D52" s="45" t="s">
        <v>97</v>
      </c>
      <c r="E52" s="105" t="s">
        <v>98</v>
      </c>
      <c r="G52" s="77">
        <f>'[16]Billing Qty 2022'!G52</f>
        <v>12410</v>
      </c>
      <c r="H52" s="78">
        <f>'[16]Billing Qty 2022'!H52</f>
        <v>10000</v>
      </c>
      <c r="I52" s="79">
        <f>'[16]Billing Qty 2022'!I52</f>
        <v>0</v>
      </c>
      <c r="J52" s="79"/>
      <c r="K52" s="80"/>
      <c r="L52" s="79"/>
      <c r="M52" s="79"/>
      <c r="N52" s="79"/>
      <c r="O52" s="80"/>
      <c r="P52" s="79"/>
      <c r="Q52" s="87">
        <f>'[16]Billing Qty 2022'!Q52</f>
        <v>757869</v>
      </c>
      <c r="R52" s="88">
        <f>'[16]Billing Qty 2022'!R52</f>
        <v>1631915</v>
      </c>
      <c r="S52" s="81"/>
      <c r="T52" s="79"/>
      <c r="U52" s="81"/>
      <c r="V52" s="80"/>
      <c r="W52" s="303">
        <f t="shared" si="0"/>
        <v>34</v>
      </c>
      <c r="X52" s="304">
        <f t="shared" si="1"/>
        <v>10000</v>
      </c>
      <c r="AA52" s="256">
        <f t="shared" si="7"/>
        <v>10000</v>
      </c>
      <c r="AB52" s="262">
        <f t="shared" si="8"/>
        <v>0</v>
      </c>
      <c r="AC52" s="257">
        <f t="shared" si="2"/>
        <v>10000</v>
      </c>
    </row>
    <row r="53" spans="2:29" ht="15" customHeight="1" x14ac:dyDescent="0.25">
      <c r="B53" s="19">
        <f t="shared" si="6"/>
        <v>9</v>
      </c>
      <c r="C53" s="44" t="s">
        <v>583</v>
      </c>
      <c r="D53" s="45" t="s">
        <v>584</v>
      </c>
      <c r="E53" s="105" t="s">
        <v>99</v>
      </c>
      <c r="G53" s="77">
        <f>'[16]Billing Qty 2022'!G53</f>
        <v>1460</v>
      </c>
      <c r="H53" s="81"/>
      <c r="I53" s="87">
        <f>'[16]Billing Qty 2022'!I53</f>
        <v>700</v>
      </c>
      <c r="J53" s="79"/>
      <c r="K53" s="88">
        <f>'[16]Billing Qty 2022'!K53</f>
        <v>600</v>
      </c>
      <c r="L53" s="79"/>
      <c r="M53" s="79"/>
      <c r="N53" s="79"/>
      <c r="O53" s="80"/>
      <c r="P53" s="79"/>
      <c r="Q53" s="79"/>
      <c r="R53" s="80"/>
      <c r="S53" s="78">
        <f>'[16]Billing Qty 2022'!S53</f>
        <v>0</v>
      </c>
      <c r="T53" s="88">
        <f>'[16]Billing Qty 2022'!T53</f>
        <v>163155</v>
      </c>
      <c r="U53" s="81"/>
      <c r="V53" s="80"/>
      <c r="W53" s="303">
        <f t="shared" si="0"/>
        <v>4</v>
      </c>
      <c r="X53" s="304">
        <f t="shared" si="1"/>
        <v>1300</v>
      </c>
      <c r="AA53" s="256">
        <f t="shared" si="7"/>
        <v>1300</v>
      </c>
      <c r="AB53" s="262">
        <f t="shared" si="8"/>
        <v>0</v>
      </c>
      <c r="AC53" s="257">
        <f t="shared" si="2"/>
        <v>1300</v>
      </c>
    </row>
    <row r="54" spans="2:29" ht="15" customHeight="1" x14ac:dyDescent="0.25">
      <c r="B54" s="19"/>
      <c r="C54" s="785"/>
      <c r="D54" s="772"/>
      <c r="E54" s="836" t="s">
        <v>100</v>
      </c>
      <c r="G54" s="86"/>
      <c r="H54" s="81"/>
      <c r="I54" s="79"/>
      <c r="J54" s="79"/>
      <c r="K54" s="80"/>
      <c r="L54" s="79"/>
      <c r="M54" s="79"/>
      <c r="N54" s="79"/>
      <c r="O54" s="80"/>
      <c r="P54" s="79"/>
      <c r="Q54" s="79"/>
      <c r="R54" s="80"/>
      <c r="S54" s="81"/>
      <c r="T54" s="79"/>
      <c r="U54" s="81"/>
      <c r="V54" s="80"/>
      <c r="W54" s="303">
        <f t="shared" ref="W54:W67" si="9">G54/$W$7</f>
        <v>0</v>
      </c>
      <c r="X54" s="304">
        <f t="shared" ref="X54:X67" si="10">SUM(H54:O54)</f>
        <v>0</v>
      </c>
      <c r="AA54" s="256">
        <f t="shared" si="7"/>
        <v>0</v>
      </c>
      <c r="AB54" s="262">
        <f t="shared" si="8"/>
        <v>0</v>
      </c>
      <c r="AC54" s="257">
        <f t="shared" si="2"/>
        <v>0</v>
      </c>
    </row>
    <row r="55" spans="2:29" ht="15" customHeight="1" x14ac:dyDescent="0.25">
      <c r="B55" s="19">
        <f>B53+1</f>
        <v>10</v>
      </c>
      <c r="C55" s="44" t="s">
        <v>705</v>
      </c>
      <c r="D55" s="45"/>
      <c r="E55" s="105" t="s">
        <v>94</v>
      </c>
      <c r="G55" s="77">
        <f>'[16]Billing Qty 2022'!G55</f>
        <v>365</v>
      </c>
      <c r="H55" s="81"/>
      <c r="I55" s="87">
        <f>'[16]Billing Qty 2022'!I55</f>
        <v>894</v>
      </c>
      <c r="J55" s="79"/>
      <c r="K55" s="88">
        <f>'[16]Billing Qty 2022'!K55</f>
        <v>1055</v>
      </c>
      <c r="L55" s="79"/>
      <c r="M55" s="79"/>
      <c r="N55" s="79"/>
      <c r="O55" s="80"/>
      <c r="P55" s="79"/>
      <c r="Q55" s="79"/>
      <c r="R55" s="80"/>
      <c r="S55" s="78">
        <f>'[16]Billing Qty 2022'!S55</f>
        <v>308790</v>
      </c>
      <c r="T55" s="87">
        <f>'[16]Billing Qty 2022'!T55</f>
        <v>327405</v>
      </c>
      <c r="U55" s="81"/>
      <c r="V55" s="80"/>
      <c r="W55" s="303">
        <f t="shared" si="9"/>
        <v>1</v>
      </c>
      <c r="X55" s="304">
        <f t="shared" si="10"/>
        <v>1949</v>
      </c>
      <c r="AA55" s="256"/>
      <c r="AB55" s="262"/>
      <c r="AC55" s="257"/>
    </row>
    <row r="56" spans="2:29" ht="15" customHeight="1" x14ac:dyDescent="0.25">
      <c r="B56" s="19">
        <f t="shared" ref="B56:B69" si="11">B55+1</f>
        <v>11</v>
      </c>
      <c r="C56" s="44" t="s">
        <v>567</v>
      </c>
      <c r="D56" s="834"/>
      <c r="E56" s="105" t="s">
        <v>94</v>
      </c>
      <c r="G56" s="77">
        <f>'[16]Billing Qty 2022'!G56</f>
        <v>365</v>
      </c>
      <c r="H56" s="81"/>
      <c r="I56" s="87">
        <f>'[16]Billing Qty 2022'!I56</f>
        <v>591</v>
      </c>
      <c r="J56" s="79"/>
      <c r="K56" s="88">
        <f>'[16]Billing Qty 2022'!K56</f>
        <v>1952</v>
      </c>
      <c r="L56" s="79"/>
      <c r="M56" s="79"/>
      <c r="N56" s="79"/>
      <c r="O56" s="80"/>
      <c r="P56" s="79"/>
      <c r="Q56" s="79"/>
      <c r="R56" s="80"/>
      <c r="S56" s="78">
        <f>'[16]Billing Qty 2022'!S56</f>
        <v>202575</v>
      </c>
      <c r="T56" s="87">
        <f>'[16]Billing Qty 2022'!T56</f>
        <v>325945</v>
      </c>
      <c r="U56" s="81"/>
      <c r="V56" s="80"/>
      <c r="W56" s="303">
        <f t="shared" si="9"/>
        <v>1</v>
      </c>
      <c r="X56" s="304">
        <f t="shared" si="10"/>
        <v>2543</v>
      </c>
      <c r="AA56" s="256">
        <f t="shared" si="7"/>
        <v>2543</v>
      </c>
      <c r="AB56" s="262">
        <f t="shared" si="8"/>
        <v>0</v>
      </c>
      <c r="AC56" s="257">
        <f t="shared" si="2"/>
        <v>2543</v>
      </c>
    </row>
    <row r="57" spans="2:29" ht="15" customHeight="1" x14ac:dyDescent="0.25">
      <c r="B57" s="19">
        <f t="shared" si="11"/>
        <v>12</v>
      </c>
      <c r="C57" s="833" t="s">
        <v>568</v>
      </c>
      <c r="D57" s="834"/>
      <c r="E57" s="835" t="s">
        <v>94</v>
      </c>
      <c r="G57" s="86"/>
      <c r="H57" s="81"/>
      <c r="I57" s="79"/>
      <c r="J57" s="79"/>
      <c r="K57" s="80"/>
      <c r="L57" s="79"/>
      <c r="M57" s="79"/>
      <c r="N57" s="79"/>
      <c r="O57" s="80"/>
      <c r="P57" s="79"/>
      <c r="Q57" s="79"/>
      <c r="R57" s="80"/>
      <c r="S57" s="81"/>
      <c r="T57" s="79"/>
      <c r="U57" s="81"/>
      <c r="V57" s="80"/>
      <c r="W57" s="303">
        <f t="shared" si="9"/>
        <v>0</v>
      </c>
      <c r="X57" s="304">
        <f t="shared" si="10"/>
        <v>0</v>
      </c>
      <c r="AA57" s="256">
        <f t="shared" si="7"/>
        <v>0</v>
      </c>
      <c r="AB57" s="262">
        <f t="shared" si="8"/>
        <v>0</v>
      </c>
      <c r="AC57" s="257">
        <f t="shared" si="2"/>
        <v>0</v>
      </c>
    </row>
    <row r="58" spans="2:29" ht="15" customHeight="1" x14ac:dyDescent="0.25">
      <c r="B58" s="19">
        <f t="shared" si="11"/>
        <v>13</v>
      </c>
      <c r="C58" s="44" t="s">
        <v>569</v>
      </c>
      <c r="D58" s="834"/>
      <c r="E58" s="105" t="s">
        <v>94</v>
      </c>
      <c r="G58" s="77">
        <f>'[16]Billing Qty 2022'!G58</f>
        <v>365</v>
      </c>
      <c r="H58" s="81"/>
      <c r="I58" s="87">
        <f>'[16]Billing Qty 2022'!I58</f>
        <v>983</v>
      </c>
      <c r="J58" s="79"/>
      <c r="K58" s="88">
        <f>'[16]Billing Qty 2022'!K58</f>
        <v>1150</v>
      </c>
      <c r="L58" s="79"/>
      <c r="M58" s="79"/>
      <c r="N58" s="79"/>
      <c r="O58" s="80"/>
      <c r="P58" s="79"/>
      <c r="Q58" s="79"/>
      <c r="R58" s="80"/>
      <c r="S58" s="78">
        <f>'[16]Billing Qty 2022'!S58</f>
        <v>292365</v>
      </c>
      <c r="T58" s="87">
        <f>'[16]Billing Qty 2022'!T58</f>
        <v>347480</v>
      </c>
      <c r="U58" s="81"/>
      <c r="V58" s="80"/>
      <c r="W58" s="303">
        <f t="shared" si="9"/>
        <v>1</v>
      </c>
      <c r="X58" s="304">
        <f t="shared" si="10"/>
        <v>2133</v>
      </c>
      <c r="AA58" s="256">
        <f t="shared" si="7"/>
        <v>2133</v>
      </c>
      <c r="AB58" s="262">
        <f t="shared" si="8"/>
        <v>0</v>
      </c>
      <c r="AC58" s="257">
        <f t="shared" si="2"/>
        <v>2133</v>
      </c>
    </row>
    <row r="59" spans="2:29" ht="15" customHeight="1" x14ac:dyDescent="0.25">
      <c r="B59" s="19">
        <f t="shared" si="11"/>
        <v>14</v>
      </c>
      <c r="C59" s="44" t="s">
        <v>570</v>
      </c>
      <c r="D59" s="834"/>
      <c r="E59" s="105" t="s">
        <v>94</v>
      </c>
      <c r="G59" s="77">
        <f>'[16]Billing Qty 2022'!G59</f>
        <v>365</v>
      </c>
      <c r="H59" s="81"/>
      <c r="I59" s="87">
        <f>'[16]Billing Qty 2022'!I59</f>
        <v>998</v>
      </c>
      <c r="J59" s="79"/>
      <c r="K59" s="88">
        <f>'[16]Billing Qty 2022'!K59</f>
        <v>2039</v>
      </c>
      <c r="L59" s="79"/>
      <c r="M59" s="79"/>
      <c r="N59" s="79"/>
      <c r="O59" s="80"/>
      <c r="P59" s="79"/>
      <c r="Q59" s="79"/>
      <c r="R59" s="80"/>
      <c r="S59" s="78">
        <f>'[16]Billing Qty 2022'!S59</f>
        <v>225935</v>
      </c>
      <c r="T59" s="87">
        <f>'[16]Billing Qty 2022'!T59</f>
        <v>291270</v>
      </c>
      <c r="U59" s="81"/>
      <c r="V59" s="80"/>
      <c r="W59" s="303">
        <f t="shared" si="9"/>
        <v>1</v>
      </c>
      <c r="X59" s="304">
        <f t="shared" si="10"/>
        <v>3037</v>
      </c>
      <c r="AA59" s="256">
        <f t="shared" si="7"/>
        <v>3037</v>
      </c>
      <c r="AB59" s="262">
        <f t="shared" si="8"/>
        <v>0</v>
      </c>
      <c r="AC59" s="257">
        <f t="shared" si="2"/>
        <v>3037</v>
      </c>
    </row>
    <row r="60" spans="2:29" ht="15" customHeight="1" x14ac:dyDescent="0.25">
      <c r="B60" s="19">
        <f t="shared" si="11"/>
        <v>15</v>
      </c>
      <c r="C60" s="44" t="s">
        <v>572</v>
      </c>
      <c r="D60" s="45"/>
      <c r="E60" s="105" t="s">
        <v>94</v>
      </c>
      <c r="G60" s="77">
        <f>'[16]Billing Qty 2022'!G60</f>
        <v>365</v>
      </c>
      <c r="H60" s="81"/>
      <c r="I60" s="87">
        <f>'[16]Billing Qty 2022'!I60</f>
        <v>3547</v>
      </c>
      <c r="J60" s="79"/>
      <c r="K60" s="88">
        <f>'[16]Billing Qty 2022'!K60</f>
        <v>3188</v>
      </c>
      <c r="L60" s="79"/>
      <c r="M60" s="79"/>
      <c r="N60" s="79"/>
      <c r="O60" s="80"/>
      <c r="P60" s="79"/>
      <c r="Q60" s="79"/>
      <c r="R60" s="80"/>
      <c r="S60" s="78">
        <f>'[16]Billing Qty 2022'!S60</f>
        <v>810665</v>
      </c>
      <c r="T60" s="87">
        <f>'[16]Billing Qty 2022'!T60</f>
        <v>874175</v>
      </c>
      <c r="U60" s="81"/>
      <c r="V60" s="80"/>
      <c r="W60" s="303">
        <f t="shared" si="9"/>
        <v>1</v>
      </c>
      <c r="X60" s="304">
        <f t="shared" si="10"/>
        <v>6735</v>
      </c>
      <c r="AA60" s="256">
        <f t="shared" si="7"/>
        <v>6735</v>
      </c>
      <c r="AB60" s="262">
        <f t="shared" si="8"/>
        <v>0</v>
      </c>
      <c r="AC60" s="257">
        <f t="shared" si="2"/>
        <v>6735</v>
      </c>
    </row>
    <row r="61" spans="2:29" ht="15" customHeight="1" x14ac:dyDescent="0.25">
      <c r="B61" s="19">
        <f t="shared" si="11"/>
        <v>16</v>
      </c>
      <c r="C61" s="44" t="s">
        <v>651</v>
      </c>
      <c r="D61" s="45"/>
      <c r="E61" s="105" t="s">
        <v>94</v>
      </c>
      <c r="G61" s="77">
        <f>'[16]Billing Qty 2022'!G61</f>
        <v>365</v>
      </c>
      <c r="H61" s="81"/>
      <c r="I61" s="87">
        <f>'[16]Billing Qty 2022'!I61</f>
        <v>375</v>
      </c>
      <c r="J61" s="79"/>
      <c r="K61" s="88">
        <f>'[16]Billing Qty 2022'!K61</f>
        <v>1089</v>
      </c>
      <c r="L61" s="79"/>
      <c r="M61" s="79"/>
      <c r="N61" s="79"/>
      <c r="O61" s="80"/>
      <c r="P61" s="79"/>
      <c r="Q61" s="79"/>
      <c r="R61" s="80"/>
      <c r="S61" s="78">
        <f>'[16]Billing Qty 2022'!S61</f>
        <v>452235</v>
      </c>
      <c r="T61" s="87">
        <f>'[16]Billing Qty 2022'!T61</f>
        <v>485450</v>
      </c>
      <c r="U61" s="81"/>
      <c r="V61" s="80"/>
      <c r="W61" s="303">
        <f t="shared" si="9"/>
        <v>1</v>
      </c>
      <c r="X61" s="304">
        <f t="shared" si="10"/>
        <v>1464</v>
      </c>
      <c r="AA61" s="256">
        <f>SUM(H61:K61)</f>
        <v>1464</v>
      </c>
      <c r="AB61" s="262">
        <f>SUM(L61:O61)</f>
        <v>0</v>
      </c>
      <c r="AC61" s="257">
        <f t="shared" si="2"/>
        <v>1464</v>
      </c>
    </row>
    <row r="62" spans="2:29" ht="15" customHeight="1" x14ac:dyDescent="0.25">
      <c r="B62" s="19">
        <f t="shared" si="11"/>
        <v>17</v>
      </c>
      <c r="C62" s="44" t="s">
        <v>707</v>
      </c>
      <c r="D62" s="45"/>
      <c r="E62" s="105" t="s">
        <v>94</v>
      </c>
      <c r="G62" s="77">
        <f>'[16]Billing Qty 2022'!G62</f>
        <v>365</v>
      </c>
      <c r="H62" s="81"/>
      <c r="I62" s="87">
        <f>'[16]Billing Qty 2022'!I62</f>
        <v>1176</v>
      </c>
      <c r="J62" s="79"/>
      <c r="K62" s="88">
        <f>'[16]Billing Qty 2022'!K62</f>
        <v>2059</v>
      </c>
      <c r="L62" s="79"/>
      <c r="M62" s="79"/>
      <c r="N62" s="79"/>
      <c r="O62" s="80"/>
      <c r="P62" s="79"/>
      <c r="Q62" s="79"/>
      <c r="R62" s="80"/>
      <c r="S62" s="78">
        <f>'[16]Billing Qty 2022'!S62</f>
        <v>308790</v>
      </c>
      <c r="T62" s="87">
        <f>'[16]Billing Qty 2022'!T62</f>
        <v>327405</v>
      </c>
      <c r="U62" s="81"/>
      <c r="V62" s="80"/>
      <c r="W62" s="303">
        <f t="shared" si="9"/>
        <v>1</v>
      </c>
      <c r="X62" s="304">
        <f t="shared" si="10"/>
        <v>3235</v>
      </c>
      <c r="AA62" s="256"/>
      <c r="AB62" s="262"/>
      <c r="AC62" s="257"/>
    </row>
    <row r="63" spans="2:29" ht="15" customHeight="1" x14ac:dyDescent="0.25">
      <c r="B63" s="19">
        <f t="shared" si="11"/>
        <v>18</v>
      </c>
      <c r="C63" s="44" t="s">
        <v>571</v>
      </c>
      <c r="D63" s="45"/>
      <c r="E63" s="105" t="s">
        <v>94</v>
      </c>
      <c r="G63" s="77">
        <f>'[16]Billing Qty 2022'!G63</f>
        <v>365</v>
      </c>
      <c r="H63" s="81"/>
      <c r="I63" s="87">
        <f>'[16]Billing Qty 2022'!I63</f>
        <v>430</v>
      </c>
      <c r="J63" s="79"/>
      <c r="K63" s="88">
        <f>'[16]Billing Qty 2022'!K63</f>
        <v>566</v>
      </c>
      <c r="L63" s="79"/>
      <c r="M63" s="79"/>
      <c r="N63" s="79"/>
      <c r="O63" s="80"/>
      <c r="P63" s="79"/>
      <c r="Q63" s="79"/>
      <c r="R63" s="80"/>
      <c r="S63" s="78">
        <f>'[16]Billing Qty 2022'!S63</f>
        <v>101470</v>
      </c>
      <c r="T63" s="87">
        <f>'[16]Billing Qty 2022'!T63</f>
        <v>114245</v>
      </c>
      <c r="U63" s="81"/>
      <c r="V63" s="80"/>
      <c r="W63" s="303">
        <f t="shared" si="9"/>
        <v>1</v>
      </c>
      <c r="X63" s="304">
        <f t="shared" si="10"/>
        <v>996</v>
      </c>
      <c r="AA63" s="256">
        <f t="shared" si="7"/>
        <v>996</v>
      </c>
      <c r="AB63" s="262">
        <f t="shared" si="8"/>
        <v>0</v>
      </c>
      <c r="AC63" s="257">
        <f t="shared" si="2"/>
        <v>996</v>
      </c>
    </row>
    <row r="64" spans="2:29" ht="15" customHeight="1" x14ac:dyDescent="0.25">
      <c r="B64" s="19">
        <f t="shared" si="11"/>
        <v>19</v>
      </c>
      <c r="C64" s="44" t="s">
        <v>573</v>
      </c>
      <c r="D64" s="45"/>
      <c r="E64" s="105" t="s">
        <v>94</v>
      </c>
      <c r="G64" s="77">
        <f>'[16]Billing Qty 2022'!G64</f>
        <v>365</v>
      </c>
      <c r="H64" s="81"/>
      <c r="I64" s="87">
        <f>'[16]Billing Qty 2022'!I64</f>
        <v>378</v>
      </c>
      <c r="J64" s="79"/>
      <c r="K64" s="88">
        <f>'[16]Billing Qty 2022'!K64</f>
        <v>601</v>
      </c>
      <c r="L64" s="79"/>
      <c r="M64" s="79"/>
      <c r="N64" s="79"/>
      <c r="O64" s="80"/>
      <c r="P64" s="79"/>
      <c r="Q64" s="79"/>
      <c r="R64" s="80"/>
      <c r="S64" s="78">
        <f>'[16]Billing Qty 2022'!S64</f>
        <v>109865</v>
      </c>
      <c r="T64" s="87">
        <f>'[16]Billing Qty 2022'!T64</f>
        <v>127385</v>
      </c>
      <c r="U64" s="81"/>
      <c r="V64" s="80"/>
      <c r="W64" s="303">
        <f t="shared" si="9"/>
        <v>1</v>
      </c>
      <c r="X64" s="304">
        <f t="shared" si="10"/>
        <v>979</v>
      </c>
      <c r="AA64" s="256">
        <f t="shared" si="7"/>
        <v>979</v>
      </c>
      <c r="AB64" s="262">
        <f t="shared" si="8"/>
        <v>0</v>
      </c>
      <c r="AC64" s="257">
        <f t="shared" si="2"/>
        <v>979</v>
      </c>
    </row>
    <row r="65" spans="2:29" ht="15" customHeight="1" x14ac:dyDescent="0.25">
      <c r="B65" s="19">
        <f t="shared" si="11"/>
        <v>20</v>
      </c>
      <c r="C65" s="833" t="s">
        <v>574</v>
      </c>
      <c r="D65" s="834"/>
      <c r="E65" s="835" t="s">
        <v>94</v>
      </c>
      <c r="G65" s="86"/>
      <c r="H65" s="81"/>
      <c r="I65" s="79"/>
      <c r="J65" s="79"/>
      <c r="K65" s="80"/>
      <c r="L65" s="79"/>
      <c r="M65" s="79"/>
      <c r="N65" s="79"/>
      <c r="O65" s="80"/>
      <c r="P65" s="79"/>
      <c r="Q65" s="79"/>
      <c r="R65" s="80"/>
      <c r="S65" s="81"/>
      <c r="T65" s="79"/>
      <c r="U65" s="81"/>
      <c r="V65" s="80"/>
      <c r="W65" s="303">
        <f t="shared" si="9"/>
        <v>0</v>
      </c>
      <c r="X65" s="304">
        <f t="shared" si="10"/>
        <v>0</v>
      </c>
      <c r="AA65" s="256">
        <f t="shared" si="7"/>
        <v>0</v>
      </c>
      <c r="AB65" s="262">
        <f t="shared" si="8"/>
        <v>0</v>
      </c>
      <c r="AC65" s="257">
        <f t="shared" si="2"/>
        <v>0</v>
      </c>
    </row>
    <row r="66" spans="2:29" ht="15" customHeight="1" x14ac:dyDescent="0.25">
      <c r="B66" s="19">
        <f t="shared" si="11"/>
        <v>21</v>
      </c>
      <c r="C66" s="44" t="s">
        <v>706</v>
      </c>
      <c r="D66" s="45"/>
      <c r="E66" s="105" t="s">
        <v>94</v>
      </c>
      <c r="G66" s="77">
        <f>'[16]Billing Qty 2022'!G66</f>
        <v>365</v>
      </c>
      <c r="H66" s="81"/>
      <c r="I66" s="87">
        <f>'[16]Billing Qty 2022'!I66</f>
        <v>6537</v>
      </c>
      <c r="J66" s="79"/>
      <c r="K66" s="88">
        <f>'[16]Billing Qty 2022'!K66</f>
        <v>6914</v>
      </c>
      <c r="L66" s="79"/>
      <c r="M66" s="79"/>
      <c r="N66" s="79"/>
      <c r="O66" s="80"/>
      <c r="P66" s="79"/>
      <c r="Q66" s="79"/>
      <c r="R66" s="80"/>
      <c r="S66" s="78">
        <f>'[16]Billing Qty 2022'!S66</f>
        <v>1054120</v>
      </c>
      <c r="T66" s="87">
        <f>'[16]Billing Qty 2022'!T66</f>
        <v>1228955</v>
      </c>
      <c r="U66" s="81"/>
      <c r="V66" s="80"/>
      <c r="W66" s="303">
        <f t="shared" si="9"/>
        <v>1</v>
      </c>
      <c r="X66" s="304">
        <f t="shared" si="10"/>
        <v>13451</v>
      </c>
      <c r="AA66" s="256"/>
      <c r="AB66" s="262"/>
      <c r="AC66" s="257"/>
    </row>
    <row r="67" spans="2:29" ht="15" customHeight="1" x14ac:dyDescent="0.25">
      <c r="B67" s="19">
        <f t="shared" si="11"/>
        <v>22</v>
      </c>
      <c r="C67" s="44" t="s">
        <v>575</v>
      </c>
      <c r="D67" s="45"/>
      <c r="E67" s="105" t="s">
        <v>94</v>
      </c>
      <c r="G67" s="77">
        <f>'[16]Billing Qty 2022'!G67</f>
        <v>365</v>
      </c>
      <c r="H67" s="81"/>
      <c r="I67" s="87">
        <f>'[16]Billing Qty 2022'!I67</f>
        <v>382</v>
      </c>
      <c r="J67" s="79"/>
      <c r="K67" s="88">
        <f>'[16]Billing Qty 2022'!K67</f>
        <v>484</v>
      </c>
      <c r="L67" s="79"/>
      <c r="M67" s="79"/>
      <c r="N67" s="79"/>
      <c r="O67" s="80"/>
      <c r="P67" s="79"/>
      <c r="Q67" s="79"/>
      <c r="R67" s="80"/>
      <c r="S67" s="78">
        <f>'[16]Billing Qty 2022'!S67</f>
        <v>55480</v>
      </c>
      <c r="T67" s="87">
        <f>'[16]Billing Qty 2022'!T67</f>
        <v>88695</v>
      </c>
      <c r="U67" s="81"/>
      <c r="V67" s="80"/>
      <c r="W67" s="303">
        <f t="shared" si="9"/>
        <v>1</v>
      </c>
      <c r="X67" s="304">
        <f t="shared" si="10"/>
        <v>866</v>
      </c>
      <c r="AA67" s="256">
        <f t="shared" si="7"/>
        <v>866</v>
      </c>
      <c r="AB67" s="262">
        <f t="shared" si="8"/>
        <v>0</v>
      </c>
      <c r="AC67" s="257">
        <f t="shared" si="2"/>
        <v>866</v>
      </c>
    </row>
    <row r="68" spans="2:29" ht="15" customHeight="1" x14ac:dyDescent="0.25">
      <c r="B68" s="19">
        <f t="shared" si="11"/>
        <v>23</v>
      </c>
      <c r="C68" s="44" t="s">
        <v>576</v>
      </c>
      <c r="D68" s="45"/>
      <c r="E68" s="105" t="s">
        <v>94</v>
      </c>
      <c r="G68" s="77">
        <f>'[16]Billing Qty 2022'!G68</f>
        <v>365</v>
      </c>
      <c r="H68" s="81"/>
      <c r="I68" s="87">
        <f>'[16]Billing Qty 2022'!I68</f>
        <v>3654</v>
      </c>
      <c r="J68" s="79"/>
      <c r="K68" s="88">
        <f>'[16]Billing Qty 2022'!K68</f>
        <v>5611</v>
      </c>
      <c r="L68" s="79"/>
      <c r="M68" s="79"/>
      <c r="N68" s="79"/>
      <c r="O68" s="80"/>
      <c r="P68" s="79"/>
      <c r="Q68" s="79"/>
      <c r="R68" s="80"/>
      <c r="S68" s="78">
        <f>'[16]Billing Qty 2022'!S68</f>
        <v>1109600</v>
      </c>
      <c r="T68" s="87">
        <f>'[16]Billing Qty 2022'!T68</f>
        <v>1332615</v>
      </c>
      <c r="U68" s="81"/>
      <c r="V68" s="80"/>
      <c r="W68" s="303">
        <f t="shared" si="0"/>
        <v>1</v>
      </c>
      <c r="X68" s="304">
        <f t="shared" si="1"/>
        <v>9265</v>
      </c>
      <c r="AA68" s="256">
        <f t="shared" si="7"/>
        <v>9265</v>
      </c>
      <c r="AB68" s="262">
        <f t="shared" si="8"/>
        <v>0</v>
      </c>
      <c r="AC68" s="257">
        <f t="shared" si="2"/>
        <v>9265</v>
      </c>
    </row>
    <row r="69" spans="2:29" ht="15" customHeight="1" x14ac:dyDescent="0.25">
      <c r="B69" s="26">
        <f t="shared" si="11"/>
        <v>24</v>
      </c>
      <c r="C69" s="841" t="s">
        <v>632</v>
      </c>
      <c r="D69" s="56"/>
      <c r="E69" s="109" t="s">
        <v>652</v>
      </c>
      <c r="G69" s="77">
        <f>'[16]Billing Qty 2022'!G69</f>
        <v>365</v>
      </c>
      <c r="H69" s="81"/>
      <c r="I69" s="87">
        <f>'[16]Billing Qty 2022'!I69</f>
        <v>1080</v>
      </c>
      <c r="J69" s="79"/>
      <c r="K69" s="88">
        <f>'[16]Billing Qty 2022'!K69</f>
        <v>1670</v>
      </c>
      <c r="L69" s="79"/>
      <c r="M69" s="79"/>
      <c r="N69" s="79"/>
      <c r="O69" s="80"/>
      <c r="P69" s="87">
        <f>'[16]Billing Qty 2022'!P69</f>
        <v>120951</v>
      </c>
      <c r="Q69" s="79"/>
      <c r="R69" s="80"/>
      <c r="S69" s="81"/>
      <c r="T69" s="87">
        <f>'[16]Billing Qty 2022'!T69</f>
        <v>519395</v>
      </c>
      <c r="U69" s="81"/>
      <c r="V69" s="80"/>
      <c r="W69" s="303">
        <f t="shared" si="0"/>
        <v>1</v>
      </c>
      <c r="X69" s="304">
        <f t="shared" si="1"/>
        <v>2750</v>
      </c>
      <c r="AA69" s="256">
        <f t="shared" si="7"/>
        <v>2750</v>
      </c>
      <c r="AB69" s="262">
        <f t="shared" si="8"/>
        <v>0</v>
      </c>
      <c r="AC69" s="257">
        <f t="shared" si="2"/>
        <v>2750</v>
      </c>
    </row>
    <row r="70" spans="2:29" ht="15" customHeight="1" x14ac:dyDescent="0.25">
      <c r="B70" s="30" t="s">
        <v>101</v>
      </c>
      <c r="C70" s="14" t="s">
        <v>102</v>
      </c>
      <c r="D70" s="14"/>
      <c r="E70" s="99"/>
      <c r="G70" s="100"/>
      <c r="H70" s="101"/>
      <c r="I70" s="102"/>
      <c r="J70" s="102"/>
      <c r="K70" s="103"/>
      <c r="L70" s="102"/>
      <c r="M70" s="102"/>
      <c r="N70" s="102"/>
      <c r="O70" s="103"/>
      <c r="P70" s="102"/>
      <c r="Q70" s="102"/>
      <c r="R70" s="103"/>
      <c r="S70" s="101"/>
      <c r="T70" s="102"/>
      <c r="U70" s="101"/>
      <c r="V70" s="103"/>
      <c r="W70" s="301">
        <f t="shared" si="0"/>
        <v>0</v>
      </c>
      <c r="X70" s="302">
        <f t="shared" si="1"/>
        <v>0</v>
      </c>
      <c r="AA70" s="253">
        <f>SUBTOTAL(9,AA71:AA93)</f>
        <v>714908</v>
      </c>
      <c r="AB70" s="253">
        <f>SUBTOTAL(9,AB71:AB93)</f>
        <v>0</v>
      </c>
      <c r="AC70" s="254">
        <f t="shared" si="2"/>
        <v>714908</v>
      </c>
    </row>
    <row r="71" spans="2:29" ht="15" customHeight="1" x14ac:dyDescent="0.25">
      <c r="B71" s="19"/>
      <c r="C71" s="36" t="s">
        <v>103</v>
      </c>
      <c r="D71" s="85"/>
      <c r="E71" s="85"/>
      <c r="G71" s="86"/>
      <c r="H71" s="81"/>
      <c r="I71" s="79"/>
      <c r="J71" s="79"/>
      <c r="K71" s="80"/>
      <c r="L71" s="79"/>
      <c r="M71" s="79"/>
      <c r="N71" s="79"/>
      <c r="O71" s="80"/>
      <c r="P71" s="79"/>
      <c r="Q71" s="79"/>
      <c r="R71" s="80"/>
      <c r="S71" s="81"/>
      <c r="T71" s="79"/>
      <c r="U71" s="81"/>
      <c r="V71" s="80"/>
      <c r="W71" s="303">
        <f t="shared" si="0"/>
        <v>0</v>
      </c>
      <c r="X71" s="304">
        <f t="shared" si="1"/>
        <v>0</v>
      </c>
      <c r="AA71" s="252">
        <f>SUBTOTAL(9,AA72:AA77)</f>
        <v>651846</v>
      </c>
      <c r="AB71" s="252">
        <f>SUBTOTAL(9,AB72:AB77)</f>
        <v>0</v>
      </c>
      <c r="AC71" s="254">
        <f t="shared" si="2"/>
        <v>651846</v>
      </c>
    </row>
    <row r="72" spans="2:29" ht="15" customHeight="1" x14ac:dyDescent="0.25">
      <c r="B72" s="19">
        <v>1</v>
      </c>
      <c r="C72" s="44" t="s">
        <v>585</v>
      </c>
      <c r="D72" s="45" t="s">
        <v>586</v>
      </c>
      <c r="E72" s="105" t="s">
        <v>104</v>
      </c>
      <c r="G72" s="77">
        <f>'[16]Billing Qty 2022'!G72</f>
        <v>54385</v>
      </c>
      <c r="H72" s="81"/>
      <c r="I72" s="87">
        <f>'[16]Billing Qty 2022'!I72</f>
        <v>302924</v>
      </c>
      <c r="J72" s="79"/>
      <c r="K72" s="88">
        <f>'[16]Billing Qty 2022'!K72</f>
        <v>284422</v>
      </c>
      <c r="L72" s="79"/>
      <c r="M72" s="79"/>
      <c r="N72" s="79"/>
      <c r="O72" s="80"/>
      <c r="P72" s="79"/>
      <c r="Q72" s="79"/>
      <c r="R72" s="80"/>
      <c r="S72" s="78">
        <f>'[16]Billing Qty 2022'!S72</f>
        <v>55047596.666666664</v>
      </c>
      <c r="T72" s="87">
        <f>'[16]Billing Qty 2022'!T72</f>
        <v>69993130</v>
      </c>
      <c r="U72" s="82"/>
      <c r="V72" s="83"/>
      <c r="W72" s="303">
        <f t="shared" si="0"/>
        <v>149</v>
      </c>
      <c r="X72" s="304">
        <f t="shared" si="1"/>
        <v>587346</v>
      </c>
      <c r="AA72" s="256">
        <f t="shared" ref="AA72:AA93" si="12">SUM(H72:K72)</f>
        <v>587346</v>
      </c>
      <c r="AB72" s="262">
        <f t="shared" ref="AB72:AB93" si="13">SUM(L72:O72)</f>
        <v>0</v>
      </c>
      <c r="AC72" s="257">
        <f t="shared" si="2"/>
        <v>587346</v>
      </c>
    </row>
    <row r="73" spans="2:29" ht="15" customHeight="1" x14ac:dyDescent="0.25">
      <c r="B73" s="19">
        <f>B72+1</f>
        <v>2</v>
      </c>
      <c r="C73" s="44" t="s">
        <v>587</v>
      </c>
      <c r="D73" s="45" t="s">
        <v>588</v>
      </c>
      <c r="E73" s="105" t="s">
        <v>105</v>
      </c>
      <c r="G73" s="77">
        <f>'[16]Billing Qty 2022'!G73</f>
        <v>5110</v>
      </c>
      <c r="H73" s="81"/>
      <c r="I73" s="87">
        <f>'[16]Billing Qty 2022'!I73</f>
        <v>25900</v>
      </c>
      <c r="J73" s="79"/>
      <c r="K73" s="88">
        <f>'[16]Billing Qty 2022'!K73</f>
        <v>25000</v>
      </c>
      <c r="L73" s="79"/>
      <c r="M73" s="79"/>
      <c r="N73" s="79"/>
      <c r="O73" s="80"/>
      <c r="P73" s="87">
        <f>'[16]Billing Qty 2022'!P73</f>
        <v>1488105</v>
      </c>
      <c r="Q73" s="79"/>
      <c r="R73" s="80"/>
      <c r="S73" s="81"/>
      <c r="T73" s="87">
        <f>'[16]Billing Qty 2022'!T73</f>
        <v>9556795</v>
      </c>
      <c r="U73" s="81"/>
      <c r="V73" s="80"/>
      <c r="W73" s="303">
        <f t="shared" si="0"/>
        <v>14</v>
      </c>
      <c r="X73" s="304">
        <f t="shared" si="1"/>
        <v>50900</v>
      </c>
      <c r="AA73" s="256">
        <f t="shared" si="12"/>
        <v>50900</v>
      </c>
      <c r="AB73" s="262">
        <f t="shared" si="13"/>
        <v>0</v>
      </c>
      <c r="AC73" s="257">
        <f t="shared" si="2"/>
        <v>50900</v>
      </c>
    </row>
    <row r="74" spans="2:29" ht="15" customHeight="1" x14ac:dyDescent="0.25">
      <c r="B74" s="19">
        <f>B73+1</f>
        <v>3</v>
      </c>
      <c r="C74" s="833" t="s">
        <v>589</v>
      </c>
      <c r="D74" s="834" t="s">
        <v>590</v>
      </c>
      <c r="E74" s="835" t="s">
        <v>106</v>
      </c>
      <c r="G74" s="86"/>
      <c r="H74" s="81"/>
      <c r="I74" s="79"/>
      <c r="J74" s="79"/>
      <c r="K74" s="80"/>
      <c r="L74" s="79"/>
      <c r="M74" s="79"/>
      <c r="N74" s="79"/>
      <c r="O74" s="80"/>
      <c r="P74" s="79"/>
      <c r="Q74" s="79"/>
      <c r="R74" s="80"/>
      <c r="S74" s="81"/>
      <c r="T74" s="79"/>
      <c r="U74" s="81"/>
      <c r="V74" s="80"/>
      <c r="W74" s="303">
        <f t="shared" si="0"/>
        <v>0</v>
      </c>
      <c r="X74" s="304">
        <f t="shared" si="1"/>
        <v>0</v>
      </c>
      <c r="AA74" s="256">
        <f t="shared" si="12"/>
        <v>0</v>
      </c>
      <c r="AB74" s="262">
        <f t="shared" si="13"/>
        <v>0</v>
      </c>
      <c r="AC74" s="257">
        <f t="shared" si="2"/>
        <v>0</v>
      </c>
    </row>
    <row r="75" spans="2:29" ht="15" customHeight="1" x14ac:dyDescent="0.25">
      <c r="B75" s="19">
        <f>B74+1</f>
        <v>4</v>
      </c>
      <c r="C75" s="44" t="s">
        <v>107</v>
      </c>
      <c r="D75" s="45" t="s">
        <v>107</v>
      </c>
      <c r="E75" s="105" t="s">
        <v>108</v>
      </c>
      <c r="G75" s="77">
        <f>'[16]Billing Qty 2022'!G75</f>
        <v>0</v>
      </c>
      <c r="H75" s="78">
        <f>'[16]Billing Qty 2022'!H75</f>
        <v>0</v>
      </c>
      <c r="I75" s="79"/>
      <c r="J75" s="79"/>
      <c r="K75" s="80"/>
      <c r="L75" s="79"/>
      <c r="M75" s="79"/>
      <c r="N75" s="79"/>
      <c r="O75" s="80"/>
      <c r="P75" s="79"/>
      <c r="Q75" s="87">
        <f>'[16]Billing Qty 2022'!Q75</f>
        <v>0</v>
      </c>
      <c r="R75" s="88">
        <f>'[16]Billing Qty 2022'!R75</f>
        <v>0</v>
      </c>
      <c r="S75" s="81"/>
      <c r="T75" s="79"/>
      <c r="U75" s="81"/>
      <c r="V75" s="80"/>
      <c r="W75" s="303">
        <f t="shared" si="0"/>
        <v>0</v>
      </c>
      <c r="X75" s="304">
        <f t="shared" si="1"/>
        <v>0</v>
      </c>
      <c r="AA75" s="256">
        <f t="shared" si="12"/>
        <v>0</v>
      </c>
      <c r="AB75" s="262">
        <f t="shared" si="13"/>
        <v>0</v>
      </c>
      <c r="AC75" s="257">
        <f t="shared" si="2"/>
        <v>0</v>
      </c>
    </row>
    <row r="76" spans="2:29" ht="15" customHeight="1" x14ac:dyDescent="0.25">
      <c r="B76" s="19">
        <f>B75+1</f>
        <v>5</v>
      </c>
      <c r="C76" s="845" t="s">
        <v>591</v>
      </c>
      <c r="D76" s="76" t="s">
        <v>592</v>
      </c>
      <c r="E76" s="104" t="s">
        <v>109</v>
      </c>
      <c r="G76" s="77">
        <f>'[16]Billing Qty 2022'!G76</f>
        <v>8760</v>
      </c>
      <c r="H76" s="81"/>
      <c r="I76" s="87">
        <f>'[16]Billing Qty 2022'!I76</f>
        <v>6100</v>
      </c>
      <c r="J76" s="79"/>
      <c r="K76" s="88">
        <f>'[16]Billing Qty 2022'!K76</f>
        <v>4800</v>
      </c>
      <c r="L76" s="79"/>
      <c r="M76" s="79"/>
      <c r="N76" s="79"/>
      <c r="O76" s="80"/>
      <c r="P76" s="79"/>
      <c r="Q76" s="79"/>
      <c r="R76" s="80"/>
      <c r="S76" s="78">
        <f>'[16]Billing Qty 2022'!S76</f>
        <v>799715</v>
      </c>
      <c r="T76" s="87">
        <f>'[16]Billing Qty 2022'!T76</f>
        <v>1893985</v>
      </c>
      <c r="U76" s="81"/>
      <c r="V76" s="80"/>
      <c r="W76" s="303">
        <f t="shared" si="0"/>
        <v>24</v>
      </c>
      <c r="X76" s="304">
        <f t="shared" si="1"/>
        <v>10900</v>
      </c>
      <c r="AA76" s="256">
        <f t="shared" si="12"/>
        <v>10900</v>
      </c>
      <c r="AB76" s="262">
        <f t="shared" si="13"/>
        <v>0</v>
      </c>
      <c r="AC76" s="257">
        <f t="shared" si="2"/>
        <v>10900</v>
      </c>
    </row>
    <row r="77" spans="2:29" ht="15" customHeight="1" x14ac:dyDescent="0.25">
      <c r="B77" s="19">
        <f>B76+1</f>
        <v>6</v>
      </c>
      <c r="C77" s="845" t="s">
        <v>593</v>
      </c>
      <c r="D77" s="76" t="s">
        <v>594</v>
      </c>
      <c r="E77" s="104" t="s">
        <v>110</v>
      </c>
      <c r="G77" s="77">
        <f>'[16]Billing Qty 2022'!G77</f>
        <v>3285</v>
      </c>
      <c r="H77" s="81"/>
      <c r="I77" s="87">
        <f>'[16]Billing Qty 2022'!I77</f>
        <v>1400</v>
      </c>
      <c r="J77" s="79"/>
      <c r="K77" s="88">
        <f>'[16]Billing Qty 2022'!K77</f>
        <v>1300</v>
      </c>
      <c r="L77" s="79"/>
      <c r="M77" s="79"/>
      <c r="N77" s="79"/>
      <c r="O77" s="80"/>
      <c r="P77" s="79"/>
      <c r="Q77" s="79"/>
      <c r="R77" s="80"/>
      <c r="S77" s="78">
        <f>'[16]Billing Qty 2022'!S77</f>
        <v>0</v>
      </c>
      <c r="T77" s="88">
        <f>'[16]Billing Qty 2022'!T77</f>
        <v>321200</v>
      </c>
      <c r="U77" s="81"/>
      <c r="V77" s="80"/>
      <c r="W77" s="303">
        <f t="shared" si="0"/>
        <v>9</v>
      </c>
      <c r="X77" s="304">
        <f t="shared" si="1"/>
        <v>2700</v>
      </c>
      <c r="AA77" s="256">
        <f t="shared" si="12"/>
        <v>2700</v>
      </c>
      <c r="AB77" s="262">
        <f t="shared" si="13"/>
        <v>0</v>
      </c>
      <c r="AC77" s="257">
        <f t="shared" si="2"/>
        <v>2700</v>
      </c>
    </row>
    <row r="78" spans="2:29" ht="15" customHeight="1" x14ac:dyDescent="0.25">
      <c r="B78" s="19"/>
      <c r="C78" s="846"/>
      <c r="D78" s="847"/>
      <c r="E78" s="848" t="s">
        <v>111</v>
      </c>
      <c r="G78" s="86"/>
      <c r="H78" s="81"/>
      <c r="I78" s="79"/>
      <c r="J78" s="79"/>
      <c r="K78" s="80"/>
      <c r="L78" s="79"/>
      <c r="M78" s="79"/>
      <c r="N78" s="79"/>
      <c r="O78" s="80"/>
      <c r="P78" s="79"/>
      <c r="Q78" s="79"/>
      <c r="R78" s="80"/>
      <c r="S78" s="81"/>
      <c r="T78" s="79"/>
      <c r="U78" s="81"/>
      <c r="V78" s="80"/>
      <c r="W78" s="303">
        <f t="shared" si="0"/>
        <v>0</v>
      </c>
      <c r="X78" s="304">
        <f t="shared" si="1"/>
        <v>0</v>
      </c>
      <c r="AA78" s="256">
        <f t="shared" si="12"/>
        <v>0</v>
      </c>
      <c r="AB78" s="262">
        <f t="shared" si="13"/>
        <v>0</v>
      </c>
      <c r="AC78" s="257">
        <f t="shared" si="2"/>
        <v>0</v>
      </c>
    </row>
    <row r="79" spans="2:29" ht="15" customHeight="1" x14ac:dyDescent="0.25">
      <c r="B79" s="19">
        <f>B77+1</f>
        <v>7</v>
      </c>
      <c r="C79" s="833" t="s">
        <v>553</v>
      </c>
      <c r="D79" s="45"/>
      <c r="E79" s="835" t="s">
        <v>104</v>
      </c>
      <c r="G79" s="86"/>
      <c r="H79" s="81"/>
      <c r="I79" s="79"/>
      <c r="J79" s="79"/>
      <c r="K79" s="80"/>
      <c r="L79" s="79"/>
      <c r="M79" s="79"/>
      <c r="N79" s="79"/>
      <c r="O79" s="80"/>
      <c r="P79" s="79"/>
      <c r="Q79" s="79"/>
      <c r="R79" s="80"/>
      <c r="S79" s="81"/>
      <c r="T79" s="79"/>
      <c r="U79" s="81"/>
      <c r="V79" s="80"/>
      <c r="W79" s="303">
        <f t="shared" si="0"/>
        <v>0</v>
      </c>
      <c r="X79" s="304">
        <f t="shared" si="1"/>
        <v>0</v>
      </c>
      <c r="AA79" s="256">
        <f t="shared" si="12"/>
        <v>0</v>
      </c>
      <c r="AB79" s="262">
        <f t="shared" si="13"/>
        <v>0</v>
      </c>
      <c r="AC79" s="257">
        <f t="shared" si="2"/>
        <v>0</v>
      </c>
    </row>
    <row r="80" spans="2:29" ht="15" customHeight="1" x14ac:dyDescent="0.25">
      <c r="B80" s="19">
        <f t="shared" ref="B80:B93" si="14">B79+1</f>
        <v>8</v>
      </c>
      <c r="C80" s="833" t="s">
        <v>554</v>
      </c>
      <c r="D80" s="45"/>
      <c r="E80" s="835" t="s">
        <v>104</v>
      </c>
      <c r="G80" s="86"/>
      <c r="H80" s="81"/>
      <c r="I80" s="79"/>
      <c r="J80" s="79"/>
      <c r="K80" s="80"/>
      <c r="L80" s="79"/>
      <c r="M80" s="79"/>
      <c r="N80" s="79"/>
      <c r="O80" s="80"/>
      <c r="P80" s="79"/>
      <c r="Q80" s="79"/>
      <c r="R80" s="80"/>
      <c r="S80" s="81"/>
      <c r="T80" s="79"/>
      <c r="U80" s="82"/>
      <c r="V80" s="83"/>
      <c r="W80" s="303">
        <f t="shared" ref="W80:W129" si="15">G80/$W$7</f>
        <v>0</v>
      </c>
      <c r="X80" s="304">
        <f t="shared" ref="X80:X129" si="16">SUM(H80:O80)</f>
        <v>0</v>
      </c>
      <c r="AA80" s="256">
        <f t="shared" si="12"/>
        <v>0</v>
      </c>
      <c r="AB80" s="262">
        <f t="shared" si="13"/>
        <v>0</v>
      </c>
      <c r="AC80" s="257">
        <f t="shared" si="2"/>
        <v>0</v>
      </c>
    </row>
    <row r="81" spans="2:29" ht="15" customHeight="1" x14ac:dyDescent="0.25">
      <c r="B81" s="19">
        <f t="shared" si="14"/>
        <v>9</v>
      </c>
      <c r="C81" s="44" t="s">
        <v>566</v>
      </c>
      <c r="D81" s="45"/>
      <c r="E81" s="105" t="s">
        <v>104</v>
      </c>
      <c r="G81" s="77">
        <f>'[16]Billing Qty 2022'!G81</f>
        <v>365</v>
      </c>
      <c r="H81" s="81"/>
      <c r="I81" s="87">
        <f>'[16]Billing Qty 2022'!I81</f>
        <v>6380</v>
      </c>
      <c r="J81" s="79"/>
      <c r="K81" s="88">
        <f>'[16]Billing Qty 2022'!K81</f>
        <v>13882</v>
      </c>
      <c r="L81" s="79"/>
      <c r="M81" s="79"/>
      <c r="N81" s="79"/>
      <c r="O81" s="80"/>
      <c r="P81" s="79"/>
      <c r="Q81" s="79"/>
      <c r="R81" s="80"/>
      <c r="S81" s="78">
        <f>'[16]Billing Qty 2022'!S81</f>
        <v>516353.33333333337</v>
      </c>
      <c r="T81" s="87">
        <f>'[16]Billing Qty 2022'!T81</f>
        <v>2083785</v>
      </c>
      <c r="U81" s="82"/>
      <c r="V81" s="83"/>
      <c r="W81" s="303">
        <f>G81/$W$7</f>
        <v>1</v>
      </c>
      <c r="X81" s="304">
        <f>SUM(H81:O81)</f>
        <v>20262</v>
      </c>
      <c r="AA81" s="256">
        <f>SUM(H81:K81)</f>
        <v>20262</v>
      </c>
      <c r="AB81" s="262">
        <f>SUM(L81:O81)</f>
        <v>0</v>
      </c>
      <c r="AC81" s="257">
        <f t="shared" si="2"/>
        <v>20262</v>
      </c>
    </row>
    <row r="82" spans="2:29" ht="15" customHeight="1" x14ac:dyDescent="0.25">
      <c r="B82" s="19">
        <f t="shared" si="14"/>
        <v>10</v>
      </c>
      <c r="C82" s="833" t="s">
        <v>555</v>
      </c>
      <c r="D82" s="45"/>
      <c r="E82" s="835" t="s">
        <v>104</v>
      </c>
      <c r="G82" s="86"/>
      <c r="H82" s="81"/>
      <c r="I82" s="79"/>
      <c r="J82" s="79"/>
      <c r="K82" s="80"/>
      <c r="L82" s="79"/>
      <c r="M82" s="79"/>
      <c r="N82" s="79"/>
      <c r="O82" s="80"/>
      <c r="P82" s="79"/>
      <c r="Q82" s="79"/>
      <c r="R82" s="80"/>
      <c r="S82" s="81"/>
      <c r="T82" s="79"/>
      <c r="U82" s="82"/>
      <c r="V82" s="83"/>
      <c r="W82" s="303">
        <f>G82/$W$7</f>
        <v>0</v>
      </c>
      <c r="X82" s="304">
        <f>SUM(H82:O82)</f>
        <v>0</v>
      </c>
      <c r="AA82" s="256">
        <f>SUM(H82:K82)</f>
        <v>0</v>
      </c>
      <c r="AB82" s="262">
        <f>SUM(L82:O82)</f>
        <v>0</v>
      </c>
      <c r="AC82" s="257">
        <f t="shared" si="2"/>
        <v>0</v>
      </c>
    </row>
    <row r="83" spans="2:29" ht="15" customHeight="1" x14ac:dyDescent="0.25">
      <c r="B83" s="19">
        <f t="shared" si="14"/>
        <v>11</v>
      </c>
      <c r="C83" s="833" t="s">
        <v>556</v>
      </c>
      <c r="D83" s="45"/>
      <c r="E83" s="835" t="s">
        <v>104</v>
      </c>
      <c r="G83" s="86"/>
      <c r="H83" s="81"/>
      <c r="I83" s="79"/>
      <c r="J83" s="79"/>
      <c r="K83" s="80"/>
      <c r="L83" s="79"/>
      <c r="M83" s="79"/>
      <c r="N83" s="79"/>
      <c r="O83" s="80"/>
      <c r="P83" s="79"/>
      <c r="Q83" s="79"/>
      <c r="R83" s="80"/>
      <c r="S83" s="81"/>
      <c r="T83" s="79"/>
      <c r="U83" s="82"/>
      <c r="V83" s="83"/>
      <c r="W83" s="303">
        <f t="shared" si="15"/>
        <v>0</v>
      </c>
      <c r="X83" s="304">
        <f t="shared" si="16"/>
        <v>0</v>
      </c>
      <c r="AA83" s="256">
        <f t="shared" si="12"/>
        <v>0</v>
      </c>
      <c r="AB83" s="262">
        <f t="shared" si="13"/>
        <v>0</v>
      </c>
      <c r="AC83" s="257">
        <f t="shared" ref="AC83:AC129" si="17">SUM(AA83:AB83)</f>
        <v>0</v>
      </c>
    </row>
    <row r="84" spans="2:29" ht="15" customHeight="1" x14ac:dyDescent="0.25">
      <c r="B84" s="19">
        <f t="shared" si="14"/>
        <v>12</v>
      </c>
      <c r="C84" s="833" t="s">
        <v>557</v>
      </c>
      <c r="D84" s="45"/>
      <c r="E84" s="835" t="s">
        <v>104</v>
      </c>
      <c r="G84" s="86"/>
      <c r="H84" s="81"/>
      <c r="I84" s="79"/>
      <c r="J84" s="79"/>
      <c r="K84" s="80"/>
      <c r="L84" s="79"/>
      <c r="M84" s="79"/>
      <c r="N84" s="79"/>
      <c r="O84" s="80"/>
      <c r="P84" s="79"/>
      <c r="Q84" s="79"/>
      <c r="R84" s="80"/>
      <c r="S84" s="81"/>
      <c r="T84" s="79"/>
      <c r="U84" s="82"/>
      <c r="V84" s="83"/>
      <c r="W84" s="303">
        <f t="shared" si="15"/>
        <v>0</v>
      </c>
      <c r="X84" s="304">
        <f t="shared" si="16"/>
        <v>0</v>
      </c>
      <c r="AA84" s="256">
        <f t="shared" si="12"/>
        <v>0</v>
      </c>
      <c r="AB84" s="262">
        <f t="shared" si="13"/>
        <v>0</v>
      </c>
      <c r="AC84" s="257">
        <f t="shared" si="17"/>
        <v>0</v>
      </c>
    </row>
    <row r="85" spans="2:29" ht="15" customHeight="1" x14ac:dyDescent="0.25">
      <c r="B85" s="19">
        <f t="shared" si="14"/>
        <v>13</v>
      </c>
      <c r="C85" s="44" t="s">
        <v>558</v>
      </c>
      <c r="D85" s="45"/>
      <c r="E85" s="105" t="s">
        <v>104</v>
      </c>
      <c r="G85" s="77">
        <f>'[16]Billing Qty 2022'!G85</f>
        <v>365</v>
      </c>
      <c r="H85" s="81"/>
      <c r="I85" s="87">
        <f>'[16]Billing Qty 2022'!I85</f>
        <v>11400</v>
      </c>
      <c r="J85" s="79"/>
      <c r="K85" s="88">
        <f>'[16]Billing Qty 2022'!K85</f>
        <v>11400</v>
      </c>
      <c r="L85" s="79"/>
      <c r="M85" s="79"/>
      <c r="N85" s="79"/>
      <c r="O85" s="80"/>
      <c r="P85" s="79"/>
      <c r="Q85" s="79"/>
      <c r="R85" s="80"/>
      <c r="S85" s="78">
        <f>'[16]Billing Qty 2022'!S85</f>
        <v>1572055</v>
      </c>
      <c r="T85" s="87">
        <f>'[16]Billing Qty 2022'!T85</f>
        <v>1667685</v>
      </c>
      <c r="U85" s="82"/>
      <c r="V85" s="83"/>
      <c r="W85" s="303">
        <f t="shared" si="15"/>
        <v>1</v>
      </c>
      <c r="X85" s="304">
        <f t="shared" si="16"/>
        <v>22800</v>
      </c>
      <c r="AA85" s="256">
        <f t="shared" si="12"/>
        <v>22800</v>
      </c>
      <c r="AB85" s="262">
        <f t="shared" si="13"/>
        <v>0</v>
      </c>
      <c r="AC85" s="257">
        <f t="shared" si="17"/>
        <v>22800</v>
      </c>
    </row>
    <row r="86" spans="2:29" ht="15" customHeight="1" x14ac:dyDescent="0.25">
      <c r="B86" s="19">
        <f t="shared" si="14"/>
        <v>14</v>
      </c>
      <c r="C86" s="44" t="s">
        <v>631</v>
      </c>
      <c r="D86" s="45"/>
      <c r="E86" s="105" t="s">
        <v>104</v>
      </c>
      <c r="G86" s="77">
        <f>'[16]Billing Qty 2022'!G86</f>
        <v>365</v>
      </c>
      <c r="H86" s="81"/>
      <c r="I86" s="87">
        <f>'[16]Billing Qty 2022'!I86</f>
        <v>10400</v>
      </c>
      <c r="J86" s="79"/>
      <c r="K86" s="88">
        <f>'[16]Billing Qty 2022'!K86</f>
        <v>9600</v>
      </c>
      <c r="L86" s="79"/>
      <c r="M86" s="79"/>
      <c r="N86" s="79"/>
      <c r="O86" s="80"/>
      <c r="P86" s="79"/>
      <c r="Q86" s="79"/>
      <c r="R86" s="80"/>
      <c r="S86" s="78">
        <f>'[16]Billing Qty 2022'!S86</f>
        <v>1488105</v>
      </c>
      <c r="T86" s="87">
        <f>'[16]Billing Qty 2022'!T86</f>
        <v>1766235</v>
      </c>
      <c r="U86" s="82"/>
      <c r="V86" s="83"/>
      <c r="W86" s="303">
        <f>G86/$W$7</f>
        <v>1</v>
      </c>
      <c r="X86" s="304">
        <f>SUM(H86:O86)</f>
        <v>20000</v>
      </c>
      <c r="AA86" s="256">
        <f>SUM(H86:K86)</f>
        <v>20000</v>
      </c>
      <c r="AB86" s="262">
        <f>SUM(L86:O86)</f>
        <v>0</v>
      </c>
      <c r="AC86" s="257">
        <f t="shared" si="17"/>
        <v>20000</v>
      </c>
    </row>
    <row r="87" spans="2:29" ht="15" customHeight="1" x14ac:dyDescent="0.25">
      <c r="B87" s="19">
        <f t="shared" si="14"/>
        <v>15</v>
      </c>
      <c r="C87" s="833" t="s">
        <v>559</v>
      </c>
      <c r="D87" s="45"/>
      <c r="E87" s="835" t="s">
        <v>104</v>
      </c>
      <c r="G87" s="86"/>
      <c r="H87" s="81"/>
      <c r="I87" s="79"/>
      <c r="J87" s="79"/>
      <c r="K87" s="80"/>
      <c r="L87" s="79"/>
      <c r="M87" s="79"/>
      <c r="N87" s="79"/>
      <c r="O87" s="80"/>
      <c r="P87" s="79"/>
      <c r="Q87" s="79"/>
      <c r="R87" s="80"/>
      <c r="S87" s="81"/>
      <c r="T87" s="79"/>
      <c r="U87" s="82"/>
      <c r="V87" s="83"/>
      <c r="W87" s="303">
        <f>G87/$W$7</f>
        <v>0</v>
      </c>
      <c r="X87" s="304">
        <f>SUM(H87:O87)</f>
        <v>0</v>
      </c>
      <c r="AA87" s="256">
        <f>SUM(H87:K87)</f>
        <v>0</v>
      </c>
      <c r="AB87" s="262">
        <f>SUM(L87:O87)</f>
        <v>0</v>
      </c>
      <c r="AC87" s="257">
        <f t="shared" si="17"/>
        <v>0</v>
      </c>
    </row>
    <row r="88" spans="2:29" ht="15" customHeight="1" x14ac:dyDescent="0.25">
      <c r="B88" s="19">
        <f t="shared" si="14"/>
        <v>16</v>
      </c>
      <c r="C88" s="785"/>
      <c r="D88" s="772"/>
      <c r="E88" s="836"/>
      <c r="G88" s="86"/>
      <c r="H88" s="81"/>
      <c r="I88" s="79"/>
      <c r="J88" s="79"/>
      <c r="K88" s="80"/>
      <c r="L88" s="79"/>
      <c r="M88" s="79"/>
      <c r="N88" s="79"/>
      <c r="O88" s="80"/>
      <c r="P88" s="79"/>
      <c r="Q88" s="79"/>
      <c r="R88" s="80"/>
      <c r="S88" s="81"/>
      <c r="T88" s="79"/>
      <c r="U88" s="81"/>
      <c r="V88" s="80"/>
      <c r="W88" s="303">
        <f>G88/$W$7</f>
        <v>0</v>
      </c>
      <c r="X88" s="304">
        <f>SUM(H88:O88)</f>
        <v>0</v>
      </c>
      <c r="AA88" s="256">
        <f>SUM(H88:K88)</f>
        <v>0</v>
      </c>
      <c r="AB88" s="262">
        <f>SUM(L88:O88)</f>
        <v>0</v>
      </c>
      <c r="AC88" s="257">
        <f t="shared" si="17"/>
        <v>0</v>
      </c>
    </row>
    <row r="89" spans="2:29" ht="15" customHeight="1" x14ac:dyDescent="0.25">
      <c r="B89" s="19">
        <f t="shared" si="14"/>
        <v>17</v>
      </c>
      <c r="C89" s="785"/>
      <c r="D89" s="772"/>
      <c r="E89" s="836"/>
      <c r="G89" s="86"/>
      <c r="H89" s="81"/>
      <c r="I89" s="79"/>
      <c r="J89" s="79"/>
      <c r="K89" s="80"/>
      <c r="L89" s="79"/>
      <c r="M89" s="79"/>
      <c r="N89" s="79"/>
      <c r="O89" s="80"/>
      <c r="P89" s="79"/>
      <c r="Q89" s="79"/>
      <c r="R89" s="80"/>
      <c r="S89" s="81"/>
      <c r="T89" s="79"/>
      <c r="U89" s="81"/>
      <c r="V89" s="80"/>
      <c r="W89" s="303">
        <f t="shared" si="15"/>
        <v>0</v>
      </c>
      <c r="X89" s="304">
        <f t="shared" si="16"/>
        <v>0</v>
      </c>
      <c r="AA89" s="256">
        <f t="shared" si="12"/>
        <v>0</v>
      </c>
      <c r="AB89" s="262">
        <f t="shared" si="13"/>
        <v>0</v>
      </c>
      <c r="AC89" s="257">
        <f t="shared" si="17"/>
        <v>0</v>
      </c>
    </row>
    <row r="90" spans="2:29" ht="15" customHeight="1" x14ac:dyDescent="0.25">
      <c r="B90" s="19">
        <f t="shared" si="14"/>
        <v>18</v>
      </c>
      <c r="C90" s="785"/>
      <c r="D90" s="772"/>
      <c r="E90" s="836"/>
      <c r="G90" s="86"/>
      <c r="H90" s="81"/>
      <c r="I90" s="79"/>
      <c r="J90" s="79"/>
      <c r="K90" s="80"/>
      <c r="L90" s="79"/>
      <c r="M90" s="79"/>
      <c r="N90" s="79"/>
      <c r="O90" s="80"/>
      <c r="P90" s="79"/>
      <c r="Q90" s="79"/>
      <c r="R90" s="80"/>
      <c r="S90" s="81"/>
      <c r="T90" s="79"/>
      <c r="U90" s="81"/>
      <c r="V90" s="80"/>
      <c r="W90" s="303">
        <f t="shared" si="15"/>
        <v>0</v>
      </c>
      <c r="X90" s="304">
        <f t="shared" si="16"/>
        <v>0</v>
      </c>
      <c r="AA90" s="256">
        <f t="shared" si="12"/>
        <v>0</v>
      </c>
      <c r="AB90" s="262">
        <f t="shared" si="13"/>
        <v>0</v>
      </c>
      <c r="AC90" s="257">
        <f t="shared" si="17"/>
        <v>0</v>
      </c>
    </row>
    <row r="91" spans="2:29" ht="15" customHeight="1" x14ac:dyDescent="0.25">
      <c r="B91" s="19">
        <f t="shared" si="14"/>
        <v>19</v>
      </c>
      <c r="C91" s="785"/>
      <c r="D91" s="772"/>
      <c r="E91" s="836"/>
      <c r="G91" s="86"/>
      <c r="H91" s="81"/>
      <c r="I91" s="79"/>
      <c r="J91" s="79"/>
      <c r="K91" s="80"/>
      <c r="L91" s="79"/>
      <c r="M91" s="79"/>
      <c r="N91" s="79"/>
      <c r="O91" s="80"/>
      <c r="P91" s="79"/>
      <c r="Q91" s="79"/>
      <c r="R91" s="80"/>
      <c r="S91" s="81"/>
      <c r="T91" s="79"/>
      <c r="U91" s="81"/>
      <c r="V91" s="80"/>
      <c r="W91" s="303">
        <f t="shared" si="15"/>
        <v>0</v>
      </c>
      <c r="X91" s="304">
        <f t="shared" si="16"/>
        <v>0</v>
      </c>
      <c r="AA91" s="256">
        <f t="shared" si="12"/>
        <v>0</v>
      </c>
      <c r="AB91" s="262">
        <f t="shared" si="13"/>
        <v>0</v>
      </c>
      <c r="AC91" s="257">
        <f t="shared" si="17"/>
        <v>0</v>
      </c>
    </row>
    <row r="92" spans="2:29" ht="15" customHeight="1" x14ac:dyDescent="0.25">
      <c r="B92" s="19">
        <f t="shared" si="14"/>
        <v>20</v>
      </c>
      <c r="C92" s="785"/>
      <c r="D92" s="772"/>
      <c r="E92" s="836"/>
      <c r="G92" s="86"/>
      <c r="H92" s="81"/>
      <c r="I92" s="79"/>
      <c r="J92" s="79"/>
      <c r="K92" s="80"/>
      <c r="L92" s="79"/>
      <c r="M92" s="79"/>
      <c r="N92" s="79"/>
      <c r="O92" s="80"/>
      <c r="P92" s="79"/>
      <c r="Q92" s="79"/>
      <c r="R92" s="80"/>
      <c r="S92" s="81"/>
      <c r="T92" s="79"/>
      <c r="U92" s="81"/>
      <c r="V92" s="80"/>
      <c r="W92" s="303">
        <f t="shared" si="15"/>
        <v>0</v>
      </c>
      <c r="X92" s="304">
        <f t="shared" si="16"/>
        <v>0</v>
      </c>
      <c r="AA92" s="256">
        <f t="shared" si="12"/>
        <v>0</v>
      </c>
      <c r="AB92" s="262">
        <f t="shared" si="13"/>
        <v>0</v>
      </c>
      <c r="AC92" s="257">
        <f t="shared" si="17"/>
        <v>0</v>
      </c>
    </row>
    <row r="93" spans="2:29" ht="15" customHeight="1" x14ac:dyDescent="0.25">
      <c r="B93" s="26">
        <f t="shared" si="14"/>
        <v>21</v>
      </c>
      <c r="C93" s="837"/>
      <c r="D93" s="778"/>
      <c r="E93" s="838"/>
      <c r="G93" s="106"/>
      <c r="H93" s="96"/>
      <c r="I93" s="92"/>
      <c r="J93" s="92"/>
      <c r="K93" s="93"/>
      <c r="L93" s="92"/>
      <c r="M93" s="92"/>
      <c r="N93" s="92"/>
      <c r="O93" s="93"/>
      <c r="P93" s="92"/>
      <c r="Q93" s="92"/>
      <c r="R93" s="93"/>
      <c r="S93" s="96"/>
      <c r="T93" s="92"/>
      <c r="U93" s="96"/>
      <c r="V93" s="93"/>
      <c r="W93" s="305">
        <f t="shared" si="15"/>
        <v>0</v>
      </c>
      <c r="X93" s="306">
        <f t="shared" si="16"/>
        <v>0</v>
      </c>
      <c r="AA93" s="256">
        <f t="shared" si="12"/>
        <v>0</v>
      </c>
      <c r="AB93" s="262">
        <f t="shared" si="13"/>
        <v>0</v>
      </c>
      <c r="AC93" s="257">
        <f t="shared" si="17"/>
        <v>0</v>
      </c>
    </row>
    <row r="94" spans="2:29" ht="15" customHeight="1" x14ac:dyDescent="0.25">
      <c r="B94" s="35" t="s">
        <v>112</v>
      </c>
      <c r="C94" s="36" t="s">
        <v>113</v>
      </c>
      <c r="D94" s="36"/>
      <c r="E94" s="107"/>
      <c r="G94" s="86"/>
      <c r="H94" s="81"/>
      <c r="I94" s="79"/>
      <c r="J94" s="79"/>
      <c r="K94" s="80"/>
      <c r="L94" s="79"/>
      <c r="M94" s="79"/>
      <c r="N94" s="79"/>
      <c r="O94" s="80"/>
      <c r="P94" s="79"/>
      <c r="Q94" s="79"/>
      <c r="R94" s="80"/>
      <c r="S94" s="81"/>
      <c r="T94" s="79"/>
      <c r="U94" s="81"/>
      <c r="V94" s="80"/>
      <c r="W94" s="303">
        <f t="shared" si="15"/>
        <v>0</v>
      </c>
      <c r="X94" s="304">
        <f t="shared" si="16"/>
        <v>0</v>
      </c>
      <c r="AA94" s="253">
        <f>SUBTOTAL(9,AA95:AA129)</f>
        <v>1181592</v>
      </c>
      <c r="AB94" s="253">
        <f>SUBTOTAL(9,AB95:AB129)</f>
        <v>0</v>
      </c>
      <c r="AC94" s="254">
        <f t="shared" si="17"/>
        <v>1181592</v>
      </c>
    </row>
    <row r="95" spans="2:29" ht="15" customHeight="1" x14ac:dyDescent="0.25">
      <c r="B95" s="19"/>
      <c r="C95" s="36" t="s">
        <v>114</v>
      </c>
      <c r="D95" s="85"/>
      <c r="E95" s="85"/>
      <c r="G95" s="86"/>
      <c r="H95" s="81"/>
      <c r="I95" s="79"/>
      <c r="J95" s="79"/>
      <c r="K95" s="80"/>
      <c r="L95" s="79"/>
      <c r="M95" s="79"/>
      <c r="N95" s="79"/>
      <c r="O95" s="80"/>
      <c r="P95" s="79"/>
      <c r="Q95" s="79"/>
      <c r="R95" s="80"/>
      <c r="S95" s="81"/>
      <c r="T95" s="79"/>
      <c r="U95" s="81"/>
      <c r="V95" s="80"/>
      <c r="W95" s="303">
        <f t="shared" si="15"/>
        <v>0</v>
      </c>
      <c r="X95" s="304">
        <f t="shared" si="16"/>
        <v>0</v>
      </c>
      <c r="AA95" s="252">
        <f>SUBTOTAL(9,AA96:AA103)</f>
        <v>117442</v>
      </c>
      <c r="AB95" s="252">
        <f>SUBTOTAL(9,AB96:AB103)</f>
        <v>0</v>
      </c>
      <c r="AC95" s="254">
        <f t="shared" si="17"/>
        <v>117442</v>
      </c>
    </row>
    <row r="96" spans="2:29" ht="15" customHeight="1" x14ac:dyDescent="0.25">
      <c r="B96" s="19">
        <v>1</v>
      </c>
      <c r="C96" s="44" t="s">
        <v>115</v>
      </c>
      <c r="D96" s="45"/>
      <c r="E96" s="105" t="s">
        <v>116</v>
      </c>
      <c r="G96" s="77">
        <f>'[16]Billing Qty 2022'!G96</f>
        <v>0</v>
      </c>
      <c r="H96" s="78">
        <f>'[16]Billing Qty 2022'!H96</f>
        <v>0</v>
      </c>
      <c r="I96" s="79"/>
      <c r="J96" s="79"/>
      <c r="K96" s="80"/>
      <c r="L96" s="79"/>
      <c r="M96" s="79"/>
      <c r="N96" s="79"/>
      <c r="O96" s="80"/>
      <c r="P96" s="79"/>
      <c r="Q96" s="79"/>
      <c r="R96" s="80"/>
      <c r="S96" s="78">
        <f>'[16]Billing Qty 2022'!S96</f>
        <v>0</v>
      </c>
      <c r="T96" s="87">
        <f>'[16]Billing Qty 2022'!T96</f>
        <v>0</v>
      </c>
      <c r="U96" s="82"/>
      <c r="V96" s="83"/>
      <c r="W96" s="303">
        <f t="shared" si="15"/>
        <v>0</v>
      </c>
      <c r="X96" s="304">
        <f t="shared" si="16"/>
        <v>0</v>
      </c>
      <c r="AA96" s="256">
        <f t="shared" ref="AA96:AA103" si="18">SUM(H96:K96)</f>
        <v>0</v>
      </c>
      <c r="AB96" s="262">
        <f t="shared" ref="AB96:AB103" si="19">SUM(L96:O96)</f>
        <v>0</v>
      </c>
      <c r="AC96" s="257">
        <f t="shared" si="17"/>
        <v>0</v>
      </c>
    </row>
    <row r="97" spans="2:29" ht="15" customHeight="1" x14ac:dyDescent="0.25">
      <c r="B97" s="19">
        <f>1+B96</f>
        <v>2</v>
      </c>
      <c r="C97" s="44" t="s">
        <v>117</v>
      </c>
      <c r="D97" s="45"/>
      <c r="E97" s="105" t="s">
        <v>118</v>
      </c>
      <c r="G97" s="77">
        <f>'[16]Billing Qty 2022'!G97</f>
        <v>365</v>
      </c>
      <c r="H97" s="78">
        <f>'[16]Billing Qty 2022'!H97</f>
        <v>17740</v>
      </c>
      <c r="I97" s="79"/>
      <c r="J97" s="79"/>
      <c r="K97" s="80"/>
      <c r="L97" s="79"/>
      <c r="M97" s="79"/>
      <c r="N97" s="79"/>
      <c r="O97" s="80"/>
      <c r="P97" s="79"/>
      <c r="Q97" s="79"/>
      <c r="R97" s="80"/>
      <c r="S97" s="78">
        <f>'[16]Billing Qty 2022'!S97</f>
        <v>1421310</v>
      </c>
      <c r="T97" s="87">
        <f>'[16]Billing Qty 2022'!T97</f>
        <v>1825000</v>
      </c>
      <c r="U97" s="82"/>
      <c r="V97" s="83"/>
      <c r="W97" s="303">
        <f t="shared" si="15"/>
        <v>1</v>
      </c>
      <c r="X97" s="304">
        <f t="shared" si="16"/>
        <v>17740</v>
      </c>
      <c r="AA97" s="256">
        <f t="shared" si="18"/>
        <v>17740</v>
      </c>
      <c r="AB97" s="262">
        <f t="shared" si="19"/>
        <v>0</v>
      </c>
      <c r="AC97" s="257">
        <f t="shared" si="17"/>
        <v>17740</v>
      </c>
    </row>
    <row r="98" spans="2:29" ht="15" customHeight="1" x14ac:dyDescent="0.25">
      <c r="B98" s="19">
        <f t="shared" ref="B98:B129" si="20">B97+1</f>
        <v>3</v>
      </c>
      <c r="C98" s="44" t="s">
        <v>122</v>
      </c>
      <c r="D98" s="45"/>
      <c r="E98" s="105" t="s">
        <v>118</v>
      </c>
      <c r="G98" s="77">
        <f>'[16]Billing Qty 2022'!G98</f>
        <v>365</v>
      </c>
      <c r="H98" s="78">
        <f>'[16]Billing Qty 2022'!H98</f>
        <v>24440</v>
      </c>
      <c r="I98" s="79"/>
      <c r="J98" s="79"/>
      <c r="K98" s="80"/>
      <c r="L98" s="79"/>
      <c r="M98" s="79"/>
      <c r="N98" s="79"/>
      <c r="O98" s="80"/>
      <c r="P98" s="79"/>
      <c r="Q98" s="79"/>
      <c r="R98" s="80"/>
      <c r="S98" s="78">
        <f>'[16]Billing Qty 2022'!S98</f>
        <v>1469855</v>
      </c>
      <c r="T98" s="87">
        <f>'[16]Billing Qty 2022'!T98</f>
        <v>1825000</v>
      </c>
      <c r="U98" s="82"/>
      <c r="V98" s="83"/>
      <c r="W98" s="303">
        <f>G98/$W$7</f>
        <v>1</v>
      </c>
      <c r="X98" s="304">
        <f>SUM(H98:O98)</f>
        <v>24440</v>
      </c>
      <c r="AA98" s="256">
        <f>SUM(H98:K98)</f>
        <v>24440</v>
      </c>
      <c r="AB98" s="262">
        <f>SUM(L98:O98)</f>
        <v>0</v>
      </c>
      <c r="AC98" s="257">
        <f t="shared" si="17"/>
        <v>24440</v>
      </c>
    </row>
    <row r="99" spans="2:29" ht="15" customHeight="1" x14ac:dyDescent="0.25">
      <c r="B99" s="19">
        <f t="shared" si="20"/>
        <v>4</v>
      </c>
      <c r="C99" s="44" t="s">
        <v>123</v>
      </c>
      <c r="D99" s="45"/>
      <c r="E99" s="105" t="s">
        <v>118</v>
      </c>
      <c r="G99" s="77">
        <f>'[16]Billing Qty 2022'!G99</f>
        <v>365</v>
      </c>
      <c r="H99" s="78">
        <f>'[16]Billing Qty 2022'!H99</f>
        <v>11380</v>
      </c>
      <c r="I99" s="79"/>
      <c r="J99" s="79"/>
      <c r="K99" s="80"/>
      <c r="L99" s="79"/>
      <c r="M99" s="79"/>
      <c r="N99" s="79"/>
      <c r="O99" s="80"/>
      <c r="P99" s="79"/>
      <c r="Q99" s="79"/>
      <c r="R99" s="80"/>
      <c r="S99" s="78">
        <f>'[16]Billing Qty 2022'!S99</f>
        <v>858480</v>
      </c>
      <c r="T99" s="87">
        <f>'[16]Billing Qty 2022'!T99</f>
        <v>1825000</v>
      </c>
      <c r="U99" s="82"/>
      <c r="V99" s="83"/>
      <c r="W99" s="303">
        <f>G99/$W$7</f>
        <v>1</v>
      </c>
      <c r="X99" s="304">
        <f>SUM(H99:O99)</f>
        <v>11380</v>
      </c>
      <c r="AA99" s="256">
        <f>SUM(H99:K99)</f>
        <v>11380</v>
      </c>
      <c r="AB99" s="262">
        <f>SUM(L99:O99)</f>
        <v>0</v>
      </c>
      <c r="AC99" s="257">
        <f t="shared" si="17"/>
        <v>11380</v>
      </c>
    </row>
    <row r="100" spans="2:29" ht="15" customHeight="1" x14ac:dyDescent="0.25">
      <c r="B100" s="19">
        <f t="shared" si="20"/>
        <v>5</v>
      </c>
      <c r="C100" s="44" t="s">
        <v>119</v>
      </c>
      <c r="D100" s="45"/>
      <c r="E100" s="105" t="s">
        <v>118</v>
      </c>
      <c r="G100" s="77">
        <f>'[16]Billing Qty 2022'!G100</f>
        <v>365</v>
      </c>
      <c r="H100" s="78">
        <f>'[16]Billing Qty 2022'!H100</f>
        <v>25030</v>
      </c>
      <c r="I100" s="79"/>
      <c r="J100" s="79"/>
      <c r="K100" s="80"/>
      <c r="L100" s="79"/>
      <c r="M100" s="79"/>
      <c r="N100" s="79"/>
      <c r="O100" s="80"/>
      <c r="P100" s="79"/>
      <c r="Q100" s="79"/>
      <c r="R100" s="80"/>
      <c r="S100" s="78">
        <f>'[16]Billing Qty 2022'!S100</f>
        <v>2326145</v>
      </c>
      <c r="T100" s="87">
        <f>'[16]Billing Qty 2022'!T100</f>
        <v>2562665</v>
      </c>
      <c r="U100" s="82"/>
      <c r="V100" s="83"/>
      <c r="W100" s="303">
        <f t="shared" si="15"/>
        <v>1</v>
      </c>
      <c r="X100" s="304">
        <f t="shared" si="16"/>
        <v>25030</v>
      </c>
      <c r="AA100" s="256">
        <f t="shared" si="18"/>
        <v>25030</v>
      </c>
      <c r="AB100" s="262">
        <f t="shared" si="19"/>
        <v>0</v>
      </c>
      <c r="AC100" s="257">
        <f t="shared" si="17"/>
        <v>25030</v>
      </c>
    </row>
    <row r="101" spans="2:29" ht="15" customHeight="1" x14ac:dyDescent="0.25">
      <c r="B101" s="19">
        <f t="shared" si="20"/>
        <v>6</v>
      </c>
      <c r="C101" s="44" t="s">
        <v>708</v>
      </c>
      <c r="D101" s="45"/>
      <c r="E101" s="105" t="s">
        <v>118</v>
      </c>
      <c r="G101" s="77">
        <f>'[16]Billing Qty 2022'!G101</f>
        <v>365</v>
      </c>
      <c r="H101" s="78">
        <f>'[16]Billing Qty 2022'!H101</f>
        <v>11592</v>
      </c>
      <c r="I101" s="79"/>
      <c r="J101" s="79"/>
      <c r="K101" s="80"/>
      <c r="L101" s="79"/>
      <c r="M101" s="79"/>
      <c r="N101" s="79"/>
      <c r="O101" s="80"/>
      <c r="P101" s="79"/>
      <c r="Q101" s="79"/>
      <c r="R101" s="80"/>
      <c r="S101" s="78">
        <f>'[16]Billing Qty 2022'!S101</f>
        <v>1096825</v>
      </c>
      <c r="T101" s="87">
        <f>'[16]Billing Qty 2022'!T101</f>
        <v>1825000</v>
      </c>
      <c r="U101" s="82"/>
      <c r="V101" s="83"/>
      <c r="W101" s="303">
        <f>G101/$W$7</f>
        <v>1</v>
      </c>
      <c r="X101" s="304">
        <f>SUM(H101:O101)</f>
        <v>11592</v>
      </c>
      <c r="AA101" s="256">
        <f>SUM(H101:K101)</f>
        <v>11592</v>
      </c>
      <c r="AB101" s="262">
        <f>SUM(L101:O101)</f>
        <v>0</v>
      </c>
      <c r="AC101" s="257">
        <f>SUM(AA101:AB101)</f>
        <v>11592</v>
      </c>
    </row>
    <row r="102" spans="2:29" ht="15" customHeight="1" x14ac:dyDescent="0.25">
      <c r="B102" s="19">
        <f t="shared" si="20"/>
        <v>7</v>
      </c>
      <c r="C102" s="44" t="s">
        <v>120</v>
      </c>
      <c r="D102" s="45"/>
      <c r="E102" s="105" t="s">
        <v>118</v>
      </c>
      <c r="G102" s="77">
        <f>'[16]Billing Qty 2022'!G102</f>
        <v>365</v>
      </c>
      <c r="H102" s="78">
        <f>'[16]Billing Qty 2022'!H102</f>
        <v>2960</v>
      </c>
      <c r="I102" s="79"/>
      <c r="J102" s="79"/>
      <c r="K102" s="80"/>
      <c r="L102" s="79"/>
      <c r="M102" s="79"/>
      <c r="N102" s="79"/>
      <c r="O102" s="80"/>
      <c r="P102" s="79"/>
      <c r="Q102" s="79"/>
      <c r="R102" s="80"/>
      <c r="S102" s="78">
        <f>'[16]Billing Qty 2022'!S102</f>
        <v>1301225</v>
      </c>
      <c r="T102" s="87">
        <f>'[16]Billing Qty 2022'!T102</f>
        <v>1928660</v>
      </c>
      <c r="U102" s="82"/>
      <c r="V102" s="83"/>
      <c r="W102" s="303">
        <f t="shared" si="15"/>
        <v>1</v>
      </c>
      <c r="X102" s="304">
        <f t="shared" si="16"/>
        <v>2960</v>
      </c>
      <c r="AA102" s="256">
        <f t="shared" si="18"/>
        <v>2960</v>
      </c>
      <c r="AB102" s="262">
        <f t="shared" si="19"/>
        <v>0</v>
      </c>
      <c r="AC102" s="257">
        <f t="shared" si="17"/>
        <v>2960</v>
      </c>
    </row>
    <row r="103" spans="2:29" ht="15" customHeight="1" x14ac:dyDescent="0.25">
      <c r="B103" s="19">
        <f t="shared" si="20"/>
        <v>8</v>
      </c>
      <c r="C103" s="44" t="s">
        <v>121</v>
      </c>
      <c r="D103" s="45"/>
      <c r="E103" s="105" t="s">
        <v>118</v>
      </c>
      <c r="G103" s="77">
        <f>'[16]Billing Qty 2022'!G103</f>
        <v>365</v>
      </c>
      <c r="H103" s="78">
        <f>'[16]Billing Qty 2022'!H103</f>
        <v>24300</v>
      </c>
      <c r="I103" s="79"/>
      <c r="J103" s="79"/>
      <c r="K103" s="80"/>
      <c r="L103" s="79"/>
      <c r="M103" s="79"/>
      <c r="N103" s="79"/>
      <c r="O103" s="80"/>
      <c r="P103" s="79"/>
      <c r="Q103" s="79"/>
      <c r="R103" s="80"/>
      <c r="S103" s="78">
        <f>'[16]Billing Qty 2022'!S103</f>
        <v>1595780</v>
      </c>
      <c r="T103" s="87">
        <f>'[16]Billing Qty 2022'!T103</f>
        <v>1825000</v>
      </c>
      <c r="U103" s="82"/>
      <c r="V103" s="83"/>
      <c r="W103" s="303">
        <f t="shared" si="15"/>
        <v>1</v>
      </c>
      <c r="X103" s="304">
        <f t="shared" si="16"/>
        <v>24300</v>
      </c>
      <c r="AA103" s="256">
        <f t="shared" si="18"/>
        <v>24300</v>
      </c>
      <c r="AB103" s="262">
        <f t="shared" si="19"/>
        <v>0</v>
      </c>
      <c r="AC103" s="257">
        <f t="shared" si="17"/>
        <v>24300</v>
      </c>
    </row>
    <row r="104" spans="2:29" ht="15" customHeight="1" x14ac:dyDescent="0.25">
      <c r="B104" s="19"/>
      <c r="C104" s="36" t="s">
        <v>124</v>
      </c>
      <c r="D104" s="85"/>
      <c r="E104" s="85"/>
      <c r="G104" s="86"/>
      <c r="H104" s="81"/>
      <c r="I104" s="79"/>
      <c r="J104" s="79"/>
      <c r="K104" s="80"/>
      <c r="L104" s="79"/>
      <c r="M104" s="79"/>
      <c r="N104" s="79"/>
      <c r="O104" s="80"/>
      <c r="P104" s="79"/>
      <c r="Q104" s="79"/>
      <c r="R104" s="80"/>
      <c r="S104" s="81"/>
      <c r="T104" s="79"/>
      <c r="U104" s="81"/>
      <c r="V104" s="80"/>
      <c r="W104" s="303">
        <f t="shared" si="15"/>
        <v>0</v>
      </c>
      <c r="X104" s="304">
        <f t="shared" si="16"/>
        <v>0</v>
      </c>
      <c r="AA104" s="252">
        <f>SUBTOTAL(9,AA105:AA114)</f>
        <v>398170</v>
      </c>
      <c r="AB104" s="252">
        <f>SUBTOTAL(9,AB105:AB114)</f>
        <v>0</v>
      </c>
      <c r="AC104" s="254">
        <f t="shared" si="17"/>
        <v>398170</v>
      </c>
    </row>
    <row r="105" spans="2:29" ht="15" customHeight="1" x14ac:dyDescent="0.25">
      <c r="B105" s="19">
        <f>B103+1</f>
        <v>9</v>
      </c>
      <c r="C105" s="44" t="s">
        <v>125</v>
      </c>
      <c r="D105" s="45"/>
      <c r="E105" s="105" t="s">
        <v>126</v>
      </c>
      <c r="G105" s="77">
        <f>'[16]Billing Qty 2022'!G105</f>
        <v>365</v>
      </c>
      <c r="H105" s="78">
        <f>'[16]Billing Qty 2022'!H105</f>
        <v>70500</v>
      </c>
      <c r="I105" s="79"/>
      <c r="J105" s="79"/>
      <c r="K105" s="80"/>
      <c r="L105" s="79"/>
      <c r="M105" s="79"/>
      <c r="N105" s="79"/>
      <c r="O105" s="80"/>
      <c r="P105" s="79"/>
      <c r="Q105" s="79"/>
      <c r="R105" s="80"/>
      <c r="S105" s="78">
        <f>'[16]Billing Qty 2022'!S105</f>
        <v>3784320</v>
      </c>
      <c r="T105" s="87">
        <f>'[16]Billing Qty 2022'!T105</f>
        <v>4155525</v>
      </c>
      <c r="U105" s="82"/>
      <c r="V105" s="83"/>
      <c r="W105" s="303">
        <f t="shared" si="15"/>
        <v>1</v>
      </c>
      <c r="X105" s="304">
        <f t="shared" si="16"/>
        <v>70500</v>
      </c>
      <c r="AA105" s="256">
        <f>SUM(H105:K105)</f>
        <v>70500</v>
      </c>
      <c r="AB105" s="262">
        <f>SUM(L105:O105)</f>
        <v>0</v>
      </c>
      <c r="AC105" s="257">
        <f t="shared" si="17"/>
        <v>70500</v>
      </c>
    </row>
    <row r="106" spans="2:29" ht="15" customHeight="1" x14ac:dyDescent="0.25">
      <c r="B106" s="19">
        <f t="shared" si="20"/>
        <v>10</v>
      </c>
      <c r="C106" s="44" t="s">
        <v>127</v>
      </c>
      <c r="D106" s="45"/>
      <c r="E106" s="105" t="s">
        <v>126</v>
      </c>
      <c r="G106" s="77">
        <f>'[16]Billing Qty 2022'!G106</f>
        <v>365</v>
      </c>
      <c r="H106" s="78">
        <f>'[16]Billing Qty 2022'!H106</f>
        <v>170500</v>
      </c>
      <c r="I106" s="79"/>
      <c r="J106" s="79"/>
      <c r="K106" s="80"/>
      <c r="L106" s="79"/>
      <c r="M106" s="79"/>
      <c r="N106" s="79"/>
      <c r="O106" s="80"/>
      <c r="P106" s="79"/>
      <c r="Q106" s="79"/>
      <c r="R106" s="80"/>
      <c r="S106" s="78">
        <f>'[16]Billing Qty 2022'!S106</f>
        <v>8823875</v>
      </c>
      <c r="T106" s="87">
        <f>'[16]Billing Qty 2022'!T106</f>
        <v>9653520</v>
      </c>
      <c r="U106" s="82"/>
      <c r="V106" s="83"/>
      <c r="W106" s="303">
        <f t="shared" si="15"/>
        <v>1</v>
      </c>
      <c r="X106" s="304">
        <f t="shared" si="16"/>
        <v>170500</v>
      </c>
      <c r="AA106" s="256">
        <f>SUM(H106:K106)</f>
        <v>170500</v>
      </c>
      <c r="AB106" s="262">
        <f>SUM(L106:O106)</f>
        <v>0</v>
      </c>
      <c r="AC106" s="257">
        <f t="shared" si="17"/>
        <v>170500</v>
      </c>
    </row>
    <row r="107" spans="2:29" ht="15" customHeight="1" x14ac:dyDescent="0.25">
      <c r="B107" s="19">
        <f t="shared" si="20"/>
        <v>11</v>
      </c>
      <c r="C107" s="44" t="s">
        <v>128</v>
      </c>
      <c r="D107" s="45"/>
      <c r="E107" s="105" t="s">
        <v>126</v>
      </c>
      <c r="G107" s="77">
        <f>'[16]Billing Qty 2022'!G107</f>
        <v>365</v>
      </c>
      <c r="H107" s="78">
        <f>'[16]Billing Qty 2022'!H107</f>
        <v>24900</v>
      </c>
      <c r="I107" s="79"/>
      <c r="J107" s="79"/>
      <c r="K107" s="80"/>
      <c r="L107" s="79"/>
      <c r="M107" s="79"/>
      <c r="N107" s="79"/>
      <c r="O107" s="80"/>
      <c r="P107" s="79"/>
      <c r="Q107" s="79"/>
      <c r="R107" s="80"/>
      <c r="S107" s="78">
        <f>'[16]Billing Qty 2022'!S107</f>
        <v>1485550</v>
      </c>
      <c r="T107" s="87">
        <f>'[16]Billing Qty 2022'!T107</f>
        <v>1825000</v>
      </c>
      <c r="U107" s="82"/>
      <c r="V107" s="83"/>
      <c r="W107" s="303">
        <f t="shared" ref="W107:W114" si="21">G107/$W$7</f>
        <v>1</v>
      </c>
      <c r="X107" s="304">
        <f t="shared" ref="X107:X114" si="22">SUM(H107:O107)</f>
        <v>24900</v>
      </c>
      <c r="AA107" s="256">
        <f t="shared" ref="AA107:AA114" si="23">SUM(H107:K107)</f>
        <v>24900</v>
      </c>
      <c r="AB107" s="262">
        <f t="shared" ref="AB107:AB114" si="24">SUM(L107:O107)</f>
        <v>0</v>
      </c>
      <c r="AC107" s="257">
        <f t="shared" si="17"/>
        <v>24900</v>
      </c>
    </row>
    <row r="108" spans="2:29" ht="15" customHeight="1" x14ac:dyDescent="0.25">
      <c r="B108" s="19">
        <f t="shared" si="20"/>
        <v>12</v>
      </c>
      <c r="C108" s="44"/>
      <c r="D108" s="45" t="s">
        <v>129</v>
      </c>
      <c r="E108" s="105" t="s">
        <v>126</v>
      </c>
      <c r="G108" s="77">
        <f>'[16]Billing Qty 2022'!G108</f>
        <v>365</v>
      </c>
      <c r="H108" s="78">
        <f>'[16]Billing Qty 2022'!H108</f>
        <v>25400</v>
      </c>
      <c r="I108" s="79"/>
      <c r="J108" s="79"/>
      <c r="K108" s="80"/>
      <c r="L108" s="79"/>
      <c r="M108" s="79"/>
      <c r="N108" s="79"/>
      <c r="O108" s="80"/>
      <c r="P108" s="79"/>
      <c r="Q108" s="79"/>
      <c r="R108" s="80"/>
      <c r="S108" s="78">
        <f>'[16]Billing Qty 2022'!S108</f>
        <v>2735675</v>
      </c>
      <c r="T108" s="87">
        <f>'[16]Billing Qty 2022'!T108</f>
        <v>2950660</v>
      </c>
      <c r="U108" s="82"/>
      <c r="V108" s="83"/>
      <c r="W108" s="303">
        <f t="shared" si="21"/>
        <v>1</v>
      </c>
      <c r="X108" s="304">
        <f t="shared" si="22"/>
        <v>25400</v>
      </c>
      <c r="AA108" s="256">
        <f t="shared" si="23"/>
        <v>25400</v>
      </c>
      <c r="AB108" s="262">
        <f t="shared" si="24"/>
        <v>0</v>
      </c>
      <c r="AC108" s="257">
        <f t="shared" si="17"/>
        <v>25400</v>
      </c>
    </row>
    <row r="109" spans="2:29" ht="15" customHeight="1" x14ac:dyDescent="0.25">
      <c r="B109" s="19">
        <f t="shared" si="20"/>
        <v>13</v>
      </c>
      <c r="C109" s="44" t="s">
        <v>564</v>
      </c>
      <c r="D109" s="45"/>
      <c r="E109" s="105" t="s">
        <v>126</v>
      </c>
      <c r="G109" s="77">
        <f>'[16]Billing Qty 2022'!G109</f>
        <v>365</v>
      </c>
      <c r="H109" s="78">
        <f>'[16]Billing Qty 2022'!H109</f>
        <v>11150</v>
      </c>
      <c r="I109" s="79"/>
      <c r="J109" s="79"/>
      <c r="K109" s="80"/>
      <c r="L109" s="79"/>
      <c r="M109" s="79"/>
      <c r="N109" s="79"/>
      <c r="O109" s="80"/>
      <c r="P109" s="79"/>
      <c r="Q109" s="79"/>
      <c r="R109" s="80"/>
      <c r="S109" s="78">
        <f>'[16]Billing Qty 2022'!S109</f>
        <v>1002290</v>
      </c>
      <c r="T109" s="87">
        <f>'[16]Billing Qty 2022'!T109</f>
        <v>1825000</v>
      </c>
      <c r="U109" s="82"/>
      <c r="V109" s="83"/>
      <c r="W109" s="303">
        <f t="shared" si="21"/>
        <v>1</v>
      </c>
      <c r="X109" s="304">
        <f t="shared" si="22"/>
        <v>11150</v>
      </c>
      <c r="AA109" s="256">
        <f t="shared" si="23"/>
        <v>11150</v>
      </c>
      <c r="AB109" s="262">
        <f t="shared" si="24"/>
        <v>0</v>
      </c>
      <c r="AC109" s="257">
        <f t="shared" si="17"/>
        <v>11150</v>
      </c>
    </row>
    <row r="110" spans="2:29" ht="15" customHeight="1" x14ac:dyDescent="0.25">
      <c r="B110" s="19">
        <f t="shared" si="20"/>
        <v>14</v>
      </c>
      <c r="C110" s="44" t="s">
        <v>565</v>
      </c>
      <c r="D110" s="45"/>
      <c r="E110" s="105" t="s">
        <v>126</v>
      </c>
      <c r="G110" s="77">
        <f>'[16]Billing Qty 2022'!G110</f>
        <v>365</v>
      </c>
      <c r="H110" s="78">
        <f>'[16]Billing Qty 2022'!H110</f>
        <v>10630</v>
      </c>
      <c r="I110" s="79"/>
      <c r="J110" s="79"/>
      <c r="K110" s="80"/>
      <c r="L110" s="79"/>
      <c r="M110" s="79"/>
      <c r="N110" s="79"/>
      <c r="O110" s="80"/>
      <c r="P110" s="79"/>
      <c r="Q110" s="79"/>
      <c r="R110" s="80"/>
      <c r="S110" s="78">
        <f>'[16]Billing Qty 2022'!S110</f>
        <v>604805</v>
      </c>
      <c r="T110" s="87">
        <f>'[16]Billing Qty 2022'!T110</f>
        <v>1825000</v>
      </c>
      <c r="U110" s="82"/>
      <c r="V110" s="83"/>
      <c r="W110" s="303">
        <f t="shared" si="21"/>
        <v>1</v>
      </c>
      <c r="X110" s="304">
        <f t="shared" si="22"/>
        <v>10630</v>
      </c>
      <c r="AA110" s="256">
        <f t="shared" si="23"/>
        <v>10630</v>
      </c>
      <c r="AB110" s="262">
        <f t="shared" si="24"/>
        <v>0</v>
      </c>
      <c r="AC110" s="257">
        <f t="shared" si="17"/>
        <v>10630</v>
      </c>
    </row>
    <row r="111" spans="2:29" ht="15" customHeight="1" x14ac:dyDescent="0.25">
      <c r="B111" s="19">
        <f t="shared" si="20"/>
        <v>15</v>
      </c>
      <c r="C111" s="44" t="s">
        <v>560</v>
      </c>
      <c r="D111" s="45"/>
      <c r="E111" s="105" t="s">
        <v>126</v>
      </c>
      <c r="G111" s="77">
        <f>'[16]Billing Qty 2022'!G111</f>
        <v>365</v>
      </c>
      <c r="H111" s="78">
        <f>'[16]Billing Qty 2022'!H111</f>
        <v>4130</v>
      </c>
      <c r="I111" s="79"/>
      <c r="J111" s="79"/>
      <c r="K111" s="80"/>
      <c r="L111" s="79"/>
      <c r="M111" s="79"/>
      <c r="N111" s="79"/>
      <c r="O111" s="80"/>
      <c r="P111" s="79"/>
      <c r="Q111" s="79"/>
      <c r="R111" s="80"/>
      <c r="S111" s="78">
        <f>'[16]Billing Qty 2022'!S111</f>
        <v>214255</v>
      </c>
      <c r="T111" s="87">
        <f>'[16]Billing Qty 2022'!T111</f>
        <v>1825000</v>
      </c>
      <c r="U111" s="82"/>
      <c r="V111" s="83"/>
      <c r="W111" s="303">
        <f t="shared" si="21"/>
        <v>1</v>
      </c>
      <c r="X111" s="304">
        <f t="shared" si="22"/>
        <v>4130</v>
      </c>
      <c r="AA111" s="256">
        <f t="shared" si="23"/>
        <v>4130</v>
      </c>
      <c r="AB111" s="262">
        <f t="shared" si="24"/>
        <v>0</v>
      </c>
      <c r="AC111" s="257">
        <f t="shared" si="17"/>
        <v>4130</v>
      </c>
    </row>
    <row r="112" spans="2:29" ht="15" customHeight="1" x14ac:dyDescent="0.25">
      <c r="B112" s="19">
        <f t="shared" si="20"/>
        <v>16</v>
      </c>
      <c r="C112" s="44" t="s">
        <v>130</v>
      </c>
      <c r="D112" s="45"/>
      <c r="E112" s="105" t="s">
        <v>126</v>
      </c>
      <c r="G112" s="77">
        <f>'[16]Billing Qty 2022'!G112</f>
        <v>365</v>
      </c>
      <c r="H112" s="78">
        <f>'[16]Billing Qty 2022'!H112</f>
        <v>30300</v>
      </c>
      <c r="I112" s="79"/>
      <c r="J112" s="79"/>
      <c r="K112" s="80"/>
      <c r="L112" s="79"/>
      <c r="M112" s="79"/>
      <c r="N112" s="79"/>
      <c r="O112" s="80"/>
      <c r="P112" s="79"/>
      <c r="Q112" s="79"/>
      <c r="R112" s="80"/>
      <c r="S112" s="78">
        <f>'[16]Billing Qty 2022'!S112</f>
        <v>3612405</v>
      </c>
      <c r="T112" s="87">
        <f>'[16]Billing Qty 2022'!T112</f>
        <v>4752665</v>
      </c>
      <c r="U112" s="82"/>
      <c r="V112" s="83"/>
      <c r="W112" s="303">
        <f t="shared" si="21"/>
        <v>1</v>
      </c>
      <c r="X112" s="304">
        <f t="shared" si="22"/>
        <v>30300</v>
      </c>
      <c r="AA112" s="256">
        <f t="shared" si="23"/>
        <v>30300</v>
      </c>
      <c r="AB112" s="262">
        <f t="shared" si="24"/>
        <v>0</v>
      </c>
      <c r="AC112" s="257">
        <f t="shared" si="17"/>
        <v>30300</v>
      </c>
    </row>
    <row r="113" spans="2:29" ht="15" customHeight="1" x14ac:dyDescent="0.25">
      <c r="B113" s="19">
        <f t="shared" si="20"/>
        <v>17</v>
      </c>
      <c r="C113" s="44" t="s">
        <v>131</v>
      </c>
      <c r="D113" s="45"/>
      <c r="E113" s="105" t="s">
        <v>126</v>
      </c>
      <c r="G113" s="77">
        <f>'[16]Billing Qty 2022'!G113</f>
        <v>365</v>
      </c>
      <c r="H113" s="78">
        <f>'[16]Billing Qty 2022'!H113</f>
        <v>47800</v>
      </c>
      <c r="I113" s="79"/>
      <c r="J113" s="79"/>
      <c r="K113" s="80"/>
      <c r="L113" s="79"/>
      <c r="M113" s="79"/>
      <c r="N113" s="79"/>
      <c r="O113" s="80"/>
      <c r="P113" s="79"/>
      <c r="Q113" s="79"/>
      <c r="R113" s="80"/>
      <c r="S113" s="78">
        <f>'[16]Billing Qty 2022'!S113</f>
        <v>2413745</v>
      </c>
      <c r="T113" s="87">
        <f>'[16]Billing Qty 2022'!T113</f>
        <v>2636760</v>
      </c>
      <c r="U113" s="82"/>
      <c r="V113" s="83"/>
      <c r="W113" s="303">
        <f t="shared" si="21"/>
        <v>1</v>
      </c>
      <c r="X113" s="304">
        <f t="shared" si="22"/>
        <v>47800</v>
      </c>
      <c r="AA113" s="256">
        <f t="shared" si="23"/>
        <v>47800</v>
      </c>
      <c r="AB113" s="262">
        <f t="shared" si="24"/>
        <v>0</v>
      </c>
      <c r="AC113" s="257">
        <f t="shared" si="17"/>
        <v>47800</v>
      </c>
    </row>
    <row r="114" spans="2:29" ht="15" customHeight="1" x14ac:dyDescent="0.25">
      <c r="B114" s="19">
        <f t="shared" si="20"/>
        <v>18</v>
      </c>
      <c r="C114" s="44" t="s">
        <v>561</v>
      </c>
      <c r="D114" s="45"/>
      <c r="E114" s="105" t="s">
        <v>126</v>
      </c>
      <c r="G114" s="77">
        <f>'[16]Billing Qty 2022'!G114</f>
        <v>365</v>
      </c>
      <c r="H114" s="78">
        <f>'[16]Billing Qty 2022'!H114</f>
        <v>2860</v>
      </c>
      <c r="I114" s="79"/>
      <c r="J114" s="79"/>
      <c r="K114" s="80"/>
      <c r="L114" s="79"/>
      <c r="M114" s="79"/>
      <c r="N114" s="79"/>
      <c r="O114" s="80"/>
      <c r="P114" s="79"/>
      <c r="Q114" s="79"/>
      <c r="R114" s="80"/>
      <c r="S114" s="78">
        <f>'[16]Billing Qty 2022'!S114</f>
        <v>467200</v>
      </c>
      <c r="T114" s="87">
        <f>'[16]Billing Qty 2022'!T114</f>
        <v>1825000</v>
      </c>
      <c r="U114" s="82"/>
      <c r="V114" s="83"/>
      <c r="W114" s="303">
        <f t="shared" si="21"/>
        <v>1</v>
      </c>
      <c r="X114" s="304">
        <f t="shared" si="22"/>
        <v>2860</v>
      </c>
      <c r="AA114" s="256">
        <f t="shared" si="23"/>
        <v>2860</v>
      </c>
      <c r="AB114" s="262">
        <f t="shared" si="24"/>
        <v>0</v>
      </c>
      <c r="AC114" s="257">
        <f t="shared" si="17"/>
        <v>2860</v>
      </c>
    </row>
    <row r="115" spans="2:29" ht="15" customHeight="1" x14ac:dyDescent="0.25">
      <c r="B115" s="19"/>
      <c r="C115" s="36" t="s">
        <v>132</v>
      </c>
      <c r="D115" s="85"/>
      <c r="E115" s="85"/>
      <c r="G115" s="86"/>
      <c r="H115" s="81"/>
      <c r="I115" s="79"/>
      <c r="J115" s="79"/>
      <c r="K115" s="80"/>
      <c r="L115" s="79"/>
      <c r="M115" s="79"/>
      <c r="N115" s="79"/>
      <c r="O115" s="80"/>
      <c r="P115" s="79"/>
      <c r="Q115" s="79"/>
      <c r="R115" s="80"/>
      <c r="S115" s="81"/>
      <c r="T115" s="79"/>
      <c r="U115" s="81"/>
      <c r="V115" s="80"/>
      <c r="W115" s="303">
        <f t="shared" si="15"/>
        <v>0</v>
      </c>
      <c r="X115" s="304">
        <f t="shared" si="16"/>
        <v>0</v>
      </c>
      <c r="AA115" s="252">
        <f>SUBTOTAL(9,AA116:AA119)</f>
        <v>17880</v>
      </c>
      <c r="AB115" s="252">
        <f>SUBTOTAL(9,AB116:AB119)</f>
        <v>0</v>
      </c>
      <c r="AC115" s="254">
        <f t="shared" si="17"/>
        <v>17880</v>
      </c>
    </row>
    <row r="116" spans="2:29" ht="15" customHeight="1" x14ac:dyDescent="0.25">
      <c r="B116" s="19">
        <f>B114+1</f>
        <v>19</v>
      </c>
      <c r="C116" s="44" t="s">
        <v>133</v>
      </c>
      <c r="D116" s="45"/>
      <c r="E116" s="105" t="s">
        <v>134</v>
      </c>
      <c r="G116" s="77">
        <f>'[16]Billing Qty 2022'!G116</f>
        <v>0</v>
      </c>
      <c r="H116" s="78">
        <f>'[16]Billing Qty 2022'!H116</f>
        <v>0</v>
      </c>
      <c r="I116" s="79"/>
      <c r="J116" s="79"/>
      <c r="K116" s="80"/>
      <c r="L116" s="79"/>
      <c r="M116" s="79"/>
      <c r="N116" s="79"/>
      <c r="O116" s="80"/>
      <c r="P116" s="79"/>
      <c r="Q116" s="79"/>
      <c r="R116" s="80"/>
      <c r="S116" s="78">
        <f>'[16]Billing Qty 2022'!S116</f>
        <v>0</v>
      </c>
      <c r="T116" s="87">
        <f>'[16]Billing Qty 2022'!T116</f>
        <v>0</v>
      </c>
      <c r="U116" s="82"/>
      <c r="V116" s="83"/>
      <c r="W116" s="303">
        <f t="shared" si="15"/>
        <v>0</v>
      </c>
      <c r="X116" s="304">
        <f t="shared" si="16"/>
        <v>0</v>
      </c>
      <c r="AA116" s="256">
        <f>SUM(H116:K116)</f>
        <v>0</v>
      </c>
      <c r="AB116" s="262">
        <f>SUM(L116:O116)</f>
        <v>0</v>
      </c>
      <c r="AC116" s="257">
        <f t="shared" si="17"/>
        <v>0</v>
      </c>
    </row>
    <row r="117" spans="2:29" ht="15" customHeight="1" x14ac:dyDescent="0.25">
      <c r="B117" s="19">
        <f>B116+1</f>
        <v>20</v>
      </c>
      <c r="C117" s="44" t="s">
        <v>135</v>
      </c>
      <c r="D117" s="45"/>
      <c r="E117" s="105" t="s">
        <v>136</v>
      </c>
      <c r="G117" s="77">
        <f>'[16]Billing Qty 2022'!G117</f>
        <v>365</v>
      </c>
      <c r="H117" s="78">
        <f>'[16]Billing Qty 2022'!H117</f>
        <v>7500</v>
      </c>
      <c r="I117" s="79"/>
      <c r="J117" s="79"/>
      <c r="K117" s="80"/>
      <c r="L117" s="79"/>
      <c r="M117" s="79"/>
      <c r="N117" s="79"/>
      <c r="O117" s="80"/>
      <c r="P117" s="79"/>
      <c r="Q117" s="79"/>
      <c r="R117" s="80"/>
      <c r="S117" s="78">
        <f>'[16]Billing Qty 2022'!S117</f>
        <v>784750</v>
      </c>
      <c r="T117" s="87">
        <f>'[16]Billing Qty 2022'!T117</f>
        <v>1825000</v>
      </c>
      <c r="U117" s="82"/>
      <c r="V117" s="83"/>
      <c r="W117" s="303">
        <f t="shared" si="15"/>
        <v>1</v>
      </c>
      <c r="X117" s="304">
        <f t="shared" si="16"/>
        <v>7500</v>
      </c>
      <c r="AA117" s="256">
        <f>SUM(H117:K117)</f>
        <v>7500</v>
      </c>
      <c r="AB117" s="262">
        <f>SUM(L117:O117)</f>
        <v>0</v>
      </c>
      <c r="AC117" s="257">
        <f t="shared" si="17"/>
        <v>7500</v>
      </c>
    </row>
    <row r="118" spans="2:29" ht="15" customHeight="1" x14ac:dyDescent="0.25">
      <c r="B118" s="19">
        <f t="shared" si="20"/>
        <v>21</v>
      </c>
      <c r="C118" s="44" t="s">
        <v>137</v>
      </c>
      <c r="D118" s="45"/>
      <c r="E118" s="105" t="s">
        <v>136</v>
      </c>
      <c r="G118" s="77">
        <f>'[16]Billing Qty 2022'!G118</f>
        <v>365</v>
      </c>
      <c r="H118" s="78">
        <f>'[16]Billing Qty 2022'!H118</f>
        <v>2200</v>
      </c>
      <c r="I118" s="79"/>
      <c r="J118" s="79"/>
      <c r="K118" s="80"/>
      <c r="L118" s="79"/>
      <c r="M118" s="79"/>
      <c r="N118" s="79"/>
      <c r="O118" s="80"/>
      <c r="P118" s="79"/>
      <c r="Q118" s="79"/>
      <c r="R118" s="80"/>
      <c r="S118" s="78">
        <f>'[16]Billing Qty 2022'!S118</f>
        <v>266085</v>
      </c>
      <c r="T118" s="87">
        <f>'[16]Billing Qty 2022'!T118</f>
        <v>1825000</v>
      </c>
      <c r="U118" s="82"/>
      <c r="V118" s="83"/>
      <c r="W118" s="303">
        <f t="shared" si="15"/>
        <v>1</v>
      </c>
      <c r="X118" s="304">
        <f t="shared" si="16"/>
        <v>2200</v>
      </c>
      <c r="AA118" s="256">
        <f>SUM(H118:K118)</f>
        <v>2200</v>
      </c>
      <c r="AB118" s="262">
        <f>SUM(L118:O118)</f>
        <v>0</v>
      </c>
      <c r="AC118" s="257">
        <f t="shared" si="17"/>
        <v>2200</v>
      </c>
    </row>
    <row r="119" spans="2:29" ht="15" customHeight="1" x14ac:dyDescent="0.25">
      <c r="B119" s="19">
        <f t="shared" si="20"/>
        <v>22</v>
      </c>
      <c r="C119" s="44" t="s">
        <v>138</v>
      </c>
      <c r="D119" s="45"/>
      <c r="E119" s="105" t="s">
        <v>136</v>
      </c>
      <c r="G119" s="77">
        <f>'[16]Billing Qty 2022'!G119</f>
        <v>365</v>
      </c>
      <c r="H119" s="78">
        <f>'[16]Billing Qty 2022'!H119</f>
        <v>8180</v>
      </c>
      <c r="I119" s="79"/>
      <c r="J119" s="79"/>
      <c r="K119" s="80"/>
      <c r="L119" s="79"/>
      <c r="M119" s="79"/>
      <c r="N119" s="79"/>
      <c r="O119" s="80"/>
      <c r="P119" s="79"/>
      <c r="Q119" s="79"/>
      <c r="R119" s="80"/>
      <c r="S119" s="78">
        <f>'[16]Billing Qty 2022'!S119</f>
        <v>1223480</v>
      </c>
      <c r="T119" s="87">
        <f>'[16]Billing Qty 2022'!T119</f>
        <v>1825000</v>
      </c>
      <c r="U119" s="82"/>
      <c r="V119" s="83"/>
      <c r="W119" s="303">
        <f t="shared" si="15"/>
        <v>1</v>
      </c>
      <c r="X119" s="304">
        <f t="shared" si="16"/>
        <v>8180</v>
      </c>
      <c r="AA119" s="256">
        <f>SUM(H119:K119)</f>
        <v>8180</v>
      </c>
      <c r="AB119" s="262">
        <f>SUM(L119:O119)</f>
        <v>0</v>
      </c>
      <c r="AC119" s="257">
        <f t="shared" si="17"/>
        <v>8180</v>
      </c>
    </row>
    <row r="120" spans="2:29" ht="15" customHeight="1" x14ac:dyDescent="0.25">
      <c r="B120" s="19"/>
      <c r="C120" s="36" t="s">
        <v>139</v>
      </c>
      <c r="D120" s="85"/>
      <c r="E120" s="85"/>
      <c r="G120" s="86"/>
      <c r="H120" s="81"/>
      <c r="I120" s="79"/>
      <c r="J120" s="79"/>
      <c r="K120" s="80"/>
      <c r="L120" s="79"/>
      <c r="M120" s="79"/>
      <c r="N120" s="79"/>
      <c r="O120" s="80"/>
      <c r="P120" s="79"/>
      <c r="Q120" s="79"/>
      <c r="R120" s="80"/>
      <c r="S120" s="81"/>
      <c r="T120" s="79"/>
      <c r="U120" s="81"/>
      <c r="V120" s="80"/>
      <c r="W120" s="303">
        <f t="shared" si="15"/>
        <v>0</v>
      </c>
      <c r="X120" s="304">
        <f t="shared" si="16"/>
        <v>0</v>
      </c>
      <c r="AA120" s="252">
        <f>SUBTOTAL(9,AA121:AA129)</f>
        <v>648100</v>
      </c>
      <c r="AB120" s="252">
        <f>SUBTOTAL(9,AB121:AB129)</f>
        <v>0</v>
      </c>
      <c r="AC120" s="254">
        <f t="shared" si="17"/>
        <v>648100</v>
      </c>
    </row>
    <row r="121" spans="2:29" ht="15" customHeight="1" x14ac:dyDescent="0.25">
      <c r="B121" s="19">
        <f>B119+1</f>
        <v>23</v>
      </c>
      <c r="C121" s="44" t="s">
        <v>140</v>
      </c>
      <c r="D121" s="45"/>
      <c r="E121" s="105" t="s">
        <v>141</v>
      </c>
      <c r="G121" s="77">
        <f>'[16]Billing Qty 2022'!G121</f>
        <v>365</v>
      </c>
      <c r="H121" s="78">
        <f>'[16]Billing Qty 2022'!H121</f>
        <v>141500</v>
      </c>
      <c r="I121" s="79"/>
      <c r="J121" s="79"/>
      <c r="K121" s="80"/>
      <c r="L121" s="79"/>
      <c r="M121" s="79"/>
      <c r="N121" s="79"/>
      <c r="O121" s="80"/>
      <c r="P121" s="79"/>
      <c r="Q121" s="79"/>
      <c r="R121" s="80"/>
      <c r="S121" s="78">
        <f>'[16]Billing Qty 2022'!S121</f>
        <v>7195245</v>
      </c>
      <c r="T121" s="87">
        <f>'[16]Billing Qty 2022'!T121</f>
        <v>7804065</v>
      </c>
      <c r="U121" s="82"/>
      <c r="V121" s="83"/>
      <c r="W121" s="303">
        <f t="shared" si="15"/>
        <v>1</v>
      </c>
      <c r="X121" s="304">
        <f t="shared" si="16"/>
        <v>141500</v>
      </c>
      <c r="AA121" s="256">
        <f t="shared" ref="AA121:AA129" si="25">SUM(H121:K121)</f>
        <v>141500</v>
      </c>
      <c r="AB121" s="262">
        <f t="shared" ref="AB121:AB129" si="26">SUM(L121:O121)</f>
        <v>0</v>
      </c>
      <c r="AC121" s="257">
        <f t="shared" si="17"/>
        <v>141500</v>
      </c>
    </row>
    <row r="122" spans="2:29" ht="15" customHeight="1" x14ac:dyDescent="0.25">
      <c r="B122" s="19">
        <f t="shared" si="20"/>
        <v>24</v>
      </c>
      <c r="C122" s="44" t="s">
        <v>142</v>
      </c>
      <c r="D122" s="45"/>
      <c r="E122" s="105" t="s">
        <v>141</v>
      </c>
      <c r="G122" s="77">
        <f>'[16]Billing Qty 2022'!G122</f>
        <v>365</v>
      </c>
      <c r="H122" s="78">
        <f>'[16]Billing Qty 2022'!H122</f>
        <v>270100</v>
      </c>
      <c r="I122" s="79"/>
      <c r="J122" s="79"/>
      <c r="K122" s="80"/>
      <c r="L122" s="79"/>
      <c r="M122" s="79"/>
      <c r="N122" s="79"/>
      <c r="O122" s="80"/>
      <c r="P122" s="79"/>
      <c r="Q122" s="79"/>
      <c r="R122" s="80"/>
      <c r="S122" s="78">
        <f>'[16]Billing Qty 2022'!S122</f>
        <v>10220000</v>
      </c>
      <c r="T122" s="87">
        <f>'[16]Billing Qty 2022'!T122</f>
        <v>18804070</v>
      </c>
      <c r="U122" s="82"/>
      <c r="V122" s="83"/>
      <c r="W122" s="303">
        <f t="shared" si="15"/>
        <v>1</v>
      </c>
      <c r="X122" s="304">
        <f t="shared" si="16"/>
        <v>270100</v>
      </c>
      <c r="AA122" s="256">
        <f t="shared" si="25"/>
        <v>270100</v>
      </c>
      <c r="AB122" s="262">
        <f t="shared" si="26"/>
        <v>0</v>
      </c>
      <c r="AC122" s="257">
        <f t="shared" si="17"/>
        <v>270100</v>
      </c>
    </row>
    <row r="123" spans="2:29" ht="15" customHeight="1" x14ac:dyDescent="0.25">
      <c r="B123" s="19">
        <f t="shared" si="20"/>
        <v>25</v>
      </c>
      <c r="C123" s="44" t="s">
        <v>143</v>
      </c>
      <c r="D123" s="45"/>
      <c r="E123" s="105" t="s">
        <v>141</v>
      </c>
      <c r="G123" s="77">
        <f>'[16]Billing Qty 2022'!G123</f>
        <v>365</v>
      </c>
      <c r="H123" s="78">
        <f>'[16]Billing Qty 2022'!H123</f>
        <v>21000</v>
      </c>
      <c r="I123" s="79"/>
      <c r="J123" s="79"/>
      <c r="K123" s="80"/>
      <c r="L123" s="79"/>
      <c r="M123" s="79"/>
      <c r="N123" s="79"/>
      <c r="O123" s="80"/>
      <c r="P123" s="79"/>
      <c r="Q123" s="79"/>
      <c r="R123" s="80"/>
      <c r="S123" s="78">
        <f>'[16]Billing Qty 2022'!S123</f>
        <v>12925745</v>
      </c>
      <c r="T123" s="87">
        <f>'[16]Billing Qty 2022'!T123</f>
        <v>16849495</v>
      </c>
      <c r="U123" s="82"/>
      <c r="V123" s="83"/>
      <c r="W123" s="303">
        <f t="shared" si="15"/>
        <v>1</v>
      </c>
      <c r="X123" s="304">
        <f t="shared" si="16"/>
        <v>21000</v>
      </c>
      <c r="AA123" s="256">
        <f t="shared" si="25"/>
        <v>21000</v>
      </c>
      <c r="AB123" s="262">
        <f t="shared" si="26"/>
        <v>0</v>
      </c>
      <c r="AC123" s="257">
        <f t="shared" si="17"/>
        <v>21000</v>
      </c>
    </row>
    <row r="124" spans="2:29" ht="15" customHeight="1" x14ac:dyDescent="0.25">
      <c r="B124" s="19">
        <f t="shared" si="20"/>
        <v>26</v>
      </c>
      <c r="C124" s="44" t="s">
        <v>144</v>
      </c>
      <c r="D124" s="45"/>
      <c r="E124" s="105" t="s">
        <v>141</v>
      </c>
      <c r="G124" s="77">
        <f>'[16]Billing Qty 2022'!G124</f>
        <v>365</v>
      </c>
      <c r="H124" s="78">
        <f>'[16]Billing Qty 2022'!H124</f>
        <v>15200</v>
      </c>
      <c r="I124" s="79"/>
      <c r="J124" s="79"/>
      <c r="K124" s="80"/>
      <c r="L124" s="79"/>
      <c r="M124" s="79"/>
      <c r="N124" s="79"/>
      <c r="O124" s="80"/>
      <c r="P124" s="79"/>
      <c r="Q124" s="79"/>
      <c r="R124" s="80"/>
      <c r="S124" s="78">
        <f>'[16]Billing Qty 2022'!S124</f>
        <v>1015430</v>
      </c>
      <c r="T124" s="87">
        <f>'[16]Billing Qty 2022'!T124</f>
        <v>3650000</v>
      </c>
      <c r="U124" s="82"/>
      <c r="V124" s="83"/>
      <c r="W124" s="303">
        <f t="shared" si="15"/>
        <v>1</v>
      </c>
      <c r="X124" s="304">
        <f t="shared" si="16"/>
        <v>15200</v>
      </c>
      <c r="AA124" s="256">
        <f t="shared" si="25"/>
        <v>15200</v>
      </c>
      <c r="AB124" s="262">
        <f t="shared" si="26"/>
        <v>0</v>
      </c>
      <c r="AC124" s="257">
        <f t="shared" si="17"/>
        <v>15200</v>
      </c>
    </row>
    <row r="125" spans="2:29" ht="15" customHeight="1" x14ac:dyDescent="0.25">
      <c r="B125" s="19">
        <f t="shared" si="20"/>
        <v>27</v>
      </c>
      <c r="C125" s="44" t="s">
        <v>145</v>
      </c>
      <c r="D125" s="45"/>
      <c r="E125" s="105" t="s">
        <v>141</v>
      </c>
      <c r="G125" s="77">
        <f>'[16]Billing Qty 2022'!G125</f>
        <v>365</v>
      </c>
      <c r="H125" s="78">
        <f>'[16]Billing Qty 2022'!H125</f>
        <v>86000</v>
      </c>
      <c r="I125" s="79"/>
      <c r="J125" s="79"/>
      <c r="K125" s="80"/>
      <c r="L125" s="79"/>
      <c r="M125" s="79"/>
      <c r="N125" s="79"/>
      <c r="O125" s="80"/>
      <c r="P125" s="79"/>
      <c r="Q125" s="79"/>
      <c r="R125" s="80"/>
      <c r="S125" s="78">
        <f>'[16]Billing Qty 2022'!S125</f>
        <v>4013540</v>
      </c>
      <c r="T125" s="87">
        <f>'[16]Billing Qty 2022'!T125</f>
        <v>5790725</v>
      </c>
      <c r="U125" s="82"/>
      <c r="V125" s="83"/>
      <c r="W125" s="303">
        <f t="shared" si="15"/>
        <v>1</v>
      </c>
      <c r="X125" s="304">
        <f t="shared" si="16"/>
        <v>86000</v>
      </c>
      <c r="AA125" s="256">
        <f t="shared" si="25"/>
        <v>86000</v>
      </c>
      <c r="AB125" s="262">
        <f t="shared" si="26"/>
        <v>0</v>
      </c>
      <c r="AC125" s="257">
        <f t="shared" si="17"/>
        <v>86000</v>
      </c>
    </row>
    <row r="126" spans="2:29" ht="15" customHeight="1" x14ac:dyDescent="0.25">
      <c r="B126" s="19">
        <f t="shared" si="20"/>
        <v>28</v>
      </c>
      <c r="C126" s="44" t="s">
        <v>146</v>
      </c>
      <c r="D126" s="45"/>
      <c r="E126" s="105" t="s">
        <v>141</v>
      </c>
      <c r="G126" s="77">
        <f>'[16]Billing Qty 2022'!G126</f>
        <v>365</v>
      </c>
      <c r="H126" s="78">
        <f>'[16]Billing Qty 2022'!H126</f>
        <v>27900</v>
      </c>
      <c r="I126" s="79"/>
      <c r="J126" s="79"/>
      <c r="K126" s="80"/>
      <c r="L126" s="79"/>
      <c r="M126" s="79"/>
      <c r="N126" s="79"/>
      <c r="O126" s="80"/>
      <c r="P126" s="79"/>
      <c r="Q126" s="79"/>
      <c r="R126" s="80"/>
      <c r="S126" s="78">
        <f>'[16]Billing Qty 2022'!S126</f>
        <v>3680660</v>
      </c>
      <c r="T126" s="87">
        <f>'[16]Billing Qty 2022'!T126</f>
        <v>4706675</v>
      </c>
      <c r="U126" s="82"/>
      <c r="V126" s="83"/>
      <c r="W126" s="303">
        <f t="shared" si="15"/>
        <v>1</v>
      </c>
      <c r="X126" s="304">
        <f t="shared" si="16"/>
        <v>27900</v>
      </c>
      <c r="AA126" s="256">
        <f t="shared" si="25"/>
        <v>27900</v>
      </c>
      <c r="AB126" s="262">
        <f t="shared" si="26"/>
        <v>0</v>
      </c>
      <c r="AC126" s="257">
        <f t="shared" si="17"/>
        <v>27900</v>
      </c>
    </row>
    <row r="127" spans="2:29" ht="15" customHeight="1" x14ac:dyDescent="0.25">
      <c r="B127" s="19">
        <f t="shared" si="20"/>
        <v>29</v>
      </c>
      <c r="C127" s="44" t="s">
        <v>147</v>
      </c>
      <c r="D127" s="45"/>
      <c r="E127" s="105" t="s">
        <v>141</v>
      </c>
      <c r="G127" s="77">
        <f>'[16]Billing Qty 2022'!G127</f>
        <v>365</v>
      </c>
      <c r="H127" s="78">
        <f>'[16]Billing Qty 2022'!H127</f>
        <v>27400</v>
      </c>
      <c r="I127" s="79"/>
      <c r="J127" s="79"/>
      <c r="K127" s="80"/>
      <c r="L127" s="79"/>
      <c r="M127" s="79"/>
      <c r="N127" s="79"/>
      <c r="O127" s="80"/>
      <c r="P127" s="79"/>
      <c r="Q127" s="79"/>
      <c r="R127" s="80"/>
      <c r="S127" s="78">
        <f>'[16]Billing Qty 2022'!S127</f>
        <v>2555000</v>
      </c>
      <c r="T127" s="87">
        <f>'[16]Billing Qty 2022'!T127</f>
        <v>9280125</v>
      </c>
      <c r="U127" s="82"/>
      <c r="V127" s="83"/>
      <c r="W127" s="303">
        <f t="shared" si="15"/>
        <v>1</v>
      </c>
      <c r="X127" s="304">
        <f t="shared" si="16"/>
        <v>27400</v>
      </c>
      <c r="AA127" s="256">
        <f t="shared" si="25"/>
        <v>27400</v>
      </c>
      <c r="AB127" s="262">
        <f t="shared" si="26"/>
        <v>0</v>
      </c>
      <c r="AC127" s="257">
        <f t="shared" si="17"/>
        <v>27400</v>
      </c>
    </row>
    <row r="128" spans="2:29" ht="15" customHeight="1" x14ac:dyDescent="0.25">
      <c r="B128" s="19">
        <f t="shared" si="20"/>
        <v>30</v>
      </c>
      <c r="C128" s="44" t="s">
        <v>148</v>
      </c>
      <c r="D128" s="45"/>
      <c r="E128" s="105" t="s">
        <v>141</v>
      </c>
      <c r="G128" s="77">
        <f>'[16]Billing Qty 2022'!G128</f>
        <v>365</v>
      </c>
      <c r="H128" s="78">
        <f>'[16]Billing Qty 2022'!H128</f>
        <v>59000</v>
      </c>
      <c r="I128" s="79"/>
      <c r="J128" s="79"/>
      <c r="K128" s="80"/>
      <c r="L128" s="79"/>
      <c r="M128" s="79"/>
      <c r="N128" s="79"/>
      <c r="O128" s="80"/>
      <c r="P128" s="79"/>
      <c r="Q128" s="79"/>
      <c r="R128" s="80"/>
      <c r="S128" s="78">
        <f>'[16]Billing Qty 2022'!S128</f>
        <v>3839070</v>
      </c>
      <c r="T128" s="87">
        <f>'[16]Billing Qty 2022'!T128</f>
        <v>6172515</v>
      </c>
      <c r="U128" s="82"/>
      <c r="V128" s="83"/>
      <c r="W128" s="303">
        <f t="shared" si="15"/>
        <v>1</v>
      </c>
      <c r="X128" s="304">
        <f t="shared" si="16"/>
        <v>59000</v>
      </c>
      <c r="AA128" s="256">
        <f t="shared" si="25"/>
        <v>59000</v>
      </c>
      <c r="AB128" s="262">
        <f t="shared" si="26"/>
        <v>0</v>
      </c>
      <c r="AC128" s="257">
        <f t="shared" si="17"/>
        <v>59000</v>
      </c>
    </row>
    <row r="129" spans="1:29" ht="15" customHeight="1" x14ac:dyDescent="0.25">
      <c r="A129" s="108"/>
      <c r="B129" s="26">
        <f t="shared" si="20"/>
        <v>31</v>
      </c>
      <c r="C129" s="839" t="s">
        <v>149</v>
      </c>
      <c r="D129" s="56"/>
      <c r="E129" s="840" t="s">
        <v>141</v>
      </c>
      <c r="G129" s="106"/>
      <c r="H129" s="96"/>
      <c r="I129" s="92"/>
      <c r="J129" s="92"/>
      <c r="K129" s="93"/>
      <c r="L129" s="92"/>
      <c r="M129" s="92"/>
      <c r="N129" s="92"/>
      <c r="O129" s="93"/>
      <c r="P129" s="92"/>
      <c r="Q129" s="92"/>
      <c r="R129" s="93"/>
      <c r="S129" s="96"/>
      <c r="T129" s="92"/>
      <c r="U129" s="97"/>
      <c r="V129" s="98"/>
      <c r="W129" s="305">
        <f t="shared" si="15"/>
        <v>0</v>
      </c>
      <c r="X129" s="306">
        <f t="shared" si="16"/>
        <v>0</v>
      </c>
      <c r="AA129" s="259">
        <f t="shared" si="25"/>
        <v>0</v>
      </c>
      <c r="AB129" s="263">
        <f t="shared" si="26"/>
        <v>0</v>
      </c>
      <c r="AC129" s="257">
        <f t="shared" si="17"/>
        <v>0</v>
      </c>
    </row>
    <row r="130" spans="1:29" x14ac:dyDescent="0.25">
      <c r="W130" s="110"/>
      <c r="X130" s="111"/>
    </row>
    <row r="131" spans="1:29" x14ac:dyDescent="0.25">
      <c r="C131" s="112" t="s">
        <v>150</v>
      </c>
      <c r="D131" s="113"/>
      <c r="E131" s="113"/>
      <c r="G131" s="119">
        <f t="shared" ref="G131:X131" si="27">SUM(G17:G27)</f>
        <v>293990345</v>
      </c>
      <c r="H131" s="119">
        <f t="shared" si="27"/>
        <v>2400100</v>
      </c>
      <c r="I131" s="119">
        <f t="shared" si="27"/>
        <v>570185.69999999995</v>
      </c>
      <c r="J131" s="119">
        <f t="shared" si="27"/>
        <v>115176.85</v>
      </c>
      <c r="K131" s="119">
        <f t="shared" si="27"/>
        <v>127137.45</v>
      </c>
      <c r="L131" s="119">
        <f t="shared" si="27"/>
        <v>361300</v>
      </c>
      <c r="M131" s="119">
        <f t="shared" si="27"/>
        <v>0</v>
      </c>
      <c r="N131" s="119">
        <f t="shared" si="27"/>
        <v>92600</v>
      </c>
      <c r="O131" s="119">
        <f t="shared" si="27"/>
        <v>23100</v>
      </c>
      <c r="P131" s="119">
        <f t="shared" si="27"/>
        <v>0</v>
      </c>
      <c r="Q131" s="119">
        <f t="shared" si="27"/>
        <v>0</v>
      </c>
      <c r="R131" s="119">
        <f t="shared" si="27"/>
        <v>0</v>
      </c>
      <c r="S131" s="119">
        <f t="shared" si="27"/>
        <v>0</v>
      </c>
      <c r="T131" s="119">
        <f t="shared" si="27"/>
        <v>0</v>
      </c>
      <c r="U131" s="119">
        <f t="shared" si="27"/>
        <v>446395</v>
      </c>
      <c r="V131" s="119">
        <f t="shared" si="27"/>
        <v>0</v>
      </c>
      <c r="W131" s="303">
        <f t="shared" si="27"/>
        <v>805453</v>
      </c>
      <c r="X131" s="304">
        <f t="shared" si="27"/>
        <v>3689600</v>
      </c>
      <c r="AA131" s="218">
        <f>AA16</f>
        <v>3212600</v>
      </c>
      <c r="AB131" s="218">
        <f>AB16</f>
        <v>477000</v>
      </c>
      <c r="AC131" s="218">
        <f>AC16</f>
        <v>3689600</v>
      </c>
    </row>
    <row r="132" spans="1:29" x14ac:dyDescent="0.25">
      <c r="C132" s="112" t="s">
        <v>151</v>
      </c>
      <c r="D132" s="113"/>
      <c r="E132" s="113"/>
      <c r="G132" s="119">
        <f t="shared" ref="G132:X132" si="28">SUM(G28:G41)</f>
        <v>34229335</v>
      </c>
      <c r="H132" s="119">
        <f t="shared" si="28"/>
        <v>447400</v>
      </c>
      <c r="I132" s="119">
        <f t="shared" si="28"/>
        <v>200600</v>
      </c>
      <c r="J132" s="119">
        <f t="shared" si="28"/>
        <v>272300</v>
      </c>
      <c r="K132" s="119">
        <f t="shared" si="28"/>
        <v>379200</v>
      </c>
      <c r="L132" s="119">
        <f t="shared" si="28"/>
        <v>6000</v>
      </c>
      <c r="M132" s="119">
        <f t="shared" si="28"/>
        <v>0</v>
      </c>
      <c r="N132" s="119">
        <f t="shared" si="28"/>
        <v>0</v>
      </c>
      <c r="O132" s="119">
        <f t="shared" si="28"/>
        <v>0</v>
      </c>
      <c r="P132" s="119">
        <f t="shared" si="28"/>
        <v>0</v>
      </c>
      <c r="Q132" s="119">
        <f t="shared" si="28"/>
        <v>1070741</v>
      </c>
      <c r="R132" s="119">
        <f t="shared" si="28"/>
        <v>2717425</v>
      </c>
      <c r="S132" s="119">
        <f t="shared" si="28"/>
        <v>0</v>
      </c>
      <c r="T132" s="119">
        <f t="shared" si="28"/>
        <v>27963015</v>
      </c>
      <c r="U132" s="119">
        <f t="shared" si="28"/>
        <v>0</v>
      </c>
      <c r="V132" s="119">
        <f t="shared" si="28"/>
        <v>0</v>
      </c>
      <c r="W132" s="303">
        <f t="shared" si="28"/>
        <v>93779</v>
      </c>
      <c r="X132" s="304">
        <f t="shared" si="28"/>
        <v>1305500</v>
      </c>
      <c r="AA132" s="218">
        <f>AA28</f>
        <v>1299500</v>
      </c>
      <c r="AB132" s="218">
        <f>AB28</f>
        <v>6000</v>
      </c>
      <c r="AC132" s="218">
        <f>AC28</f>
        <v>1305500</v>
      </c>
    </row>
    <row r="133" spans="1:29" x14ac:dyDescent="0.25">
      <c r="C133" s="112" t="s">
        <v>152</v>
      </c>
      <c r="D133" s="113"/>
      <c r="E133" s="113"/>
      <c r="G133" s="119">
        <f t="shared" ref="G133:X133" si="29">SUM(G42:G69)</f>
        <v>1953845</v>
      </c>
      <c r="H133" s="119">
        <f t="shared" si="29"/>
        <v>10000</v>
      </c>
      <c r="I133" s="119">
        <f t="shared" si="29"/>
        <v>1383994</v>
      </c>
      <c r="J133" s="119">
        <f t="shared" si="29"/>
        <v>0</v>
      </c>
      <c r="K133" s="119">
        <f t="shared" si="29"/>
        <v>1232955</v>
      </c>
      <c r="L133" s="119">
        <f t="shared" si="29"/>
        <v>0</v>
      </c>
      <c r="M133" s="119">
        <f t="shared" si="29"/>
        <v>0</v>
      </c>
      <c r="N133" s="119">
        <f t="shared" si="29"/>
        <v>0</v>
      </c>
      <c r="O133" s="119">
        <f t="shared" si="29"/>
        <v>0</v>
      </c>
      <c r="P133" s="119">
        <f t="shared" si="29"/>
        <v>3555144</v>
      </c>
      <c r="Q133" s="119">
        <f t="shared" si="29"/>
        <v>757869</v>
      </c>
      <c r="R133" s="119">
        <f t="shared" si="29"/>
        <v>1631915</v>
      </c>
      <c r="S133" s="119">
        <f t="shared" si="29"/>
        <v>232218475</v>
      </c>
      <c r="T133" s="119">
        <f t="shared" si="29"/>
        <v>345057495</v>
      </c>
      <c r="U133" s="119">
        <f t="shared" si="29"/>
        <v>0</v>
      </c>
      <c r="V133" s="119">
        <f t="shared" si="29"/>
        <v>0</v>
      </c>
      <c r="W133" s="303">
        <f t="shared" si="29"/>
        <v>5353</v>
      </c>
      <c r="X133" s="304">
        <f t="shared" si="29"/>
        <v>2626949</v>
      </c>
      <c r="AA133" s="218">
        <f>AA42</f>
        <v>2608314</v>
      </c>
      <c r="AB133" s="218">
        <f>AB42</f>
        <v>0</v>
      </c>
      <c r="AC133" s="218">
        <f>AC42</f>
        <v>2608314</v>
      </c>
    </row>
    <row r="134" spans="1:29" x14ac:dyDescent="0.25">
      <c r="C134" s="112" t="s">
        <v>153</v>
      </c>
      <c r="D134" s="113"/>
      <c r="E134" s="113"/>
      <c r="G134" s="119">
        <f t="shared" ref="G134:X134" si="30">SUM(G70:G93)</f>
        <v>72635</v>
      </c>
      <c r="H134" s="119">
        <f t="shared" si="30"/>
        <v>0</v>
      </c>
      <c r="I134" s="119">
        <f t="shared" si="30"/>
        <v>364504</v>
      </c>
      <c r="J134" s="119">
        <f t="shared" si="30"/>
        <v>0</v>
      </c>
      <c r="K134" s="119">
        <f t="shared" si="30"/>
        <v>350404</v>
      </c>
      <c r="L134" s="119">
        <f t="shared" si="30"/>
        <v>0</v>
      </c>
      <c r="M134" s="119">
        <f t="shared" si="30"/>
        <v>0</v>
      </c>
      <c r="N134" s="119">
        <f t="shared" si="30"/>
        <v>0</v>
      </c>
      <c r="O134" s="119">
        <f t="shared" si="30"/>
        <v>0</v>
      </c>
      <c r="P134" s="119">
        <f t="shared" si="30"/>
        <v>1488105</v>
      </c>
      <c r="Q134" s="119">
        <f t="shared" si="30"/>
        <v>0</v>
      </c>
      <c r="R134" s="119">
        <f t="shared" si="30"/>
        <v>0</v>
      </c>
      <c r="S134" s="119">
        <f t="shared" si="30"/>
        <v>59423825</v>
      </c>
      <c r="T134" s="119">
        <f t="shared" si="30"/>
        <v>87282815</v>
      </c>
      <c r="U134" s="119">
        <f t="shared" si="30"/>
        <v>0</v>
      </c>
      <c r="V134" s="119">
        <f t="shared" si="30"/>
        <v>0</v>
      </c>
      <c r="W134" s="303">
        <f t="shared" si="30"/>
        <v>199</v>
      </c>
      <c r="X134" s="304">
        <f t="shared" si="30"/>
        <v>714908</v>
      </c>
      <c r="AA134" s="218">
        <f>AA70</f>
        <v>714908</v>
      </c>
      <c r="AB134" s="218">
        <f>AB70</f>
        <v>0</v>
      </c>
      <c r="AC134" s="218">
        <f>AC70</f>
        <v>714908</v>
      </c>
    </row>
    <row r="135" spans="1:29" x14ac:dyDescent="0.25">
      <c r="C135" s="112" t="s">
        <v>154</v>
      </c>
      <c r="D135" s="113"/>
      <c r="E135" s="113"/>
      <c r="G135" s="119">
        <f t="shared" ref="G135:X135" si="31">SUM(G94:G129)</f>
        <v>10220</v>
      </c>
      <c r="H135" s="119">
        <f t="shared" si="31"/>
        <v>1181592</v>
      </c>
      <c r="I135" s="119">
        <f t="shared" si="31"/>
        <v>0</v>
      </c>
      <c r="J135" s="119">
        <f t="shared" si="31"/>
        <v>0</v>
      </c>
      <c r="K135" s="119">
        <f t="shared" si="31"/>
        <v>0</v>
      </c>
      <c r="L135" s="119">
        <f t="shared" si="31"/>
        <v>0</v>
      </c>
      <c r="M135" s="119">
        <f t="shared" si="31"/>
        <v>0</v>
      </c>
      <c r="N135" s="119">
        <f t="shared" si="31"/>
        <v>0</v>
      </c>
      <c r="O135" s="119">
        <f t="shared" si="31"/>
        <v>0</v>
      </c>
      <c r="P135" s="119">
        <f t="shared" si="31"/>
        <v>0</v>
      </c>
      <c r="Q135" s="119">
        <f t="shared" si="31"/>
        <v>0</v>
      </c>
      <c r="R135" s="119">
        <f t="shared" si="31"/>
        <v>0</v>
      </c>
      <c r="S135" s="119">
        <f t="shared" si="31"/>
        <v>82932745</v>
      </c>
      <c r="T135" s="119">
        <f t="shared" si="31"/>
        <v>125423125</v>
      </c>
      <c r="U135" s="119">
        <f t="shared" si="31"/>
        <v>0</v>
      </c>
      <c r="V135" s="119">
        <f t="shared" si="31"/>
        <v>0</v>
      </c>
      <c r="W135" s="303">
        <f t="shared" si="31"/>
        <v>28</v>
      </c>
      <c r="X135" s="304">
        <f t="shared" si="31"/>
        <v>1181592</v>
      </c>
      <c r="AA135" s="218">
        <f>AA94</f>
        <v>1181592</v>
      </c>
      <c r="AB135" s="218">
        <f>AB94</f>
        <v>0</v>
      </c>
      <c r="AC135" s="218">
        <f>AC94</f>
        <v>1181592</v>
      </c>
    </row>
    <row r="136" spans="1:29" s="36" customFormat="1" ht="15.75" thickBot="1" x14ac:dyDescent="0.3">
      <c r="C136" s="114" t="s">
        <v>155</v>
      </c>
      <c r="D136" s="115"/>
      <c r="E136" s="115"/>
      <c r="G136" s="120">
        <f t="shared" ref="G136:V136" si="32">SUM(G131:G135)</f>
        <v>330256380</v>
      </c>
      <c r="H136" s="120">
        <f t="shared" si="32"/>
        <v>4039092</v>
      </c>
      <c r="I136" s="120">
        <f t="shared" si="32"/>
        <v>2519283.7000000002</v>
      </c>
      <c r="J136" s="120">
        <f t="shared" si="32"/>
        <v>387476.85</v>
      </c>
      <c r="K136" s="120">
        <f t="shared" si="32"/>
        <v>2089696.45</v>
      </c>
      <c r="L136" s="120">
        <f t="shared" si="32"/>
        <v>367300</v>
      </c>
      <c r="M136" s="120">
        <f t="shared" si="32"/>
        <v>0</v>
      </c>
      <c r="N136" s="120">
        <f t="shared" si="32"/>
        <v>92600</v>
      </c>
      <c r="O136" s="120">
        <f t="shared" si="32"/>
        <v>23100</v>
      </c>
      <c r="P136" s="120">
        <f t="shared" si="32"/>
        <v>5043249</v>
      </c>
      <c r="Q136" s="120">
        <f t="shared" si="32"/>
        <v>1828610</v>
      </c>
      <c r="R136" s="120">
        <f t="shared" si="32"/>
        <v>4349340</v>
      </c>
      <c r="S136" s="120">
        <f t="shared" si="32"/>
        <v>374575045</v>
      </c>
      <c r="T136" s="120">
        <f t="shared" si="32"/>
        <v>585726450</v>
      </c>
      <c r="U136" s="120">
        <f t="shared" si="32"/>
        <v>446395</v>
      </c>
      <c r="V136" s="120">
        <f t="shared" si="32"/>
        <v>0</v>
      </c>
      <c r="W136" s="307">
        <f>SUM(W131:W135)</f>
        <v>904812</v>
      </c>
      <c r="X136" s="308">
        <f>SUM(X131:X135)</f>
        <v>9518549</v>
      </c>
      <c r="AA136" s="221">
        <f>SUM(AA131:AA135)</f>
        <v>9016914</v>
      </c>
      <c r="AB136" s="221">
        <f>SUM(AB131:AB135)</f>
        <v>483000</v>
      </c>
      <c r="AC136" s="221">
        <f>SUM(AC131:AC135)</f>
        <v>9499914</v>
      </c>
    </row>
    <row r="137" spans="1:29" x14ac:dyDescent="0.25">
      <c r="C137" s="111"/>
      <c r="D137" s="111"/>
      <c r="K137" s="116"/>
      <c r="L137" s="116"/>
      <c r="M137" s="116"/>
      <c r="N137" s="116"/>
      <c r="O137" s="116"/>
      <c r="P137" s="116"/>
      <c r="Q137" s="116"/>
      <c r="R137" s="116"/>
      <c r="S137" s="116"/>
      <c r="T137" s="116"/>
      <c r="U137" s="116"/>
      <c r="V137" s="116"/>
      <c r="W137" s="116"/>
      <c r="X137" s="116"/>
    </row>
    <row r="138" spans="1:29" x14ac:dyDescent="0.25">
      <c r="C138" s="111"/>
      <c r="D138" s="111"/>
      <c r="J138" s="117">
        <f>J136-'[17]Billing Qty 2021 NEW Format'!J132</f>
        <v>50476.849999999977</v>
      </c>
      <c r="K138" s="117">
        <f>K136-'[17]Billing Qty 2021 NEW Format'!K132</f>
        <v>-82303.550000000047</v>
      </c>
      <c r="L138" s="117">
        <f>L136-'[17]Billing Qty 2021 NEW Format'!L132</f>
        <v>-300</v>
      </c>
      <c r="M138" s="117">
        <f>M136-'[17]Billing Qty 2021 NEW Format'!M132</f>
        <v>0</v>
      </c>
      <c r="N138" s="117">
        <f>N136-'[17]Billing Qty 2021 NEW Format'!N132</f>
        <v>5100</v>
      </c>
      <c r="O138" s="117">
        <f>O136-'[17]Billing Qty 2021 NEW Format'!O132</f>
        <v>1200</v>
      </c>
      <c r="P138" s="117">
        <f>P136-'[17]Billing Qty 2021 NEW Format'!P132</f>
        <v>735521</v>
      </c>
      <c r="Q138" s="117">
        <f>Q136-'[17]Billing Qty 2021 NEW Format'!Q132</f>
        <v>-5829053</v>
      </c>
      <c r="R138" s="117">
        <f>R136-'[17]Billing Qty 2021 NEW Format'!R132</f>
        <v>-13499160</v>
      </c>
      <c r="S138" s="117">
        <f>S136-'[17]Billing Qty 2021 NEW Format'!S132</f>
        <v>-17476006.185000002</v>
      </c>
      <c r="T138" s="117">
        <f>T136-'[17]Billing Qty 2021 NEW Format'!T132</f>
        <v>-1965356.0049999952</v>
      </c>
      <c r="U138" s="117">
        <f>U136-'[17]Billing Qty 2021 NEW Format'!U132</f>
        <v>-1305605</v>
      </c>
      <c r="V138" s="117">
        <f>V136-'[17]Billing Qty 2021 NEW Format'!V132</f>
        <v>0</v>
      </c>
      <c r="W138" s="116"/>
    </row>
    <row r="139" spans="1:29" x14ac:dyDescent="0.25">
      <c r="C139" s="111"/>
      <c r="D139" s="111"/>
      <c r="J139" s="116"/>
      <c r="K139" s="116"/>
      <c r="L139" s="116"/>
      <c r="M139" s="116"/>
      <c r="N139" s="116"/>
      <c r="O139" s="116"/>
      <c r="P139" s="116"/>
      <c r="Q139" s="116"/>
      <c r="R139" s="116"/>
      <c r="S139" s="116"/>
      <c r="T139" s="116"/>
      <c r="U139" s="116"/>
      <c r="W139" s="116"/>
    </row>
    <row r="140" spans="1:29" x14ac:dyDescent="0.25">
      <c r="J140" s="116"/>
      <c r="K140" s="116"/>
      <c r="L140" s="116"/>
      <c r="M140" s="116"/>
      <c r="N140" s="116"/>
      <c r="O140" s="116"/>
      <c r="P140" s="116"/>
      <c r="Q140" s="116"/>
      <c r="R140" s="116"/>
      <c r="S140" s="116"/>
      <c r="T140" s="116"/>
      <c r="U140" s="116"/>
      <c r="W140" s="116"/>
    </row>
    <row r="141" spans="1:29" x14ac:dyDescent="0.25">
      <c r="J141" s="116"/>
      <c r="K141" s="116"/>
      <c r="L141" s="116"/>
      <c r="M141" s="116"/>
      <c r="N141" s="116"/>
      <c r="O141" s="116"/>
      <c r="P141" s="116"/>
      <c r="Q141" s="116"/>
      <c r="R141" s="116"/>
      <c r="S141" s="116"/>
      <c r="T141" s="116"/>
      <c r="U141" s="116"/>
      <c r="W141" s="116"/>
    </row>
    <row r="142" spans="1:29" x14ac:dyDescent="0.25">
      <c r="E142" s="222" t="s">
        <v>545</v>
      </c>
      <c r="F142" s="222"/>
      <c r="G142" s="223"/>
      <c r="H142" s="223" t="s">
        <v>157</v>
      </c>
      <c r="I142" s="223" t="s">
        <v>155</v>
      </c>
      <c r="J142" s="116"/>
      <c r="K142" s="116"/>
      <c r="L142" s="116"/>
      <c r="M142" s="116"/>
      <c r="N142" s="116"/>
      <c r="O142" s="116"/>
      <c r="P142" s="116"/>
      <c r="Q142" s="116"/>
      <c r="R142" s="116"/>
      <c r="S142" s="116"/>
      <c r="T142" s="116"/>
      <c r="U142" s="116"/>
      <c r="W142" s="116"/>
    </row>
    <row r="143" spans="1:29" x14ac:dyDescent="0.25">
      <c r="E143" s="224"/>
      <c r="F143" s="224"/>
      <c r="G143" s="224"/>
      <c r="H143" s="224"/>
      <c r="I143" s="224"/>
      <c r="J143" s="116"/>
      <c r="K143" s="116"/>
      <c r="L143" s="116"/>
      <c r="M143" s="116"/>
      <c r="N143" s="116"/>
      <c r="O143" s="116"/>
      <c r="P143" s="116"/>
      <c r="Q143" s="116"/>
      <c r="R143" s="116"/>
      <c r="S143" s="116"/>
      <c r="T143" s="116"/>
      <c r="U143" s="116"/>
      <c r="W143" s="116"/>
    </row>
    <row r="144" spans="1:29" x14ac:dyDescent="0.25">
      <c r="E144" s="224" t="s">
        <v>45</v>
      </c>
      <c r="F144" s="224"/>
      <c r="G144" s="225"/>
      <c r="H144" s="225">
        <f>SUM(H18:K19)</f>
        <v>2400100</v>
      </c>
      <c r="I144" s="225">
        <f>SUM(G144:H144)</f>
        <v>2400100</v>
      </c>
      <c r="J144" s="116"/>
      <c r="K144" s="116"/>
      <c r="L144" s="116"/>
      <c r="M144" s="116"/>
      <c r="N144" s="116"/>
      <c r="O144" s="116"/>
      <c r="P144" s="116"/>
      <c r="Q144" s="116"/>
      <c r="R144" s="116"/>
      <c r="S144" s="116"/>
      <c r="T144" s="116"/>
      <c r="U144" s="116"/>
      <c r="W144" s="116"/>
    </row>
    <row r="145" spans="5:23" x14ac:dyDescent="0.25">
      <c r="E145" s="224" t="s">
        <v>158</v>
      </c>
      <c r="F145" s="224"/>
      <c r="G145" s="225"/>
      <c r="H145" s="225">
        <f>SUM(H22:K23)</f>
        <v>810200</v>
      </c>
      <c r="I145" s="225">
        <f t="shared" ref="I145:I164" si="33">SUM(G145:H145)</f>
        <v>810200</v>
      </c>
      <c r="J145" s="116"/>
      <c r="K145" s="116"/>
      <c r="L145" s="116"/>
      <c r="M145" s="116"/>
      <c r="N145" s="116"/>
      <c r="O145" s="116"/>
      <c r="P145" s="116"/>
      <c r="Q145" s="116"/>
      <c r="R145" s="116"/>
      <c r="S145" s="116"/>
      <c r="T145" s="116"/>
      <c r="U145" s="116"/>
      <c r="W145" s="116"/>
    </row>
    <row r="146" spans="5:23" x14ac:dyDescent="0.25">
      <c r="E146" s="224" t="s">
        <v>54</v>
      </c>
      <c r="F146" s="224"/>
      <c r="G146" s="225"/>
      <c r="H146" s="225">
        <f>SUM(H24:K25)</f>
        <v>1150</v>
      </c>
      <c r="I146" s="225">
        <f t="shared" si="33"/>
        <v>1150</v>
      </c>
      <c r="J146" s="116"/>
      <c r="K146" s="116"/>
      <c r="L146" s="116"/>
      <c r="M146" s="116"/>
      <c r="N146" s="116"/>
      <c r="O146" s="116"/>
      <c r="P146" s="116"/>
      <c r="Q146" s="116"/>
      <c r="R146" s="116"/>
      <c r="S146" s="116"/>
      <c r="T146" s="116"/>
      <c r="U146" s="116"/>
      <c r="W146" s="116"/>
    </row>
    <row r="147" spans="5:23" x14ac:dyDescent="0.25">
      <c r="E147" s="224" t="s">
        <v>704</v>
      </c>
      <c r="F147" s="224"/>
      <c r="G147" s="225"/>
      <c r="H147" s="225">
        <f>SUM(H26:K27)</f>
        <v>1150</v>
      </c>
      <c r="I147" s="225">
        <f>SUM(G147:H147)</f>
        <v>1150</v>
      </c>
      <c r="J147" s="116"/>
      <c r="K147" s="116"/>
      <c r="L147" s="116"/>
      <c r="M147" s="116"/>
      <c r="N147" s="116"/>
      <c r="O147" s="116"/>
      <c r="P147" s="116"/>
      <c r="Q147" s="116"/>
      <c r="R147" s="116"/>
      <c r="S147" s="116"/>
      <c r="T147" s="116"/>
      <c r="U147" s="116"/>
      <c r="W147" s="116"/>
    </row>
    <row r="148" spans="5:23" x14ac:dyDescent="0.25">
      <c r="E148" s="224" t="s">
        <v>159</v>
      </c>
      <c r="F148" s="224"/>
      <c r="G148" s="225"/>
      <c r="H148" s="225">
        <f>SUM(L16:L129)</f>
        <v>367300</v>
      </c>
      <c r="I148" s="225">
        <f t="shared" si="33"/>
        <v>367300</v>
      </c>
      <c r="J148" s="116"/>
      <c r="K148" s="116"/>
      <c r="L148" s="116"/>
      <c r="M148" s="116"/>
      <c r="N148" s="116"/>
      <c r="O148" s="116"/>
      <c r="P148" s="116"/>
      <c r="Q148" s="116"/>
      <c r="R148" s="116"/>
      <c r="S148" s="116"/>
      <c r="T148" s="116"/>
      <c r="U148" s="116"/>
      <c r="W148" s="116"/>
    </row>
    <row r="149" spans="5:23" x14ac:dyDescent="0.25">
      <c r="E149" s="224" t="s">
        <v>160</v>
      </c>
      <c r="F149" s="224"/>
      <c r="G149" s="225"/>
      <c r="H149" s="225">
        <f>SUM(M16:O129)</f>
        <v>115700</v>
      </c>
      <c r="I149" s="225">
        <f t="shared" si="33"/>
        <v>115700</v>
      </c>
      <c r="J149" s="116"/>
      <c r="K149" s="116"/>
      <c r="L149" s="116"/>
      <c r="M149" s="116"/>
      <c r="N149" s="116"/>
      <c r="O149" s="116"/>
      <c r="P149" s="116"/>
      <c r="Q149" s="116"/>
      <c r="R149" s="116"/>
      <c r="S149" s="116"/>
      <c r="T149" s="116"/>
      <c r="U149" s="116"/>
      <c r="W149" s="116"/>
    </row>
    <row r="150" spans="5:23" x14ac:dyDescent="0.25">
      <c r="E150" s="224" t="s">
        <v>161</v>
      </c>
      <c r="F150" s="224"/>
      <c r="G150" s="225"/>
      <c r="H150" s="225">
        <f>SUM(H30:K31)</f>
        <v>108000</v>
      </c>
      <c r="I150" s="225">
        <f t="shared" si="33"/>
        <v>108000</v>
      </c>
      <c r="J150" s="116"/>
      <c r="K150" s="116"/>
      <c r="L150" s="116"/>
      <c r="M150" s="116"/>
      <c r="N150" s="116"/>
      <c r="O150" s="116"/>
      <c r="P150" s="116"/>
      <c r="Q150" s="116"/>
      <c r="R150" s="116"/>
      <c r="S150" s="116"/>
      <c r="T150" s="116"/>
      <c r="U150" s="116"/>
      <c r="W150" s="116"/>
    </row>
    <row r="151" spans="5:23" x14ac:dyDescent="0.25">
      <c r="E151" s="224" t="s">
        <v>162</v>
      </c>
      <c r="F151" s="224"/>
      <c r="G151" s="225"/>
      <c r="H151" s="225">
        <f>SUM(H33:K37,H44:K47)</f>
        <v>632900</v>
      </c>
      <c r="I151" s="225">
        <f t="shared" si="33"/>
        <v>632900</v>
      </c>
      <c r="J151" s="116"/>
      <c r="K151" s="116"/>
      <c r="L151" s="116"/>
      <c r="M151" s="116"/>
      <c r="N151" s="116"/>
      <c r="O151" s="116"/>
      <c r="P151" s="116"/>
      <c r="Q151" s="116"/>
      <c r="R151" s="116"/>
      <c r="S151" s="116"/>
      <c r="T151" s="116"/>
      <c r="U151" s="116"/>
      <c r="W151" s="116"/>
    </row>
    <row r="152" spans="5:23" x14ac:dyDescent="0.25">
      <c r="E152" s="224" t="s">
        <v>163</v>
      </c>
      <c r="F152" s="224"/>
      <c r="G152" s="225"/>
      <c r="H152" s="225">
        <f>SUM(H39:K39)</f>
        <v>468300</v>
      </c>
      <c r="I152" s="225">
        <f t="shared" si="33"/>
        <v>468300</v>
      </c>
      <c r="J152" s="116"/>
      <c r="K152" s="116"/>
      <c r="L152" s="116"/>
      <c r="M152" s="116"/>
      <c r="N152" s="116"/>
      <c r="O152" s="116"/>
      <c r="P152" s="116"/>
      <c r="Q152" s="116"/>
      <c r="R152" s="116"/>
      <c r="S152" s="116"/>
      <c r="T152" s="116"/>
      <c r="U152" s="116"/>
      <c r="W152" s="116"/>
    </row>
    <row r="153" spans="5:23" x14ac:dyDescent="0.25">
      <c r="E153" s="224" t="s">
        <v>164</v>
      </c>
      <c r="F153" s="224"/>
      <c r="G153" s="225"/>
      <c r="H153" s="225">
        <f>SUM(H40:K40)</f>
        <v>73100</v>
      </c>
      <c r="I153" s="225">
        <f t="shared" si="33"/>
        <v>73100</v>
      </c>
      <c r="J153" s="116"/>
      <c r="K153" s="116"/>
      <c r="L153" s="116"/>
      <c r="M153" s="116"/>
      <c r="N153" s="116"/>
      <c r="O153" s="116"/>
      <c r="P153" s="116"/>
      <c r="Q153" s="116"/>
      <c r="R153" s="116"/>
      <c r="S153" s="116"/>
      <c r="T153" s="116"/>
      <c r="U153" s="116"/>
      <c r="W153" s="116"/>
    </row>
    <row r="154" spans="5:23" x14ac:dyDescent="0.25">
      <c r="E154" s="224" t="s">
        <v>165</v>
      </c>
      <c r="F154" s="224"/>
      <c r="G154" s="225"/>
      <c r="H154" s="225">
        <f>SUM(H41:K41)</f>
        <v>17200</v>
      </c>
      <c r="I154" s="225">
        <f t="shared" si="33"/>
        <v>17200</v>
      </c>
      <c r="J154" s="116"/>
      <c r="K154" s="116"/>
      <c r="L154" s="116"/>
      <c r="M154" s="116"/>
      <c r="N154" s="116"/>
      <c r="O154" s="116"/>
      <c r="P154" s="116"/>
      <c r="Q154" s="116"/>
      <c r="R154" s="116"/>
      <c r="S154" s="116"/>
      <c r="T154" s="116"/>
      <c r="U154" s="116"/>
      <c r="W154" s="116"/>
    </row>
    <row r="155" spans="5:23" x14ac:dyDescent="0.25">
      <c r="E155" s="224" t="s">
        <v>166</v>
      </c>
      <c r="F155" s="224"/>
      <c r="G155" s="225"/>
      <c r="H155" s="225">
        <f>SUM(H49:K49,H55:K68)</f>
        <v>2488249</v>
      </c>
      <c r="I155" s="225">
        <f t="shared" si="33"/>
        <v>2488249</v>
      </c>
      <c r="J155" s="116"/>
      <c r="K155" s="116"/>
      <c r="L155" s="116"/>
      <c r="M155" s="116"/>
      <c r="N155" s="116"/>
      <c r="O155" s="116"/>
      <c r="P155" s="116"/>
      <c r="Q155" s="116"/>
      <c r="R155" s="116"/>
      <c r="S155" s="116"/>
      <c r="T155" s="116"/>
      <c r="U155" s="116"/>
      <c r="W155" s="116"/>
    </row>
    <row r="156" spans="5:23" x14ac:dyDescent="0.25">
      <c r="E156" s="224" t="s">
        <v>167</v>
      </c>
      <c r="F156" s="224"/>
      <c r="G156" s="225"/>
      <c r="H156" s="225">
        <f>SUM(H50:K51,H69:K69)</f>
        <v>127400</v>
      </c>
      <c r="I156" s="225">
        <f t="shared" si="33"/>
        <v>127400</v>
      </c>
      <c r="J156" s="116"/>
      <c r="K156" s="116"/>
      <c r="L156" s="116"/>
      <c r="M156" s="116"/>
      <c r="N156" s="116"/>
      <c r="O156" s="116"/>
      <c r="P156" s="116"/>
      <c r="Q156" s="116"/>
      <c r="R156" s="116"/>
      <c r="S156" s="116"/>
      <c r="T156" s="116"/>
      <c r="U156" s="116"/>
      <c r="W156" s="116"/>
    </row>
    <row r="157" spans="5:23" x14ac:dyDescent="0.25">
      <c r="E157" s="224" t="s">
        <v>168</v>
      </c>
      <c r="F157" s="224"/>
      <c r="G157" s="225"/>
      <c r="H157" s="225">
        <f>SUM(H52:K53)</f>
        <v>11300</v>
      </c>
      <c r="I157" s="225">
        <f t="shared" si="33"/>
        <v>11300</v>
      </c>
      <c r="J157" s="116"/>
      <c r="K157" s="116"/>
      <c r="L157" s="116"/>
      <c r="M157" s="116"/>
      <c r="N157" s="116"/>
      <c r="O157" s="116"/>
      <c r="P157" s="116"/>
      <c r="Q157" s="116"/>
      <c r="R157" s="116"/>
      <c r="S157" s="116"/>
      <c r="T157" s="116"/>
      <c r="U157" s="116"/>
      <c r="W157" s="116"/>
    </row>
    <row r="158" spans="5:23" x14ac:dyDescent="0.25">
      <c r="E158" s="224" t="s">
        <v>169</v>
      </c>
      <c r="F158" s="224"/>
      <c r="G158" s="225"/>
      <c r="H158" s="225">
        <f>SUM(H72:K72,H76:K76,H79:K87)</f>
        <v>661308</v>
      </c>
      <c r="I158" s="225">
        <f t="shared" si="33"/>
        <v>661308</v>
      </c>
      <c r="J158" s="116"/>
      <c r="K158" s="116"/>
      <c r="L158" s="116"/>
      <c r="M158" s="116"/>
      <c r="N158" s="116"/>
      <c r="O158" s="116"/>
      <c r="P158" s="116"/>
      <c r="Q158" s="116"/>
      <c r="R158" s="116"/>
      <c r="S158" s="116"/>
      <c r="T158" s="116"/>
      <c r="U158" s="116"/>
      <c r="W158" s="116"/>
    </row>
    <row r="159" spans="5:23" x14ac:dyDescent="0.25">
      <c r="E159" s="224" t="s">
        <v>170</v>
      </c>
      <c r="F159" s="224"/>
      <c r="G159" s="225"/>
      <c r="H159" s="225">
        <f>SUM(H73:K74)</f>
        <v>50900</v>
      </c>
      <c r="I159" s="225">
        <f t="shared" si="33"/>
        <v>50900</v>
      </c>
      <c r="J159" s="116"/>
      <c r="K159" s="116"/>
      <c r="L159" s="116"/>
      <c r="M159" s="116"/>
      <c r="N159" s="116"/>
      <c r="O159" s="116"/>
      <c r="P159" s="116"/>
      <c r="Q159" s="116"/>
      <c r="R159" s="116"/>
      <c r="S159" s="116"/>
      <c r="T159" s="116"/>
      <c r="U159" s="116"/>
      <c r="W159" s="116"/>
    </row>
    <row r="160" spans="5:23" x14ac:dyDescent="0.25">
      <c r="E160" s="224" t="s">
        <v>171</v>
      </c>
      <c r="F160" s="224"/>
      <c r="G160" s="225"/>
      <c r="H160" s="225">
        <f>SUM(H75:K75,H77:K77)</f>
        <v>2700</v>
      </c>
      <c r="I160" s="225">
        <f t="shared" si="33"/>
        <v>2700</v>
      </c>
      <c r="J160" s="116"/>
      <c r="K160" s="116"/>
      <c r="L160" s="116"/>
      <c r="M160" s="116"/>
      <c r="N160" s="116"/>
      <c r="O160" s="116"/>
      <c r="P160" s="116"/>
      <c r="Q160" s="116"/>
      <c r="R160" s="116"/>
      <c r="S160" s="116"/>
      <c r="T160" s="116"/>
      <c r="U160" s="116"/>
      <c r="W160" s="116"/>
    </row>
    <row r="161" spans="3:23" x14ac:dyDescent="0.25">
      <c r="C161" s="111"/>
      <c r="D161" s="111"/>
      <c r="E161" s="224" t="s">
        <v>172</v>
      </c>
      <c r="F161" s="224"/>
      <c r="G161" s="225"/>
      <c r="H161" s="225">
        <f>SUM(H96:K103)</f>
        <v>117442</v>
      </c>
      <c r="I161" s="225">
        <f t="shared" si="33"/>
        <v>117442</v>
      </c>
      <c r="J161" s="116"/>
      <c r="K161" s="116"/>
      <c r="L161" s="116"/>
      <c r="M161" s="116"/>
      <c r="N161" s="116"/>
      <c r="O161" s="116"/>
      <c r="P161" s="116"/>
      <c r="Q161" s="116"/>
      <c r="R161" s="116"/>
      <c r="S161" s="116"/>
      <c r="T161" s="116"/>
      <c r="U161" s="116"/>
      <c r="W161" s="116"/>
    </row>
    <row r="162" spans="3:23" x14ac:dyDescent="0.25">
      <c r="C162" s="111"/>
      <c r="D162" s="111"/>
      <c r="E162" s="224" t="s">
        <v>173</v>
      </c>
      <c r="F162" s="224"/>
      <c r="G162" s="225"/>
      <c r="H162" s="225">
        <f>SUM(H105:K114)</f>
        <v>398170</v>
      </c>
      <c r="I162" s="225">
        <f t="shared" si="33"/>
        <v>398170</v>
      </c>
      <c r="J162" s="116"/>
      <c r="K162" s="116"/>
      <c r="L162" s="116"/>
      <c r="M162" s="116"/>
      <c r="N162" s="116"/>
      <c r="O162" s="116"/>
      <c r="P162" s="116"/>
      <c r="Q162" s="116"/>
      <c r="R162" s="116"/>
      <c r="S162" s="116"/>
      <c r="T162" s="116"/>
      <c r="U162" s="116"/>
      <c r="W162" s="116"/>
    </row>
    <row r="163" spans="3:23" x14ac:dyDescent="0.25">
      <c r="C163" s="111"/>
      <c r="D163" s="111"/>
      <c r="E163" s="224" t="s">
        <v>174</v>
      </c>
      <c r="F163" s="224"/>
      <c r="G163" s="225"/>
      <c r="H163" s="225">
        <f>SUM(H116:K119)</f>
        <v>17880</v>
      </c>
      <c r="I163" s="225">
        <f t="shared" si="33"/>
        <v>17880</v>
      </c>
      <c r="J163" s="116"/>
      <c r="K163" s="116"/>
      <c r="L163" s="116"/>
      <c r="M163" s="116"/>
      <c r="N163" s="116"/>
      <c r="O163" s="116"/>
      <c r="P163" s="116"/>
      <c r="Q163" s="116"/>
      <c r="R163" s="116"/>
      <c r="S163" s="116"/>
      <c r="T163" s="116"/>
      <c r="U163" s="116"/>
      <c r="W163" s="116"/>
    </row>
    <row r="164" spans="3:23" x14ac:dyDescent="0.25">
      <c r="E164" s="224" t="s">
        <v>175</v>
      </c>
      <c r="F164" s="224"/>
      <c r="G164" s="225"/>
      <c r="H164" s="225">
        <f>SUM(H121:K129)</f>
        <v>648100</v>
      </c>
      <c r="I164" s="225">
        <f t="shared" si="33"/>
        <v>648100</v>
      </c>
    </row>
    <row r="165" spans="3:23" ht="15.75" thickBot="1" x14ac:dyDescent="0.3">
      <c r="E165" s="224"/>
      <c r="F165" s="224"/>
      <c r="G165" s="225"/>
      <c r="H165" s="226">
        <f>SUM(H144:H164)</f>
        <v>9518549</v>
      </c>
      <c r="I165" s="226">
        <f>SUM(I144:I164)</f>
        <v>9518549</v>
      </c>
    </row>
    <row r="166" spans="3:23" x14ac:dyDescent="0.25">
      <c r="E166" s="222" t="s">
        <v>176</v>
      </c>
      <c r="F166" s="222"/>
      <c r="G166" s="227"/>
      <c r="H166" s="227"/>
      <c r="I166" s="228">
        <f>SUM(X136)</f>
        <v>9518549</v>
      </c>
    </row>
    <row r="167" spans="3:23" x14ac:dyDescent="0.25">
      <c r="E167" s="222" t="s">
        <v>177</v>
      </c>
      <c r="F167" s="222"/>
      <c r="G167" s="228"/>
      <c r="H167" s="228"/>
      <c r="I167" s="228">
        <f>I166-I165</f>
        <v>0</v>
      </c>
    </row>
    <row r="169" spans="3:23" x14ac:dyDescent="0.25">
      <c r="E169" s="128"/>
      <c r="F169" s="128"/>
      <c r="G169" s="128"/>
      <c r="H169" s="128"/>
      <c r="I169" s="128"/>
    </row>
    <row r="170" spans="3:23" x14ac:dyDescent="0.25">
      <c r="E170"/>
      <c r="F170"/>
      <c r="G170"/>
      <c r="H170"/>
      <c r="I170"/>
    </row>
    <row r="171" spans="3:23" x14ac:dyDescent="0.25">
      <c r="E171"/>
      <c r="F171"/>
      <c r="G171"/>
      <c r="H171"/>
      <c r="I171"/>
    </row>
    <row r="172" spans="3:23" x14ac:dyDescent="0.25">
      <c r="E172"/>
      <c r="F172"/>
      <c r="G172"/>
      <c r="H172"/>
      <c r="I172"/>
    </row>
    <row r="173" spans="3:23" x14ac:dyDescent="0.25">
      <c r="E173"/>
      <c r="F173"/>
      <c r="G173"/>
      <c r="H173"/>
      <c r="I173"/>
    </row>
    <row r="174" spans="3:23" x14ac:dyDescent="0.25">
      <c r="E174"/>
      <c r="F174"/>
      <c r="G174"/>
      <c r="H174"/>
      <c r="I174"/>
    </row>
    <row r="175" spans="3:23" x14ac:dyDescent="0.25">
      <c r="E175"/>
      <c r="F175"/>
      <c r="G175"/>
      <c r="H175"/>
      <c r="I175"/>
    </row>
    <row r="176" spans="3:23" x14ac:dyDescent="0.25">
      <c r="E176"/>
      <c r="F176"/>
      <c r="G176"/>
      <c r="H176"/>
      <c r="I176"/>
    </row>
    <row r="177" spans="3:11" x14ac:dyDescent="0.25">
      <c r="E177"/>
      <c r="F177"/>
      <c r="G177"/>
      <c r="H177"/>
      <c r="I177"/>
    </row>
    <row r="178" spans="3:11" x14ac:dyDescent="0.25">
      <c r="E178"/>
      <c r="F178"/>
      <c r="G178"/>
      <c r="H178"/>
      <c r="I178"/>
    </row>
    <row r="179" spans="3:11" x14ac:dyDescent="0.25">
      <c r="E179"/>
      <c r="F179"/>
      <c r="G179"/>
      <c r="H179"/>
      <c r="I179"/>
    </row>
    <row r="180" spans="3:11" x14ac:dyDescent="0.25">
      <c r="E180"/>
      <c r="F180"/>
      <c r="G180"/>
      <c r="H180"/>
      <c r="I180"/>
    </row>
    <row r="181" spans="3:11" x14ac:dyDescent="0.25">
      <c r="H181" s="117"/>
    </row>
    <row r="182" spans="3:11" x14ac:dyDescent="0.25">
      <c r="H182" s="117"/>
    </row>
    <row r="183" spans="3:11" x14ac:dyDescent="0.25">
      <c r="H183" s="117"/>
    </row>
    <row r="184" spans="3:11" x14ac:dyDescent="0.25">
      <c r="H184" s="117"/>
    </row>
    <row r="185" spans="3:11" x14ac:dyDescent="0.25">
      <c r="H185" s="117"/>
    </row>
    <row r="186" spans="3:11" x14ac:dyDescent="0.25">
      <c r="C186" s="23"/>
      <c r="D186" s="23"/>
      <c r="H186" s="117"/>
    </row>
    <row r="187" spans="3:11" x14ac:dyDescent="0.25">
      <c r="C187" s="23"/>
      <c r="D187" s="23"/>
      <c r="H187" s="117"/>
    </row>
    <row r="188" spans="3:11" x14ac:dyDescent="0.25">
      <c r="C188" s="23"/>
      <c r="D188" s="23"/>
      <c r="H188" s="117"/>
    </row>
    <row r="189" spans="3:11" x14ac:dyDescent="0.25">
      <c r="C189" s="23"/>
      <c r="D189" s="23"/>
      <c r="H189" s="117"/>
      <c r="K189" s="117"/>
    </row>
    <row r="190" spans="3:11" x14ac:dyDescent="0.25">
      <c r="C190" s="23"/>
      <c r="D190" s="23"/>
      <c r="H190" s="117"/>
      <c r="K190" s="117"/>
    </row>
    <row r="191" spans="3:11" x14ac:dyDescent="0.25">
      <c r="C191" s="23"/>
      <c r="D191" s="23"/>
      <c r="E191" s="36"/>
      <c r="F191" s="36"/>
      <c r="H191" s="117"/>
      <c r="K191" s="117"/>
    </row>
    <row r="192" spans="3:11" x14ac:dyDescent="0.25">
      <c r="C192" s="23"/>
      <c r="D192" s="23"/>
      <c r="H192" s="117"/>
      <c r="I192" s="117"/>
      <c r="K192" s="117"/>
    </row>
    <row r="193" spans="3:11" x14ac:dyDescent="0.25">
      <c r="C193" s="23"/>
      <c r="D193" s="23"/>
      <c r="H193" s="117"/>
      <c r="I193" s="117"/>
      <c r="K193" s="117"/>
    </row>
    <row r="194" spans="3:11" x14ac:dyDescent="0.25">
      <c r="C194" s="23"/>
      <c r="D194" s="23"/>
      <c r="H194" s="117"/>
      <c r="I194" s="117"/>
      <c r="K194" s="117"/>
    </row>
    <row r="195" spans="3:11" x14ac:dyDescent="0.25">
      <c r="C195" s="23"/>
      <c r="D195" s="23"/>
      <c r="H195" s="117"/>
      <c r="I195" s="117"/>
      <c r="K195" s="117"/>
    </row>
    <row r="196" spans="3:11" x14ac:dyDescent="0.25">
      <c r="C196" s="23"/>
      <c r="D196" s="23"/>
      <c r="H196" s="117"/>
      <c r="I196" s="117"/>
      <c r="K196" s="117"/>
    </row>
    <row r="197" spans="3:11" x14ac:dyDescent="0.25">
      <c r="C197" s="23"/>
      <c r="D197" s="23"/>
      <c r="H197" s="117"/>
      <c r="I197" s="117"/>
    </row>
    <row r="198" spans="3:11" x14ac:dyDescent="0.25">
      <c r="C198" s="23"/>
      <c r="D198" s="23"/>
      <c r="H198" s="117"/>
      <c r="I198" s="117"/>
    </row>
    <row r="199" spans="3:11" x14ac:dyDescent="0.25">
      <c r="C199" s="23"/>
      <c r="D199" s="23"/>
      <c r="H199" s="117"/>
      <c r="I199" s="117"/>
    </row>
    <row r="200" spans="3:11" x14ac:dyDescent="0.25">
      <c r="C200" s="23"/>
      <c r="D200" s="23"/>
      <c r="H200" s="117"/>
      <c r="I200" s="117"/>
      <c r="K200" s="117"/>
    </row>
    <row r="201" spans="3:11" x14ac:dyDescent="0.25">
      <c r="C201" s="23"/>
      <c r="D201" s="23"/>
      <c r="H201" s="117"/>
      <c r="K201" s="117"/>
    </row>
    <row r="202" spans="3:11" x14ac:dyDescent="0.25">
      <c r="C202" s="23"/>
      <c r="D202" s="23"/>
      <c r="H202" s="117"/>
    </row>
    <row r="203" spans="3:11" x14ac:dyDescent="0.25">
      <c r="C203" s="23"/>
      <c r="D203" s="23"/>
      <c r="H203" s="117"/>
      <c r="I203" s="117"/>
    </row>
    <row r="204" spans="3:11" x14ac:dyDescent="0.25">
      <c r="C204" s="23"/>
      <c r="D204" s="23"/>
      <c r="H204" s="117"/>
      <c r="I204" s="117"/>
    </row>
    <row r="205" spans="3:11" x14ac:dyDescent="0.25">
      <c r="C205" s="23"/>
      <c r="D205" s="23"/>
      <c r="H205" s="117"/>
      <c r="K205" s="117"/>
    </row>
    <row r="206" spans="3:11" x14ac:dyDescent="0.25">
      <c r="C206" s="23"/>
      <c r="D206" s="23"/>
      <c r="H206" s="117"/>
      <c r="K206" s="117"/>
    </row>
    <row r="207" spans="3:11" x14ac:dyDescent="0.25">
      <c r="C207" s="23"/>
      <c r="D207" s="23"/>
      <c r="H207" s="117"/>
      <c r="K207" s="117"/>
    </row>
    <row r="208" spans="3:11" x14ac:dyDescent="0.25">
      <c r="C208" s="23"/>
      <c r="D208" s="23"/>
      <c r="H208" s="117"/>
      <c r="I208" s="117"/>
    </row>
    <row r="209" spans="3:11" x14ac:dyDescent="0.25">
      <c r="C209" s="23"/>
      <c r="D209" s="23"/>
      <c r="H209" s="117"/>
      <c r="I209" s="117"/>
      <c r="K209" s="117"/>
    </row>
    <row r="210" spans="3:11" x14ac:dyDescent="0.25">
      <c r="C210" s="23"/>
      <c r="D210" s="23"/>
      <c r="H210" s="117"/>
      <c r="I210" s="117"/>
      <c r="K210" s="117"/>
    </row>
    <row r="211" spans="3:11" x14ac:dyDescent="0.25">
      <c r="C211" s="23"/>
      <c r="D211" s="23"/>
      <c r="H211" s="117"/>
      <c r="K211" s="117"/>
    </row>
    <row r="212" spans="3:11" x14ac:dyDescent="0.25">
      <c r="C212" s="23"/>
      <c r="D212" s="23"/>
      <c r="H212" s="117"/>
      <c r="I212" s="117"/>
      <c r="K212" s="117"/>
    </row>
    <row r="213" spans="3:11" x14ac:dyDescent="0.25">
      <c r="C213" s="23"/>
      <c r="D213" s="23"/>
      <c r="H213" s="117"/>
      <c r="I213" s="117"/>
    </row>
    <row r="214" spans="3:11" x14ac:dyDescent="0.25">
      <c r="C214" s="23"/>
      <c r="D214" s="23"/>
      <c r="H214" s="117"/>
      <c r="I214" s="117"/>
    </row>
    <row r="215" spans="3:11" x14ac:dyDescent="0.25">
      <c r="C215" s="23"/>
      <c r="D215" s="23"/>
      <c r="H215" s="117"/>
      <c r="I215" s="117"/>
      <c r="K215" s="117"/>
    </row>
    <row r="216" spans="3:11" x14ac:dyDescent="0.25">
      <c r="H216" s="117"/>
      <c r="K216" s="117"/>
    </row>
    <row r="217" spans="3:11" x14ac:dyDescent="0.25">
      <c r="H217" s="117"/>
    </row>
    <row r="218" spans="3:11" x14ac:dyDescent="0.25">
      <c r="H218" s="117"/>
      <c r="I218" s="117"/>
    </row>
    <row r="219" spans="3:11" x14ac:dyDescent="0.25">
      <c r="H219" s="117"/>
      <c r="I219" s="117"/>
    </row>
    <row r="220" spans="3:11" x14ac:dyDescent="0.25">
      <c r="C220" s="118"/>
      <c r="D220" s="118"/>
      <c r="H220" s="117"/>
    </row>
    <row r="221" spans="3:11" x14ac:dyDescent="0.25">
      <c r="H221" s="117"/>
    </row>
    <row r="222" spans="3:11" x14ac:dyDescent="0.25">
      <c r="H222" s="117"/>
    </row>
    <row r="223" spans="3:11" x14ac:dyDescent="0.25">
      <c r="H223" s="117"/>
    </row>
    <row r="224" spans="3:11" x14ac:dyDescent="0.25">
      <c r="H224" s="117"/>
    </row>
    <row r="225" spans="5:8" x14ac:dyDescent="0.25">
      <c r="E225" s="36"/>
      <c r="F225" s="36"/>
      <c r="H225" s="117"/>
    </row>
    <row r="226" spans="5:8" x14ac:dyDescent="0.25">
      <c r="H226" s="117"/>
    </row>
    <row r="227" spans="5:8" x14ac:dyDescent="0.25">
      <c r="H227" s="117"/>
    </row>
    <row r="228" spans="5:8" x14ac:dyDescent="0.25">
      <c r="H228" s="117"/>
    </row>
    <row r="229" spans="5:8" x14ac:dyDescent="0.25">
      <c r="H229" s="117"/>
    </row>
    <row r="230" spans="5:8" x14ac:dyDescent="0.25">
      <c r="H230" s="117"/>
    </row>
    <row r="231" spans="5:8" x14ac:dyDescent="0.25">
      <c r="H231" s="117"/>
    </row>
    <row r="232" spans="5:8" x14ac:dyDescent="0.25">
      <c r="H232" s="117"/>
    </row>
    <row r="233" spans="5:8" x14ac:dyDescent="0.25">
      <c r="H233" s="117"/>
    </row>
    <row r="234" spans="5:8" x14ac:dyDescent="0.25">
      <c r="H234" s="117"/>
    </row>
    <row r="235" spans="5:8" x14ac:dyDescent="0.25">
      <c r="H235" s="117"/>
    </row>
    <row r="236" spans="5:8" x14ac:dyDescent="0.25">
      <c r="E236" s="36"/>
      <c r="F236" s="36"/>
      <c r="H236" s="117"/>
    </row>
    <row r="237" spans="5:8" x14ac:dyDescent="0.25">
      <c r="H237" s="117"/>
    </row>
    <row r="238" spans="5:8" x14ac:dyDescent="0.25">
      <c r="H238" s="117"/>
    </row>
    <row r="239" spans="5:8" x14ac:dyDescent="0.25">
      <c r="H239" s="117"/>
    </row>
    <row r="240" spans="5:8" x14ac:dyDescent="0.25">
      <c r="H240" s="117"/>
    </row>
    <row r="241" spans="8:8" x14ac:dyDescent="0.25">
      <c r="H241" s="117"/>
    </row>
    <row r="242" spans="8:8" x14ac:dyDescent="0.25">
      <c r="H242" s="117"/>
    </row>
    <row r="243" spans="8:8" x14ac:dyDescent="0.25">
      <c r="H243" s="117"/>
    </row>
    <row r="244" spans="8:8" x14ac:dyDescent="0.25">
      <c r="H244" s="117"/>
    </row>
    <row r="245" spans="8:8" x14ac:dyDescent="0.25">
      <c r="H245" s="117"/>
    </row>
    <row r="246" spans="8:8" x14ac:dyDescent="0.25">
      <c r="H246" s="117"/>
    </row>
    <row r="247" spans="8:8" x14ac:dyDescent="0.25">
      <c r="H247" s="117"/>
    </row>
    <row r="248" spans="8:8" x14ac:dyDescent="0.25">
      <c r="H248" s="117"/>
    </row>
    <row r="249" spans="8:8" x14ac:dyDescent="0.25">
      <c r="H249" s="117"/>
    </row>
    <row r="250" spans="8:8" x14ac:dyDescent="0.25">
      <c r="H250" s="117"/>
    </row>
    <row r="251" spans="8:8" x14ac:dyDescent="0.25">
      <c r="H251" s="117"/>
    </row>
    <row r="252" spans="8:8" x14ac:dyDescent="0.25">
      <c r="H252" s="117"/>
    </row>
    <row r="253" spans="8:8" x14ac:dyDescent="0.25">
      <c r="H253" s="117"/>
    </row>
    <row r="254" spans="8:8" x14ac:dyDescent="0.25">
      <c r="H254" s="117"/>
    </row>
    <row r="255" spans="8:8" x14ac:dyDescent="0.25">
      <c r="H255" s="117"/>
    </row>
    <row r="256" spans="8:8" x14ac:dyDescent="0.25">
      <c r="H256" s="117"/>
    </row>
    <row r="257" spans="8:8" x14ac:dyDescent="0.25">
      <c r="H257" s="117"/>
    </row>
    <row r="258" spans="8:8" x14ac:dyDescent="0.25">
      <c r="H258" s="117"/>
    </row>
    <row r="259" spans="8:8" x14ac:dyDescent="0.25">
      <c r="H259" s="117"/>
    </row>
    <row r="260" spans="8:8" x14ac:dyDescent="0.25">
      <c r="H260" s="117"/>
    </row>
    <row r="261" spans="8:8" x14ac:dyDescent="0.25">
      <c r="H261" s="117"/>
    </row>
    <row r="262" spans="8:8" x14ac:dyDescent="0.25">
      <c r="H262" s="117"/>
    </row>
    <row r="263" spans="8:8" x14ac:dyDescent="0.25">
      <c r="H263" s="117"/>
    </row>
    <row r="264" spans="8:8" x14ac:dyDescent="0.25">
      <c r="H264" s="117"/>
    </row>
    <row r="265" spans="8:8" x14ac:dyDescent="0.25">
      <c r="H265" s="117"/>
    </row>
    <row r="266" spans="8:8" x14ac:dyDescent="0.25">
      <c r="H266" s="117"/>
    </row>
    <row r="267" spans="8:8" x14ac:dyDescent="0.25">
      <c r="H267" s="117"/>
    </row>
    <row r="268" spans="8:8" x14ac:dyDescent="0.25">
      <c r="H268" s="117"/>
    </row>
    <row r="269" spans="8:8" x14ac:dyDescent="0.25">
      <c r="H269" s="117"/>
    </row>
    <row r="270" spans="8:8" x14ac:dyDescent="0.25">
      <c r="H270" s="117"/>
    </row>
    <row r="271" spans="8:8" x14ac:dyDescent="0.25">
      <c r="H271" s="117"/>
    </row>
    <row r="272" spans="8:8" x14ac:dyDescent="0.25">
      <c r="H272" s="117"/>
    </row>
    <row r="273" spans="8:8" x14ac:dyDescent="0.25">
      <c r="H273" s="117"/>
    </row>
    <row r="274" spans="8:8" x14ac:dyDescent="0.25">
      <c r="H274" s="117"/>
    </row>
    <row r="275" spans="8:8" x14ac:dyDescent="0.25">
      <c r="H275" s="117"/>
    </row>
    <row r="276" spans="8:8" x14ac:dyDescent="0.25">
      <c r="H276" s="117"/>
    </row>
    <row r="277" spans="8:8" x14ac:dyDescent="0.25">
      <c r="H277" s="117"/>
    </row>
    <row r="278" spans="8:8" x14ac:dyDescent="0.25">
      <c r="H278" s="117"/>
    </row>
    <row r="279" spans="8:8" x14ac:dyDescent="0.25">
      <c r="H279" s="117"/>
    </row>
    <row r="280" spans="8:8" x14ac:dyDescent="0.25">
      <c r="H280" s="117"/>
    </row>
    <row r="281" spans="8:8" x14ac:dyDescent="0.25">
      <c r="H281" s="117"/>
    </row>
    <row r="282" spans="8:8" x14ac:dyDescent="0.25">
      <c r="H282" s="117"/>
    </row>
    <row r="283" spans="8:8" x14ac:dyDescent="0.25">
      <c r="H283" s="117"/>
    </row>
    <row r="284" spans="8:8" x14ac:dyDescent="0.25">
      <c r="H284" s="117"/>
    </row>
    <row r="285" spans="8:8" x14ac:dyDescent="0.25">
      <c r="H285" s="117"/>
    </row>
    <row r="286" spans="8:8" x14ac:dyDescent="0.25">
      <c r="H286" s="117"/>
    </row>
    <row r="287" spans="8:8" x14ac:dyDescent="0.25">
      <c r="H287" s="117"/>
    </row>
    <row r="288" spans="8:8" x14ac:dyDescent="0.25">
      <c r="H288" s="117"/>
    </row>
    <row r="289" spans="8:8" x14ac:dyDescent="0.25">
      <c r="H289" s="117"/>
    </row>
    <row r="290" spans="8:8" x14ac:dyDescent="0.25">
      <c r="H290" s="117"/>
    </row>
    <row r="291" spans="8:8" x14ac:dyDescent="0.25">
      <c r="H291" s="117"/>
    </row>
    <row r="292" spans="8:8" x14ac:dyDescent="0.25">
      <c r="H292" s="117"/>
    </row>
    <row r="293" spans="8:8" x14ac:dyDescent="0.25">
      <c r="H293" s="117"/>
    </row>
    <row r="294" spans="8:8" x14ac:dyDescent="0.25">
      <c r="H294" s="117"/>
    </row>
    <row r="295" spans="8:8" x14ac:dyDescent="0.25">
      <c r="H295" s="117"/>
    </row>
    <row r="296" spans="8:8" x14ac:dyDescent="0.25">
      <c r="H296" s="117"/>
    </row>
    <row r="297" spans="8:8" x14ac:dyDescent="0.25">
      <c r="H297" s="117"/>
    </row>
    <row r="298" spans="8:8" x14ac:dyDescent="0.25">
      <c r="H298" s="117"/>
    </row>
    <row r="299" spans="8:8" x14ac:dyDescent="0.25">
      <c r="H299" s="117"/>
    </row>
    <row r="300" spans="8:8" x14ac:dyDescent="0.25">
      <c r="H300" s="117"/>
    </row>
    <row r="301" spans="8:8" x14ac:dyDescent="0.25">
      <c r="H301" s="117"/>
    </row>
    <row r="302" spans="8:8" x14ac:dyDescent="0.25">
      <c r="H302" s="117"/>
    </row>
    <row r="303" spans="8:8" x14ac:dyDescent="0.25">
      <c r="H303" s="117"/>
    </row>
    <row r="304" spans="8:8" x14ac:dyDescent="0.25">
      <c r="H304" s="117"/>
    </row>
    <row r="305" spans="8:8" x14ac:dyDescent="0.25">
      <c r="H305" s="117"/>
    </row>
    <row r="306" spans="8:8" x14ac:dyDescent="0.25">
      <c r="H306" s="117"/>
    </row>
    <row r="307" spans="8:8" x14ac:dyDescent="0.25">
      <c r="H307" s="117"/>
    </row>
    <row r="308" spans="8:8" x14ac:dyDescent="0.25">
      <c r="H308" s="117"/>
    </row>
    <row r="309" spans="8:8" x14ac:dyDescent="0.25">
      <c r="H309" s="117"/>
    </row>
    <row r="310" spans="8:8" x14ac:dyDescent="0.25">
      <c r="H310" s="117"/>
    </row>
    <row r="311" spans="8:8" x14ac:dyDescent="0.25">
      <c r="H311" s="117"/>
    </row>
    <row r="312" spans="8:8" x14ac:dyDescent="0.25">
      <c r="H312" s="117"/>
    </row>
    <row r="313" spans="8:8" x14ac:dyDescent="0.25">
      <c r="H313" s="117"/>
    </row>
    <row r="314" spans="8:8" x14ac:dyDescent="0.25">
      <c r="H314" s="117"/>
    </row>
    <row r="315" spans="8:8" x14ac:dyDescent="0.25">
      <c r="H315" s="117"/>
    </row>
    <row r="316" spans="8:8" x14ac:dyDescent="0.25">
      <c r="H316" s="117"/>
    </row>
    <row r="317" spans="8:8" x14ac:dyDescent="0.25">
      <c r="H317" s="117"/>
    </row>
    <row r="318" spans="8:8" x14ac:dyDescent="0.25">
      <c r="H318" s="117"/>
    </row>
    <row r="319" spans="8:8" x14ac:dyDescent="0.25">
      <c r="H319" s="117"/>
    </row>
    <row r="320" spans="8:8" x14ac:dyDescent="0.25">
      <c r="H320" s="117"/>
    </row>
    <row r="321" spans="8:8" x14ac:dyDescent="0.25">
      <c r="H321" s="117"/>
    </row>
    <row r="322" spans="8:8" x14ac:dyDescent="0.25">
      <c r="H322" s="117"/>
    </row>
    <row r="323" spans="8:8" x14ac:dyDescent="0.25">
      <c r="H323" s="117"/>
    </row>
    <row r="324" spans="8:8" x14ac:dyDescent="0.25">
      <c r="H324" s="117"/>
    </row>
    <row r="325" spans="8:8" x14ac:dyDescent="0.25">
      <c r="H325" s="117"/>
    </row>
    <row r="326" spans="8:8" x14ac:dyDescent="0.25">
      <c r="H326" s="117"/>
    </row>
    <row r="327" spans="8:8" x14ac:dyDescent="0.25">
      <c r="H327" s="117"/>
    </row>
    <row r="328" spans="8:8" x14ac:dyDescent="0.25">
      <c r="H328" s="117"/>
    </row>
    <row r="329" spans="8:8" x14ac:dyDescent="0.25">
      <c r="H329" s="117"/>
    </row>
    <row r="330" spans="8:8" x14ac:dyDescent="0.25">
      <c r="H330" s="117"/>
    </row>
    <row r="331" spans="8:8" x14ac:dyDescent="0.25">
      <c r="H331" s="117"/>
    </row>
    <row r="332" spans="8:8" x14ac:dyDescent="0.25">
      <c r="H332" s="117"/>
    </row>
    <row r="333" spans="8:8" x14ac:dyDescent="0.25">
      <c r="H333" s="117"/>
    </row>
    <row r="334" spans="8:8" x14ac:dyDescent="0.25">
      <c r="H334" s="117"/>
    </row>
    <row r="335" spans="8:8" x14ac:dyDescent="0.25">
      <c r="H335" s="117"/>
    </row>
    <row r="336" spans="8:8" x14ac:dyDescent="0.25">
      <c r="H336" s="117"/>
    </row>
    <row r="337" spans="8:8" x14ac:dyDescent="0.25">
      <c r="H337" s="117"/>
    </row>
    <row r="338" spans="8:8" x14ac:dyDescent="0.25">
      <c r="H338" s="117"/>
    </row>
    <row r="339" spans="8:8" x14ac:dyDescent="0.25">
      <c r="H339" s="117"/>
    </row>
    <row r="340" spans="8:8" x14ac:dyDescent="0.25">
      <c r="H340" s="117"/>
    </row>
    <row r="341" spans="8:8" x14ac:dyDescent="0.25">
      <c r="H341" s="117"/>
    </row>
    <row r="342" spans="8:8" x14ac:dyDescent="0.25">
      <c r="H342" s="117"/>
    </row>
    <row r="343" spans="8:8" x14ac:dyDescent="0.25">
      <c r="H343" s="117"/>
    </row>
    <row r="344" spans="8:8" x14ac:dyDescent="0.25">
      <c r="H344" s="117"/>
    </row>
    <row r="345" spans="8:8" x14ac:dyDescent="0.25">
      <c r="H345" s="117"/>
    </row>
    <row r="346" spans="8:8" x14ac:dyDescent="0.25">
      <c r="H346" s="117"/>
    </row>
    <row r="347" spans="8:8" x14ac:dyDescent="0.25">
      <c r="H347" s="117"/>
    </row>
    <row r="348" spans="8:8" x14ac:dyDescent="0.25">
      <c r="H348" s="117"/>
    </row>
    <row r="349" spans="8:8" x14ac:dyDescent="0.25">
      <c r="H349" s="117"/>
    </row>
    <row r="350" spans="8:8" x14ac:dyDescent="0.25">
      <c r="H350" s="117"/>
    </row>
    <row r="351" spans="8:8" x14ac:dyDescent="0.25">
      <c r="H351" s="117"/>
    </row>
    <row r="352" spans="8:8" x14ac:dyDescent="0.25">
      <c r="H352" s="117"/>
    </row>
    <row r="353" spans="8:8" x14ac:dyDescent="0.25">
      <c r="H353" s="117"/>
    </row>
    <row r="354" spans="8:8" x14ac:dyDescent="0.25">
      <c r="H354" s="117"/>
    </row>
    <row r="355" spans="8:8" x14ac:dyDescent="0.25">
      <c r="H355" s="117"/>
    </row>
    <row r="356" spans="8:8" x14ac:dyDescent="0.25">
      <c r="H356" s="117"/>
    </row>
    <row r="357" spans="8:8" x14ac:dyDescent="0.25">
      <c r="H357" s="117"/>
    </row>
    <row r="358" spans="8:8" x14ac:dyDescent="0.25">
      <c r="H358" s="117"/>
    </row>
    <row r="359" spans="8:8" x14ac:dyDescent="0.25">
      <c r="H359" s="117"/>
    </row>
    <row r="360" spans="8:8" x14ac:dyDescent="0.25">
      <c r="H360" s="117"/>
    </row>
    <row r="361" spans="8:8" x14ac:dyDescent="0.25">
      <c r="H361" s="117"/>
    </row>
    <row r="362" spans="8:8" x14ac:dyDescent="0.25">
      <c r="H362" s="117"/>
    </row>
    <row r="363" spans="8:8" x14ac:dyDescent="0.25">
      <c r="H363" s="117"/>
    </row>
    <row r="364" spans="8:8" x14ac:dyDescent="0.25">
      <c r="H364" s="117"/>
    </row>
    <row r="365" spans="8:8" x14ac:dyDescent="0.25">
      <c r="H365" s="117"/>
    </row>
    <row r="366" spans="8:8" x14ac:dyDescent="0.25">
      <c r="H366" s="117"/>
    </row>
    <row r="367" spans="8:8" x14ac:dyDescent="0.25">
      <c r="H367" s="117"/>
    </row>
    <row r="368" spans="8:8" x14ac:dyDescent="0.25">
      <c r="H368" s="117"/>
    </row>
    <row r="369" spans="8:8" x14ac:dyDescent="0.25">
      <c r="H369" s="117"/>
    </row>
    <row r="370" spans="8:8" x14ac:dyDescent="0.25">
      <c r="H370" s="117"/>
    </row>
    <row r="371" spans="8:8" x14ac:dyDescent="0.25">
      <c r="H371" s="117"/>
    </row>
    <row r="372" spans="8:8" x14ac:dyDescent="0.25">
      <c r="H372" s="117"/>
    </row>
    <row r="373" spans="8:8" x14ac:dyDescent="0.25">
      <c r="H373" s="117"/>
    </row>
    <row r="374" spans="8:8" x14ac:dyDescent="0.25">
      <c r="H374" s="117"/>
    </row>
    <row r="375" spans="8:8" x14ac:dyDescent="0.25">
      <c r="H375" s="117"/>
    </row>
    <row r="376" spans="8:8" x14ac:dyDescent="0.25">
      <c r="H376" s="117"/>
    </row>
    <row r="377" spans="8:8" x14ac:dyDescent="0.25">
      <c r="H377" s="117"/>
    </row>
    <row r="378" spans="8:8" x14ac:dyDescent="0.25">
      <c r="H378" s="117"/>
    </row>
    <row r="379" spans="8:8" x14ac:dyDescent="0.25">
      <c r="H379" s="117"/>
    </row>
    <row r="380" spans="8:8" x14ac:dyDescent="0.25">
      <c r="H380" s="117"/>
    </row>
    <row r="381" spans="8:8" x14ac:dyDescent="0.25">
      <c r="H381" s="117"/>
    </row>
    <row r="382" spans="8:8" x14ac:dyDescent="0.25">
      <c r="H382" s="117"/>
    </row>
    <row r="383" spans="8:8" x14ac:dyDescent="0.25">
      <c r="H383" s="117"/>
    </row>
    <row r="384" spans="8:8" x14ac:dyDescent="0.25">
      <c r="H384" s="117"/>
    </row>
    <row r="385" spans="8:8" x14ac:dyDescent="0.25">
      <c r="H385" s="117"/>
    </row>
    <row r="386" spans="8:8" x14ac:dyDescent="0.25">
      <c r="H386" s="117"/>
    </row>
    <row r="387" spans="8:8" x14ac:dyDescent="0.25">
      <c r="H387" s="117"/>
    </row>
    <row r="388" spans="8:8" x14ac:dyDescent="0.25">
      <c r="H388" s="117"/>
    </row>
    <row r="389" spans="8:8" x14ac:dyDescent="0.25">
      <c r="H389" s="117"/>
    </row>
    <row r="390" spans="8:8" x14ac:dyDescent="0.25">
      <c r="H390" s="117"/>
    </row>
    <row r="391" spans="8:8" x14ac:dyDescent="0.25">
      <c r="H391" s="117"/>
    </row>
    <row r="392" spans="8:8" x14ac:dyDescent="0.25">
      <c r="H392" s="117"/>
    </row>
    <row r="393" spans="8:8" x14ac:dyDescent="0.25">
      <c r="H393" s="117"/>
    </row>
    <row r="394" spans="8:8" x14ac:dyDescent="0.25">
      <c r="H394" s="117"/>
    </row>
    <row r="395" spans="8:8" x14ac:dyDescent="0.25">
      <c r="H395" s="117"/>
    </row>
    <row r="396" spans="8:8" x14ac:dyDescent="0.25">
      <c r="H396" s="117"/>
    </row>
    <row r="397" spans="8:8" x14ac:dyDescent="0.25">
      <c r="H397" s="117"/>
    </row>
    <row r="398" spans="8:8" x14ac:dyDescent="0.25">
      <c r="H398" s="117"/>
    </row>
    <row r="399" spans="8:8" x14ac:dyDescent="0.25">
      <c r="H399" s="117"/>
    </row>
    <row r="400" spans="8:8" x14ac:dyDescent="0.25">
      <c r="H400" s="117"/>
    </row>
    <row r="401" spans="8:8" x14ac:dyDescent="0.25">
      <c r="H401" s="117"/>
    </row>
    <row r="402" spans="8:8" x14ac:dyDescent="0.25">
      <c r="H402" s="117"/>
    </row>
    <row r="403" spans="8:8" x14ac:dyDescent="0.25">
      <c r="H403" s="117"/>
    </row>
    <row r="404" spans="8:8" x14ac:dyDescent="0.25">
      <c r="H404" s="117"/>
    </row>
    <row r="405" spans="8:8" x14ac:dyDescent="0.25">
      <c r="H405" s="117"/>
    </row>
    <row r="406" spans="8:8" x14ac:dyDescent="0.25">
      <c r="H406" s="117"/>
    </row>
    <row r="407" spans="8:8" x14ac:dyDescent="0.25">
      <c r="H407" s="117"/>
    </row>
    <row r="408" spans="8:8" x14ac:dyDescent="0.25">
      <c r="H408" s="117"/>
    </row>
    <row r="409" spans="8:8" x14ac:dyDescent="0.25">
      <c r="H409" s="117"/>
    </row>
    <row r="410" spans="8:8" x14ac:dyDescent="0.25">
      <c r="H410" s="117"/>
    </row>
    <row r="411" spans="8:8" x14ac:dyDescent="0.25">
      <c r="H411" s="117"/>
    </row>
    <row r="412" spans="8:8" x14ac:dyDescent="0.25">
      <c r="H412" s="117"/>
    </row>
    <row r="413" spans="8:8" x14ac:dyDescent="0.25">
      <c r="H413" s="117"/>
    </row>
    <row r="414" spans="8:8" x14ac:dyDescent="0.25">
      <c r="H414" s="117"/>
    </row>
    <row r="415" spans="8:8" x14ac:dyDescent="0.25">
      <c r="H415" s="117"/>
    </row>
    <row r="416" spans="8:8" x14ac:dyDescent="0.25">
      <c r="H416" s="117"/>
    </row>
    <row r="417" spans="8:8" x14ac:dyDescent="0.25">
      <c r="H417" s="117"/>
    </row>
    <row r="418" spans="8:8" x14ac:dyDescent="0.25">
      <c r="H418" s="117"/>
    </row>
    <row r="419" spans="8:8" x14ac:dyDescent="0.25">
      <c r="H419" s="117"/>
    </row>
    <row r="420" spans="8:8" x14ac:dyDescent="0.25">
      <c r="H420" s="117"/>
    </row>
    <row r="421" spans="8:8" x14ac:dyDescent="0.25">
      <c r="H421" s="117"/>
    </row>
    <row r="422" spans="8:8" x14ac:dyDescent="0.25">
      <c r="H422" s="117"/>
    </row>
    <row r="423" spans="8:8" x14ac:dyDescent="0.25">
      <c r="H423" s="117"/>
    </row>
    <row r="424" spans="8:8" x14ac:dyDescent="0.25">
      <c r="H424" s="117"/>
    </row>
    <row r="425" spans="8:8" x14ac:dyDescent="0.25">
      <c r="H425" s="117"/>
    </row>
    <row r="426" spans="8:8" x14ac:dyDescent="0.25">
      <c r="H426" s="117"/>
    </row>
    <row r="427" spans="8:8" x14ac:dyDescent="0.25">
      <c r="H427" s="117"/>
    </row>
    <row r="428" spans="8:8" x14ac:dyDescent="0.25">
      <c r="H428" s="117"/>
    </row>
    <row r="429" spans="8:8" x14ac:dyDescent="0.25">
      <c r="H429" s="117"/>
    </row>
    <row r="430" spans="8:8" x14ac:dyDescent="0.25">
      <c r="H430" s="117"/>
    </row>
    <row r="431" spans="8:8" x14ac:dyDescent="0.25">
      <c r="H431" s="117"/>
    </row>
    <row r="432" spans="8:8" x14ac:dyDescent="0.25">
      <c r="H432" s="117"/>
    </row>
    <row r="433" spans="8:8" x14ac:dyDescent="0.25">
      <c r="H433" s="117"/>
    </row>
    <row r="434" spans="8:8" x14ac:dyDescent="0.25">
      <c r="H434" s="117"/>
    </row>
    <row r="435" spans="8:8" x14ac:dyDescent="0.25">
      <c r="H435" s="117"/>
    </row>
    <row r="436" spans="8:8" x14ac:dyDescent="0.25">
      <c r="H436" s="117"/>
    </row>
    <row r="437" spans="8:8" x14ac:dyDescent="0.25">
      <c r="H437" s="117"/>
    </row>
    <row r="438" spans="8:8" x14ac:dyDescent="0.25">
      <c r="H438" s="117"/>
    </row>
    <row r="439" spans="8:8" x14ac:dyDescent="0.25">
      <c r="H439" s="117"/>
    </row>
    <row r="440" spans="8:8" x14ac:dyDescent="0.25">
      <c r="H440" s="117"/>
    </row>
    <row r="441" spans="8:8" x14ac:dyDescent="0.25">
      <c r="H441" s="117"/>
    </row>
    <row r="442" spans="8:8" x14ac:dyDescent="0.25">
      <c r="H442" s="117"/>
    </row>
    <row r="443" spans="8:8" x14ac:dyDescent="0.25">
      <c r="H443" s="117"/>
    </row>
    <row r="444" spans="8:8" x14ac:dyDescent="0.25">
      <c r="H444" s="117"/>
    </row>
    <row r="445" spans="8:8" x14ac:dyDescent="0.25">
      <c r="H445" s="117"/>
    </row>
    <row r="446" spans="8:8" x14ac:dyDescent="0.25">
      <c r="H446" s="117"/>
    </row>
    <row r="447" spans="8:8" x14ac:dyDescent="0.25">
      <c r="H447" s="117"/>
    </row>
    <row r="448" spans="8:8" x14ac:dyDescent="0.25">
      <c r="H448" s="117"/>
    </row>
    <row r="449" spans="8:8" x14ac:dyDescent="0.25">
      <c r="H449" s="117"/>
    </row>
    <row r="450" spans="8:8" x14ac:dyDescent="0.25">
      <c r="H450" s="117"/>
    </row>
    <row r="451" spans="8:8" x14ac:dyDescent="0.25">
      <c r="H451" s="117"/>
    </row>
    <row r="452" spans="8:8" x14ac:dyDescent="0.25">
      <c r="H452" s="117"/>
    </row>
    <row r="453" spans="8:8" x14ac:dyDescent="0.25">
      <c r="H453" s="117"/>
    </row>
    <row r="454" spans="8:8" x14ac:dyDescent="0.25">
      <c r="H454" s="117"/>
    </row>
  </sheetData>
  <mergeCells count="7">
    <mergeCell ref="G9:V9"/>
    <mergeCell ref="W9:X9"/>
    <mergeCell ref="AA12:AC12"/>
    <mergeCell ref="W11:X11"/>
    <mergeCell ref="P12:R12"/>
    <mergeCell ref="S12:T12"/>
    <mergeCell ref="U12:V12"/>
  </mergeCells>
  <printOptions horizontalCentered="1"/>
  <pageMargins left="0.25" right="0.25" top="0.75" bottom="0.75" header="0.3" footer="0.3"/>
  <pageSetup paperSize="8" scale="52" fitToHeight="0" orientation="landscape" r:id="rId1"/>
  <headerFooter alignWithMargins="0">
    <oddFooter>&amp;L&amp;D&amp;T&amp;C&amp;F&amp;R&amp;A&amp;P</oddFooter>
  </headerFooter>
  <rowBreaks count="1" manualBreakCount="1">
    <brk id="93" min="1" max="23" man="1"/>
  </rowBreaks>
  <customProperties>
    <customPr name="_pios_id" r:id="rId2"/>
  </customProperties>
  <ignoredErrors>
    <ignoredError sqref="G28:V29 U112:V113 G78:H78 G20:V20 H56 U57:V60 G54:T54 H53 H76:H77 I78:T78 I109:R114 G104:V104 G115:V115 H73 H50 Q77:R77 H22:H25 J56 H63:H64 G70:V71 G88:V95 I18:V18 I19:K19 L22:V22 M19:V19 L24:T24 L23 P23:V23 L25 P25:T25 V24 V25 G32:V32 I30:V31 G38:V38 I33:V33 H37:K37 G42:V43 I41:P41 H35:H36 J35:J36 L35:V35 H39:H40 L39:V39 I34:K34 M34:V34 M37:V37 M36:V36 S41:V41 L40:S40 U40:V40 G48:V48 I44:V44 H49 H67:H69 J63:J64 J67:J69 J53 J52:P52 J49 H46:H47 J46:J47 L46:V46 J50 L49:R49 L53:R53 I45:K45 M45:V45 M47:V47 L56:R56 L63:R64 L67:R68 L69:O69 Q69:R69 L50:O50 Q50:S50 S52:T52 U49:V49 U63:V65 U67:V68 U69:V69 H58:H60 J58:J61 L58:R61 H72 I75:P75 J73 J72 J76:J77 L74:T74 L72:R72 L76:O77 L73:O73 Q73:S73 S75:T75 U72:V72 J81 L81:R81 J85:J86 L85:R86 I102:R103 I96:R100 U102:V103 U96:V100 I105:R108 U105:V108 G120:V120 I116:R119 I121:R128 U116:V119 U121:V129" unlockedFormula="1"/>
  </ignoredError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31045-CAD8-432F-B170-56069400A6D0}">
  <sheetPr codeName="Sheet11">
    <pageSetUpPr fitToPage="1"/>
  </sheetPr>
  <dimension ref="A1:U428"/>
  <sheetViews>
    <sheetView showGridLines="0" zoomScale="90" zoomScaleNormal="90" workbookViewId="0">
      <pane ySplit="4" topLeftCell="A5" activePane="bottomLeft" state="frozenSplit"/>
      <selection activeCell="K28" sqref="K28"/>
      <selection pane="bottomLeft" activeCell="D341" sqref="D341"/>
    </sheetView>
  </sheetViews>
  <sheetFormatPr defaultRowHeight="15" outlineLevelRow="1" x14ac:dyDescent="0.25"/>
  <cols>
    <col min="1" max="1" width="11" style="128" customWidth="1"/>
    <col min="2" max="2" width="2.42578125" style="128" customWidth="1"/>
    <col min="3" max="3" width="23.7109375" style="128" bestFit="1" customWidth="1"/>
    <col min="4" max="4" width="3" style="128" customWidth="1"/>
    <col min="5" max="5" width="9.140625" style="128"/>
    <col min="6" max="9" width="10.28515625" style="128" customWidth="1"/>
    <col min="10" max="13" width="10.28515625" style="414" customWidth="1"/>
    <col min="14" max="14" width="12.140625" style="414" bestFit="1" customWidth="1"/>
    <col min="15" max="15" width="13.28515625" style="414" bestFit="1" customWidth="1"/>
    <col min="16" max="16" width="7.85546875" style="414" bestFit="1" customWidth="1"/>
    <col min="17" max="17" width="12.140625" style="414" customWidth="1"/>
    <col min="18" max="21" width="12.85546875" style="414" customWidth="1"/>
    <col min="22" max="16384" width="9.140625" style="128"/>
  </cols>
  <sheetData>
    <row r="1" spans="1:21" s="125" customFormat="1" ht="21" x14ac:dyDescent="0.35">
      <c r="A1" s="131" t="s">
        <v>544</v>
      </c>
      <c r="J1" s="747"/>
      <c r="K1" s="747"/>
      <c r="L1" s="747"/>
      <c r="M1" s="747"/>
      <c r="N1" s="747"/>
      <c r="O1" s="747"/>
      <c r="P1" s="747"/>
      <c r="Q1" s="747"/>
      <c r="R1" s="747"/>
      <c r="S1" s="747"/>
      <c r="T1" s="747"/>
      <c r="U1" s="747"/>
    </row>
    <row r="2" spans="1:21" ht="15.75" thickBot="1" x14ac:dyDescent="0.3"/>
    <row r="3" spans="1:21" x14ac:dyDescent="0.25">
      <c r="F3" s="921" t="s">
        <v>377</v>
      </c>
      <c r="G3" s="922"/>
      <c r="H3" s="922"/>
      <c r="I3" s="923"/>
      <c r="J3" s="924" t="s">
        <v>384</v>
      </c>
      <c r="K3" s="925"/>
      <c r="L3" s="925"/>
      <c r="M3" s="926"/>
      <c r="N3" s="924" t="s">
        <v>380</v>
      </c>
      <c r="O3" s="925"/>
      <c r="P3" s="925"/>
      <c r="Q3" s="926"/>
      <c r="R3" s="924" t="s">
        <v>378</v>
      </c>
      <c r="S3" s="925"/>
      <c r="T3" s="925"/>
      <c r="U3" s="926"/>
    </row>
    <row r="4" spans="1:21" ht="15.75" thickBot="1" x14ac:dyDescent="0.3">
      <c r="F4" s="548" t="s">
        <v>282</v>
      </c>
      <c r="G4" s="549" t="s">
        <v>283</v>
      </c>
      <c r="H4" s="549" t="s">
        <v>284</v>
      </c>
      <c r="I4" s="550" t="s">
        <v>285</v>
      </c>
      <c r="J4" s="748" t="s">
        <v>282</v>
      </c>
      <c r="K4" s="749" t="s">
        <v>283</v>
      </c>
      <c r="L4" s="749" t="s">
        <v>284</v>
      </c>
      <c r="M4" s="750" t="s">
        <v>285</v>
      </c>
      <c r="N4" s="748" t="s">
        <v>282</v>
      </c>
      <c r="O4" s="749" t="s">
        <v>283</v>
      </c>
      <c r="P4" s="749" t="s">
        <v>284</v>
      </c>
      <c r="Q4" s="750" t="s">
        <v>285</v>
      </c>
      <c r="R4" s="748" t="s">
        <v>282</v>
      </c>
      <c r="S4" s="749" t="s">
        <v>283</v>
      </c>
      <c r="T4" s="749" t="s">
        <v>284</v>
      </c>
      <c r="U4" s="750" t="s">
        <v>285</v>
      </c>
    </row>
    <row r="5" spans="1:21" ht="16.5" thickBot="1" x14ac:dyDescent="0.3">
      <c r="A5" s="441" t="s">
        <v>381</v>
      </c>
    </row>
    <row r="6" spans="1:21" outlineLevel="1" x14ac:dyDescent="0.25">
      <c r="F6" s="921" t="s">
        <v>377</v>
      </c>
      <c r="G6" s="922"/>
      <c r="H6" s="922"/>
      <c r="I6" s="923"/>
      <c r="J6" s="924" t="s">
        <v>379</v>
      </c>
      <c r="K6" s="925"/>
      <c r="L6" s="925"/>
      <c r="M6" s="926"/>
      <c r="N6" s="924" t="s">
        <v>380</v>
      </c>
      <c r="O6" s="925"/>
      <c r="P6" s="925"/>
      <c r="Q6" s="926"/>
      <c r="R6" s="924" t="s">
        <v>378</v>
      </c>
      <c r="S6" s="925"/>
      <c r="T6" s="925"/>
      <c r="U6" s="926"/>
    </row>
    <row r="7" spans="1:21" ht="15.75" outlineLevel="1" thickBot="1" x14ac:dyDescent="0.3">
      <c r="C7" s="128">
        <v>365</v>
      </c>
      <c r="F7" s="548" t="s">
        <v>282</v>
      </c>
      <c r="G7" s="549" t="s">
        <v>283</v>
      </c>
      <c r="H7" s="549" t="s">
        <v>284</v>
      </c>
      <c r="I7" s="550" t="s">
        <v>285</v>
      </c>
      <c r="J7" s="748" t="s">
        <v>282</v>
      </c>
      <c r="K7" s="749" t="s">
        <v>283</v>
      </c>
      <c r="L7" s="749" t="s">
        <v>284</v>
      </c>
      <c r="M7" s="750" t="s">
        <v>285</v>
      </c>
      <c r="N7" s="748" t="s">
        <v>282</v>
      </c>
      <c r="O7" s="749" t="s">
        <v>283</v>
      </c>
      <c r="P7" s="749" t="s">
        <v>284</v>
      </c>
      <c r="Q7" s="750" t="s">
        <v>285</v>
      </c>
      <c r="R7" s="748" t="s">
        <v>282</v>
      </c>
      <c r="S7" s="749" t="s">
        <v>283</v>
      </c>
      <c r="T7" s="749" t="s">
        <v>284</v>
      </c>
      <c r="U7" s="750" t="s">
        <v>285</v>
      </c>
    </row>
    <row r="8" spans="1:21" outlineLevel="1" x14ac:dyDescent="0.25">
      <c r="A8" s="559" t="s">
        <v>705</v>
      </c>
      <c r="F8" s="742"/>
      <c r="G8" s="742"/>
      <c r="H8" s="742"/>
      <c r="I8" s="742"/>
      <c r="J8" s="746"/>
      <c r="K8" s="746"/>
      <c r="L8" s="746"/>
      <c r="M8" s="746"/>
      <c r="N8" s="746"/>
      <c r="O8" s="746"/>
      <c r="P8" s="746"/>
      <c r="Q8" s="746"/>
      <c r="R8" s="746"/>
      <c r="S8" s="746"/>
      <c r="T8" s="746"/>
      <c r="U8" s="746"/>
    </row>
    <row r="9" spans="1:21" outlineLevel="1" x14ac:dyDescent="0.25">
      <c r="B9" s="542"/>
      <c r="C9" s="543"/>
      <c r="D9" s="543"/>
      <c r="E9" s="543" t="s">
        <v>315</v>
      </c>
      <c r="F9" s="743"/>
      <c r="G9" s="744"/>
      <c r="H9" s="744"/>
      <c r="I9" s="745"/>
      <c r="J9" s="552"/>
      <c r="K9" s="553"/>
      <c r="L9" s="553"/>
      <c r="M9" s="554"/>
      <c r="N9" s="552"/>
      <c r="O9" s="553"/>
      <c r="P9" s="553"/>
      <c r="Q9" s="554"/>
      <c r="R9" s="552"/>
      <c r="S9" s="553"/>
      <c r="T9" s="553"/>
      <c r="U9" s="554"/>
    </row>
    <row r="10" spans="1:21" outlineLevel="1" x14ac:dyDescent="0.25">
      <c r="B10" s="544"/>
      <c r="C10" s="545" t="s">
        <v>374</v>
      </c>
      <c r="D10" s="545"/>
      <c r="E10" s="545" t="s">
        <v>287</v>
      </c>
      <c r="F10" s="735">
        <f>('DUoS (t)'!$G$50)*1</f>
        <v>6.7949999999999999</v>
      </c>
      <c r="G10" s="736">
        <f>('TUoS (t)'!$G$50)*1</f>
        <v>0</v>
      </c>
      <c r="H10" s="736">
        <f>('JSO (t)'!$G$50)*1</f>
        <v>0</v>
      </c>
      <c r="I10" s="737">
        <f>SUM(F10:H10)</f>
        <v>6.7949999999999999</v>
      </c>
      <c r="J10" s="734"/>
      <c r="K10" s="733"/>
      <c r="L10" s="733"/>
      <c r="M10" s="664">
        <f>SUM(J10:L10)</f>
        <v>0</v>
      </c>
      <c r="N10" s="734">
        <f>(3*F10)+(985*F12)</f>
        <v>121.643</v>
      </c>
      <c r="O10" s="733"/>
      <c r="P10" s="733"/>
      <c r="Q10" s="664">
        <f>SUM(N10:P10)</f>
        <v>121.643</v>
      </c>
      <c r="R10" s="663">
        <f t="shared" ref="R10:T14" si="0">SUM(F10,J10,N10)</f>
        <v>128.43799999999999</v>
      </c>
      <c r="S10" s="555">
        <f t="shared" si="0"/>
        <v>0</v>
      </c>
      <c r="T10" s="555">
        <f t="shared" si="0"/>
        <v>0</v>
      </c>
      <c r="U10" s="664">
        <f>SUM(R10:T10)</f>
        <v>128.43799999999999</v>
      </c>
    </row>
    <row r="11" spans="1:21" outlineLevel="1" x14ac:dyDescent="0.25">
      <c r="B11" s="544"/>
      <c r="C11" s="545" t="s">
        <v>375</v>
      </c>
      <c r="D11" s="545">
        <v>4</v>
      </c>
      <c r="E11" s="545" t="s">
        <v>294</v>
      </c>
      <c r="F11" s="735">
        <f>'DUoS (t)'!$S$49</f>
        <v>0.14380000000000001</v>
      </c>
      <c r="G11" s="736">
        <f>'TUoS (t)'!$S$49</f>
        <v>0.11609999999999999</v>
      </c>
      <c r="H11" s="736">
        <f>'JSO (t)'!$S$49</f>
        <v>0</v>
      </c>
      <c r="I11" s="737">
        <f>SUM(F11:H11)</f>
        <v>0.25990000000000002</v>
      </c>
      <c r="J11" s="734"/>
      <c r="K11" s="733"/>
      <c r="L11" s="733"/>
      <c r="M11" s="664">
        <f>SUM(J11:L11)</f>
        <v>0</v>
      </c>
      <c r="N11" s="734"/>
      <c r="O11" s="733"/>
      <c r="P11" s="733"/>
      <c r="Q11" s="664">
        <f>SUM(N11:P11)</f>
        <v>0</v>
      </c>
      <c r="R11" s="663">
        <f t="shared" si="0"/>
        <v>0.14380000000000001</v>
      </c>
      <c r="S11" s="555">
        <f t="shared" si="0"/>
        <v>0.11609999999999999</v>
      </c>
      <c r="T11" s="555">
        <f t="shared" si="0"/>
        <v>0</v>
      </c>
      <c r="U11" s="664">
        <f>SUM(R11:T11)</f>
        <v>0.25990000000000002</v>
      </c>
    </row>
    <row r="12" spans="1:21" outlineLevel="1" x14ac:dyDescent="0.25">
      <c r="B12" s="544"/>
      <c r="C12" s="545" t="s">
        <v>376</v>
      </c>
      <c r="D12" s="545">
        <v>4</v>
      </c>
      <c r="E12" s="545" t="s">
        <v>294</v>
      </c>
      <c r="F12" s="735">
        <f>'DUoS (t)'!$T$50</f>
        <v>0.1028</v>
      </c>
      <c r="G12" s="736">
        <f>'TUoS (t)'!$T$50</f>
        <v>0</v>
      </c>
      <c r="H12" s="736">
        <f>'JSO (t)'!$T$50</f>
        <v>0</v>
      </c>
      <c r="I12" s="737">
        <f>SUM(F12:H12)</f>
        <v>0.1028</v>
      </c>
      <c r="J12" s="734"/>
      <c r="K12" s="733"/>
      <c r="L12" s="733"/>
      <c r="M12" s="664">
        <f>SUM(J12:L12)</f>
        <v>0</v>
      </c>
      <c r="N12" s="734">
        <f>-F12</f>
        <v>-0.1028</v>
      </c>
      <c r="O12" s="733"/>
      <c r="P12" s="733"/>
      <c r="Q12" s="664">
        <f>SUM(N12:P12)</f>
        <v>-0.1028</v>
      </c>
      <c r="R12" s="663">
        <f t="shared" si="0"/>
        <v>0</v>
      </c>
      <c r="S12" s="555">
        <f t="shared" si="0"/>
        <v>0</v>
      </c>
      <c r="T12" s="555">
        <f t="shared" si="0"/>
        <v>0</v>
      </c>
      <c r="U12" s="664">
        <f>SUM(R12:T12)</f>
        <v>0</v>
      </c>
    </row>
    <row r="13" spans="1:21" outlineLevel="1" x14ac:dyDescent="0.25">
      <c r="B13" s="544"/>
      <c r="C13" s="545" t="s">
        <v>562</v>
      </c>
      <c r="D13" s="545"/>
      <c r="E13" s="545" t="s">
        <v>288</v>
      </c>
      <c r="F13" s="735">
        <f>'DUoS (t)'!$I$50</f>
        <v>4.1799999999999997E-2</v>
      </c>
      <c r="G13" s="736">
        <f>'TUoS (t)'!$I$50</f>
        <v>1.89E-2</v>
      </c>
      <c r="H13" s="736">
        <f>'JSO (t)'!$I$50</f>
        <v>6.6E-3</v>
      </c>
      <c r="I13" s="737">
        <f>SUM(F13:H13)</f>
        <v>6.7299999999999999E-2</v>
      </c>
      <c r="J13" s="734"/>
      <c r="K13" s="733"/>
      <c r="L13" s="733"/>
      <c r="M13" s="664">
        <f>SUM(J13:L13)</f>
        <v>0</v>
      </c>
      <c r="N13" s="734"/>
      <c r="O13" s="733"/>
      <c r="P13" s="733"/>
      <c r="Q13" s="664">
        <f>SUM(N13:P13)</f>
        <v>0</v>
      </c>
      <c r="R13" s="663">
        <f t="shared" si="0"/>
        <v>4.1799999999999997E-2</v>
      </c>
      <c r="S13" s="555">
        <f t="shared" si="0"/>
        <v>1.89E-2</v>
      </c>
      <c r="T13" s="555">
        <f t="shared" si="0"/>
        <v>6.6E-3</v>
      </c>
      <c r="U13" s="664">
        <f>SUM(R13:T13)</f>
        <v>6.7299999999999999E-2</v>
      </c>
    </row>
    <row r="14" spans="1:21" outlineLevel="1" x14ac:dyDescent="0.25">
      <c r="B14" s="546"/>
      <c r="C14" s="547" t="s">
        <v>563</v>
      </c>
      <c r="D14" s="547"/>
      <c r="E14" s="547" t="s">
        <v>288</v>
      </c>
      <c r="F14" s="738">
        <f>'DUoS (t)'!$K$50</f>
        <v>2.6100000000000002E-2</v>
      </c>
      <c r="G14" s="739">
        <f>'TUoS (t)'!$K$50</f>
        <v>1.18E-2</v>
      </c>
      <c r="H14" s="739">
        <f>'JSO (t)'!$K$50</f>
        <v>4.1000000000000003E-3</v>
      </c>
      <c r="I14" s="740">
        <f>SUM(F14:H14)</f>
        <v>4.2000000000000003E-2</v>
      </c>
      <c r="J14" s="560"/>
      <c r="K14" s="561"/>
      <c r="L14" s="561"/>
      <c r="M14" s="558">
        <f>SUM(J14:L14)</f>
        <v>0</v>
      </c>
      <c r="N14" s="560"/>
      <c r="O14" s="561"/>
      <c r="P14" s="561"/>
      <c r="Q14" s="558">
        <f>SUM(N14:P14)</f>
        <v>0</v>
      </c>
      <c r="R14" s="556">
        <f t="shared" si="0"/>
        <v>2.6100000000000002E-2</v>
      </c>
      <c r="S14" s="557">
        <f t="shared" si="0"/>
        <v>1.18E-2</v>
      </c>
      <c r="T14" s="557">
        <f t="shared" si="0"/>
        <v>4.1000000000000003E-3</v>
      </c>
      <c r="U14" s="558">
        <f>SUM(R14:T14)</f>
        <v>4.2000000000000003E-2</v>
      </c>
    </row>
    <row r="15" spans="1:21" outlineLevel="1" x14ac:dyDescent="0.25">
      <c r="F15" s="741"/>
      <c r="G15" s="741"/>
      <c r="H15" s="741"/>
      <c r="I15" s="741"/>
    </row>
    <row r="16" spans="1:21" outlineLevel="1" x14ac:dyDescent="0.25">
      <c r="A16" s="559" t="s">
        <v>567</v>
      </c>
      <c r="F16" s="551"/>
      <c r="G16" s="551"/>
      <c r="H16" s="551"/>
      <c r="I16" s="551"/>
      <c r="J16" s="746"/>
      <c r="K16" s="746"/>
      <c r="L16" s="746"/>
      <c r="M16" s="746"/>
      <c r="N16" s="746"/>
      <c r="O16" s="746"/>
      <c r="P16" s="746"/>
      <c r="Q16" s="746"/>
      <c r="R16" s="746"/>
      <c r="S16" s="746"/>
      <c r="T16" s="746"/>
      <c r="U16" s="746"/>
    </row>
    <row r="17" spans="1:21" outlineLevel="1" x14ac:dyDescent="0.25">
      <c r="B17" s="542"/>
      <c r="C17" s="543"/>
      <c r="D17" s="543"/>
      <c r="E17" s="543" t="s">
        <v>315</v>
      </c>
      <c r="F17" s="552"/>
      <c r="G17" s="553"/>
      <c r="H17" s="553"/>
      <c r="I17" s="554"/>
      <c r="J17" s="552"/>
      <c r="K17" s="553"/>
      <c r="L17" s="553"/>
      <c r="M17" s="554"/>
      <c r="N17" s="552"/>
      <c r="O17" s="553"/>
      <c r="P17" s="553"/>
      <c r="Q17" s="554"/>
      <c r="R17" s="552"/>
      <c r="S17" s="553"/>
      <c r="T17" s="553"/>
      <c r="U17" s="554"/>
    </row>
    <row r="18" spans="1:21" outlineLevel="1" x14ac:dyDescent="0.25">
      <c r="B18" s="544"/>
      <c r="C18" s="545" t="s">
        <v>374</v>
      </c>
      <c r="D18" s="545"/>
      <c r="E18" s="545" t="s">
        <v>287</v>
      </c>
      <c r="F18" s="735">
        <f>('DUoS (t)'!$G$49)*1</f>
        <v>6.7949999999999999</v>
      </c>
      <c r="G18" s="736">
        <f>('TUoS (t)'!$G$49)*1</f>
        <v>0</v>
      </c>
      <c r="H18" s="736">
        <f>('JSO (t)'!$G$49)*1</f>
        <v>0</v>
      </c>
      <c r="I18" s="737">
        <f>SUM(F18:H18)</f>
        <v>6.7949999999999999</v>
      </c>
      <c r="J18" s="734"/>
      <c r="K18" s="733"/>
      <c r="L18" s="733"/>
      <c r="M18" s="664">
        <f>SUM(J18:L18)</f>
        <v>0</v>
      </c>
      <c r="N18" s="734">
        <f>(5*F18)+(906*F20)</f>
        <v>127.11180000000002</v>
      </c>
      <c r="O18" s="733"/>
      <c r="P18" s="733"/>
      <c r="Q18" s="664">
        <f>SUM(N18:P18)</f>
        <v>127.11180000000002</v>
      </c>
      <c r="R18" s="663">
        <f t="shared" ref="R18:T22" si="1">SUM(F18,J18,N18)</f>
        <v>133.9068</v>
      </c>
      <c r="S18" s="555">
        <f t="shared" si="1"/>
        <v>0</v>
      </c>
      <c r="T18" s="555">
        <f t="shared" si="1"/>
        <v>0</v>
      </c>
      <c r="U18" s="664">
        <f>SUM(R18:T18)</f>
        <v>133.9068</v>
      </c>
    </row>
    <row r="19" spans="1:21" outlineLevel="1" x14ac:dyDescent="0.25">
      <c r="B19" s="544"/>
      <c r="C19" s="545" t="s">
        <v>375</v>
      </c>
      <c r="D19" s="545">
        <v>4</v>
      </c>
      <c r="E19" s="545" t="s">
        <v>294</v>
      </c>
      <c r="F19" s="735">
        <f>'DUoS (t)'!$S$49</f>
        <v>0.14380000000000001</v>
      </c>
      <c r="G19" s="736">
        <f>'TUoS (t)'!$S$49</f>
        <v>0.11609999999999999</v>
      </c>
      <c r="H19" s="736">
        <f>'JSO (t)'!$S$49</f>
        <v>0</v>
      </c>
      <c r="I19" s="737">
        <f>SUM(F19:H19)</f>
        <v>0.25990000000000002</v>
      </c>
      <c r="J19" s="734"/>
      <c r="K19" s="733"/>
      <c r="L19" s="733"/>
      <c r="M19" s="664">
        <f>SUM(J19:L19)</f>
        <v>0</v>
      </c>
      <c r="N19" s="734"/>
      <c r="O19" s="733"/>
      <c r="P19" s="733"/>
      <c r="Q19" s="664">
        <f>SUM(N19:P19)</f>
        <v>0</v>
      </c>
      <c r="R19" s="663">
        <f t="shared" si="1"/>
        <v>0.14380000000000001</v>
      </c>
      <c r="S19" s="555">
        <f t="shared" si="1"/>
        <v>0.11609999999999999</v>
      </c>
      <c r="T19" s="555">
        <f t="shared" si="1"/>
        <v>0</v>
      </c>
      <c r="U19" s="664">
        <f>SUM(R19:T19)</f>
        <v>0.25990000000000002</v>
      </c>
    </row>
    <row r="20" spans="1:21" outlineLevel="1" x14ac:dyDescent="0.25">
      <c r="B20" s="544"/>
      <c r="C20" s="545" t="s">
        <v>376</v>
      </c>
      <c r="D20" s="545">
        <v>4</v>
      </c>
      <c r="E20" s="545" t="s">
        <v>294</v>
      </c>
      <c r="F20" s="735">
        <f>'DUoS (t)'!$T$49</f>
        <v>0.1028</v>
      </c>
      <c r="G20" s="736">
        <f>'TUoS (t)'!$T$49</f>
        <v>0</v>
      </c>
      <c r="H20" s="736">
        <f>'JSO (t)'!$T$49</f>
        <v>0</v>
      </c>
      <c r="I20" s="737">
        <f>SUM(F20:H20)</f>
        <v>0.1028</v>
      </c>
      <c r="J20" s="734"/>
      <c r="K20" s="733"/>
      <c r="L20" s="733"/>
      <c r="M20" s="664">
        <f>SUM(J20:L20)</f>
        <v>0</v>
      </c>
      <c r="N20" s="734">
        <f>-F20</f>
        <v>-0.1028</v>
      </c>
      <c r="O20" s="733"/>
      <c r="P20" s="733"/>
      <c r="Q20" s="664">
        <f>SUM(N20:P20)</f>
        <v>-0.1028</v>
      </c>
      <c r="R20" s="663">
        <f t="shared" si="1"/>
        <v>0</v>
      </c>
      <c r="S20" s="555">
        <f t="shared" si="1"/>
        <v>0</v>
      </c>
      <c r="T20" s="555">
        <f t="shared" si="1"/>
        <v>0</v>
      </c>
      <c r="U20" s="664">
        <f>SUM(R20:T20)</f>
        <v>0</v>
      </c>
    </row>
    <row r="21" spans="1:21" outlineLevel="1" x14ac:dyDescent="0.25">
      <c r="B21" s="544"/>
      <c r="C21" s="545" t="s">
        <v>562</v>
      </c>
      <c r="D21" s="545"/>
      <c r="E21" s="545" t="s">
        <v>288</v>
      </c>
      <c r="F21" s="735">
        <f>'DUoS (t)'!$I$49</f>
        <v>4.1799999999999997E-2</v>
      </c>
      <c r="G21" s="736">
        <f>'TUoS (t)'!$I$49</f>
        <v>1.89E-2</v>
      </c>
      <c r="H21" s="736">
        <f>'JSO (t)'!$I$49</f>
        <v>6.6E-3</v>
      </c>
      <c r="I21" s="737">
        <f>SUM(F21:H21)</f>
        <v>6.7299999999999999E-2</v>
      </c>
      <c r="J21" s="734"/>
      <c r="K21" s="733"/>
      <c r="L21" s="733"/>
      <c r="M21" s="664">
        <f>SUM(J21:L21)</f>
        <v>0</v>
      </c>
      <c r="N21" s="734"/>
      <c r="O21" s="733"/>
      <c r="P21" s="733"/>
      <c r="Q21" s="664">
        <f>SUM(N21:P21)</f>
        <v>0</v>
      </c>
      <c r="R21" s="663">
        <f t="shared" si="1"/>
        <v>4.1799999999999997E-2</v>
      </c>
      <c r="S21" s="555">
        <f t="shared" si="1"/>
        <v>1.89E-2</v>
      </c>
      <c r="T21" s="555">
        <f t="shared" si="1"/>
        <v>6.6E-3</v>
      </c>
      <c r="U21" s="664">
        <f>SUM(R21:T21)</f>
        <v>6.7299999999999999E-2</v>
      </c>
    </row>
    <row r="22" spans="1:21" outlineLevel="1" x14ac:dyDescent="0.25">
      <c r="B22" s="546"/>
      <c r="C22" s="547" t="s">
        <v>563</v>
      </c>
      <c r="D22" s="547"/>
      <c r="E22" s="547" t="s">
        <v>288</v>
      </c>
      <c r="F22" s="738">
        <f>'DUoS (t)'!$K$49</f>
        <v>2.6100000000000002E-2</v>
      </c>
      <c r="G22" s="739">
        <f>'TUoS (t)'!$K$49</f>
        <v>1.18E-2</v>
      </c>
      <c r="H22" s="739">
        <f>'JSO (t)'!$K$49</f>
        <v>4.1000000000000003E-3</v>
      </c>
      <c r="I22" s="740">
        <f>SUM(F22:H22)</f>
        <v>4.2000000000000003E-2</v>
      </c>
      <c r="J22" s="560"/>
      <c r="K22" s="561"/>
      <c r="L22" s="561"/>
      <c r="M22" s="558">
        <f>SUM(J22:L22)</f>
        <v>0</v>
      </c>
      <c r="N22" s="560"/>
      <c r="O22" s="561"/>
      <c r="P22" s="561"/>
      <c r="Q22" s="558">
        <f>SUM(N22:P22)</f>
        <v>0</v>
      </c>
      <c r="R22" s="556">
        <f t="shared" si="1"/>
        <v>2.6100000000000002E-2</v>
      </c>
      <c r="S22" s="557">
        <f t="shared" si="1"/>
        <v>1.18E-2</v>
      </c>
      <c r="T22" s="557">
        <f t="shared" si="1"/>
        <v>4.1000000000000003E-3</v>
      </c>
      <c r="U22" s="558">
        <f>SUM(R22:T22)</f>
        <v>4.2000000000000003E-2</v>
      </c>
    </row>
    <row r="23" spans="1:21" outlineLevel="1" x14ac:dyDescent="0.25">
      <c r="F23" s="741"/>
      <c r="G23" s="741"/>
      <c r="H23" s="741"/>
      <c r="I23" s="741"/>
    </row>
    <row r="24" spans="1:21" outlineLevel="1" x14ac:dyDescent="0.25">
      <c r="A24" s="831" t="s">
        <v>568</v>
      </c>
      <c r="F24" s="742"/>
      <c r="G24" s="742"/>
      <c r="H24" s="742"/>
      <c r="I24" s="742"/>
      <c r="J24" s="746"/>
      <c r="K24" s="746"/>
      <c r="L24" s="746"/>
      <c r="M24" s="746"/>
      <c r="N24" s="746"/>
      <c r="O24" s="746"/>
      <c r="P24" s="746"/>
      <c r="Q24" s="746"/>
      <c r="R24" s="746"/>
      <c r="S24" s="746"/>
      <c r="T24" s="746"/>
      <c r="U24" s="746"/>
    </row>
    <row r="25" spans="1:21" outlineLevel="1" x14ac:dyDescent="0.25">
      <c r="B25" s="542"/>
      <c r="C25" s="543"/>
      <c r="D25" s="543"/>
      <c r="E25" s="543" t="s">
        <v>315</v>
      </c>
      <c r="F25" s="743"/>
      <c r="G25" s="744"/>
      <c r="H25" s="744"/>
      <c r="I25" s="745"/>
      <c r="J25" s="552"/>
      <c r="K25" s="553"/>
      <c r="L25" s="553"/>
      <c r="M25" s="554"/>
      <c r="N25" s="552"/>
      <c r="O25" s="553"/>
      <c r="P25" s="553"/>
      <c r="Q25" s="554"/>
      <c r="R25" s="552"/>
      <c r="S25" s="553"/>
      <c r="T25" s="553"/>
      <c r="U25" s="554"/>
    </row>
    <row r="26" spans="1:21" outlineLevel="1" x14ac:dyDescent="0.25">
      <c r="B26" s="544"/>
      <c r="C26" s="545" t="s">
        <v>374</v>
      </c>
      <c r="D26" s="545"/>
      <c r="E26" s="545" t="s">
        <v>287</v>
      </c>
      <c r="F26" s="735">
        <f>('DUoS (t)'!$G$49)*1</f>
        <v>6.7949999999999999</v>
      </c>
      <c r="G26" s="736">
        <f>('TUoS (t)'!$G$49)*1</f>
        <v>0</v>
      </c>
      <c r="H26" s="736">
        <f>('JSO (t)'!$G$49)*1</f>
        <v>0</v>
      </c>
      <c r="I26" s="737">
        <f>SUM(F26:H26)</f>
        <v>6.7949999999999999</v>
      </c>
      <c r="J26" s="734"/>
      <c r="K26" s="733"/>
      <c r="L26" s="733"/>
      <c r="M26" s="664">
        <f>SUM(J26:L26)</f>
        <v>0</v>
      </c>
      <c r="N26" s="734"/>
      <c r="O26" s="733"/>
      <c r="P26" s="733"/>
      <c r="Q26" s="664">
        <f>SUM(N26:P26)</f>
        <v>0</v>
      </c>
      <c r="R26" s="663">
        <f t="shared" ref="R26:T30" si="2">SUM(F26,J26,N26)</f>
        <v>6.7949999999999999</v>
      </c>
      <c r="S26" s="555">
        <f t="shared" si="2"/>
        <v>0</v>
      </c>
      <c r="T26" s="555">
        <f t="shared" si="2"/>
        <v>0</v>
      </c>
      <c r="U26" s="664">
        <f>SUM(R26:T26)</f>
        <v>6.7949999999999999</v>
      </c>
    </row>
    <row r="27" spans="1:21" outlineLevel="1" x14ac:dyDescent="0.25">
      <c r="B27" s="544"/>
      <c r="C27" s="545" t="s">
        <v>375</v>
      </c>
      <c r="D27" s="545">
        <v>4</v>
      </c>
      <c r="E27" s="545" t="s">
        <v>294</v>
      </c>
      <c r="F27" s="735">
        <f>'DUoS (t)'!$S$49</f>
        <v>0.14380000000000001</v>
      </c>
      <c r="G27" s="736">
        <f>'TUoS (t)'!$S$49</f>
        <v>0.11609999999999999</v>
      </c>
      <c r="H27" s="736">
        <f>'JSO (t)'!$S$49</f>
        <v>0</v>
      </c>
      <c r="I27" s="737">
        <f>SUM(F27:H27)</f>
        <v>0.25990000000000002</v>
      </c>
      <c r="J27" s="734"/>
      <c r="K27" s="733"/>
      <c r="L27" s="733"/>
      <c r="M27" s="664">
        <f>SUM(J27:L27)</f>
        <v>0</v>
      </c>
      <c r="N27" s="734"/>
      <c r="O27" s="733"/>
      <c r="P27" s="733"/>
      <c r="Q27" s="664">
        <f>SUM(N27:P27)</f>
        <v>0</v>
      </c>
      <c r="R27" s="663">
        <f t="shared" si="2"/>
        <v>0.14380000000000001</v>
      </c>
      <c r="S27" s="555">
        <f t="shared" si="2"/>
        <v>0.11609999999999999</v>
      </c>
      <c r="T27" s="555">
        <f t="shared" si="2"/>
        <v>0</v>
      </c>
      <c r="U27" s="664">
        <f>SUM(R27:T27)</f>
        <v>0.25990000000000002</v>
      </c>
    </row>
    <row r="28" spans="1:21" outlineLevel="1" x14ac:dyDescent="0.25">
      <c r="B28" s="544"/>
      <c r="C28" s="545" t="s">
        <v>376</v>
      </c>
      <c r="D28" s="545">
        <v>4</v>
      </c>
      <c r="E28" s="545" t="s">
        <v>294</v>
      </c>
      <c r="F28" s="735">
        <f>'DUoS (t)'!$T$49</f>
        <v>0.1028</v>
      </c>
      <c r="G28" s="736">
        <f>'TUoS (t)'!$T$49</f>
        <v>0</v>
      </c>
      <c r="H28" s="736">
        <f>'JSO (t)'!$T$49</f>
        <v>0</v>
      </c>
      <c r="I28" s="737">
        <f>SUM(F28:H28)</f>
        <v>0.1028</v>
      </c>
      <c r="J28" s="734"/>
      <c r="K28" s="733"/>
      <c r="L28" s="733"/>
      <c r="M28" s="664">
        <f>SUM(J28:L28)</f>
        <v>0</v>
      </c>
      <c r="N28" s="734"/>
      <c r="O28" s="733"/>
      <c r="P28" s="733"/>
      <c r="Q28" s="664">
        <f>SUM(N28:P28)</f>
        <v>0</v>
      </c>
      <c r="R28" s="663">
        <f t="shared" si="2"/>
        <v>0.1028</v>
      </c>
      <c r="S28" s="555">
        <f t="shared" si="2"/>
        <v>0</v>
      </c>
      <c r="T28" s="555">
        <f t="shared" si="2"/>
        <v>0</v>
      </c>
      <c r="U28" s="664">
        <f>SUM(R28:T28)</f>
        <v>0.1028</v>
      </c>
    </row>
    <row r="29" spans="1:21" outlineLevel="1" x14ac:dyDescent="0.25">
      <c r="B29" s="544"/>
      <c r="C29" s="545" t="s">
        <v>562</v>
      </c>
      <c r="D29" s="545"/>
      <c r="E29" s="545" t="s">
        <v>288</v>
      </c>
      <c r="F29" s="735">
        <f>'DUoS (t)'!$I$49</f>
        <v>4.1799999999999997E-2</v>
      </c>
      <c r="G29" s="736">
        <f>'TUoS (t)'!$I$49</f>
        <v>1.89E-2</v>
      </c>
      <c r="H29" s="736">
        <f>'JSO (t)'!$I$49</f>
        <v>6.6E-3</v>
      </c>
      <c r="I29" s="737">
        <f>SUM(F29:H29)</f>
        <v>6.7299999999999999E-2</v>
      </c>
      <c r="J29" s="734"/>
      <c r="K29" s="733"/>
      <c r="L29" s="733"/>
      <c r="M29" s="664">
        <f>SUM(J29:L29)</f>
        <v>0</v>
      </c>
      <c r="N29" s="734"/>
      <c r="O29" s="733"/>
      <c r="P29" s="733"/>
      <c r="Q29" s="664">
        <f>SUM(N29:P29)</f>
        <v>0</v>
      </c>
      <c r="R29" s="663">
        <f t="shared" si="2"/>
        <v>4.1799999999999997E-2</v>
      </c>
      <c r="S29" s="555">
        <f t="shared" si="2"/>
        <v>1.89E-2</v>
      </c>
      <c r="T29" s="555">
        <f t="shared" si="2"/>
        <v>6.6E-3</v>
      </c>
      <c r="U29" s="664">
        <f>SUM(R29:T29)</f>
        <v>6.7299999999999999E-2</v>
      </c>
    </row>
    <row r="30" spans="1:21" outlineLevel="1" x14ac:dyDescent="0.25">
      <c r="B30" s="546"/>
      <c r="C30" s="547" t="s">
        <v>563</v>
      </c>
      <c r="D30" s="547"/>
      <c r="E30" s="547" t="s">
        <v>288</v>
      </c>
      <c r="F30" s="738">
        <f>'DUoS (t)'!$K$49</f>
        <v>2.6100000000000002E-2</v>
      </c>
      <c r="G30" s="739">
        <f>'TUoS (t)'!$K$49</f>
        <v>1.18E-2</v>
      </c>
      <c r="H30" s="739">
        <f>'JSO (t)'!$K$49</f>
        <v>4.1000000000000003E-3</v>
      </c>
      <c r="I30" s="740">
        <f>SUM(F30:H30)</f>
        <v>4.2000000000000003E-2</v>
      </c>
      <c r="J30" s="560"/>
      <c r="K30" s="561"/>
      <c r="L30" s="561"/>
      <c r="M30" s="558">
        <f>SUM(J30:L30)</f>
        <v>0</v>
      </c>
      <c r="N30" s="560"/>
      <c r="O30" s="561"/>
      <c r="P30" s="561"/>
      <c r="Q30" s="558">
        <f>SUM(N30:P30)</f>
        <v>0</v>
      </c>
      <c r="R30" s="556">
        <f t="shared" si="2"/>
        <v>2.6100000000000002E-2</v>
      </c>
      <c r="S30" s="557">
        <f t="shared" si="2"/>
        <v>1.18E-2</v>
      </c>
      <c r="T30" s="557">
        <f t="shared" si="2"/>
        <v>4.1000000000000003E-3</v>
      </c>
      <c r="U30" s="558">
        <f>SUM(R30:T30)</f>
        <v>4.2000000000000003E-2</v>
      </c>
    </row>
    <row r="31" spans="1:21" outlineLevel="1" x14ac:dyDescent="0.25">
      <c r="F31" s="741"/>
      <c r="G31" s="741"/>
      <c r="H31" s="741"/>
      <c r="I31" s="741"/>
    </row>
    <row r="32" spans="1:21" outlineLevel="1" x14ac:dyDescent="0.25">
      <c r="A32" s="559" t="s">
        <v>569</v>
      </c>
      <c r="F32" s="742"/>
      <c r="G32" s="742"/>
      <c r="H32" s="742"/>
      <c r="I32" s="742"/>
      <c r="J32" s="746"/>
      <c r="K32" s="746"/>
      <c r="L32" s="746"/>
      <c r="M32" s="746"/>
      <c r="N32" s="746"/>
      <c r="O32" s="746"/>
      <c r="P32" s="746"/>
      <c r="Q32" s="746"/>
      <c r="R32" s="746"/>
      <c r="S32" s="746"/>
      <c r="T32" s="746"/>
      <c r="U32" s="746"/>
    </row>
    <row r="33" spans="1:21" outlineLevel="1" x14ac:dyDescent="0.25">
      <c r="B33" s="542"/>
      <c r="C33" s="543"/>
      <c r="D33" s="543"/>
      <c r="E33" s="543" t="s">
        <v>315</v>
      </c>
      <c r="F33" s="743"/>
      <c r="G33" s="744"/>
      <c r="H33" s="744"/>
      <c r="I33" s="745"/>
      <c r="J33" s="552"/>
      <c r="K33" s="553"/>
      <c r="L33" s="553"/>
      <c r="M33" s="554"/>
      <c r="N33" s="552"/>
      <c r="O33" s="553"/>
      <c r="P33" s="553"/>
      <c r="Q33" s="554"/>
      <c r="R33" s="552"/>
      <c r="S33" s="553"/>
      <c r="T33" s="553"/>
      <c r="U33" s="554"/>
    </row>
    <row r="34" spans="1:21" outlineLevel="1" x14ac:dyDescent="0.25">
      <c r="B34" s="544"/>
      <c r="C34" s="545" t="s">
        <v>374</v>
      </c>
      <c r="D34" s="545"/>
      <c r="E34" s="545" t="s">
        <v>287</v>
      </c>
      <c r="F34" s="735">
        <f>('DUoS (t)'!$G$49)*1</f>
        <v>6.7949999999999999</v>
      </c>
      <c r="G34" s="736">
        <f>('TUoS (t)'!$G$49)*1</f>
        <v>0</v>
      </c>
      <c r="H34" s="736">
        <f>('JSO (t)'!$G$49)*1</f>
        <v>0</v>
      </c>
      <c r="I34" s="737">
        <f>SUM(F34:H34)</f>
        <v>6.7949999999999999</v>
      </c>
      <c r="J34" s="734"/>
      <c r="K34" s="733"/>
      <c r="L34" s="733"/>
      <c r="M34" s="664">
        <f>SUM(J34:L34)</f>
        <v>0</v>
      </c>
      <c r="N34" s="734">
        <f>(2*F34)+(1067*F36)</f>
        <v>123.27760000000001</v>
      </c>
      <c r="O34" s="733"/>
      <c r="P34" s="733"/>
      <c r="Q34" s="664">
        <f>SUM(N34:P34)</f>
        <v>123.27760000000001</v>
      </c>
      <c r="R34" s="663">
        <f t="shared" ref="R34:T38" si="3">SUM(F34,J34,N34)</f>
        <v>130.07259999999999</v>
      </c>
      <c r="S34" s="555">
        <f t="shared" si="3"/>
        <v>0</v>
      </c>
      <c r="T34" s="555">
        <f t="shared" si="3"/>
        <v>0</v>
      </c>
      <c r="U34" s="664">
        <f>SUM(R34:T34)</f>
        <v>130.07259999999999</v>
      </c>
    </row>
    <row r="35" spans="1:21" outlineLevel="1" x14ac:dyDescent="0.25">
      <c r="B35" s="544"/>
      <c r="C35" s="545" t="s">
        <v>375</v>
      </c>
      <c r="D35" s="545">
        <v>4</v>
      </c>
      <c r="E35" s="545" t="s">
        <v>294</v>
      </c>
      <c r="F35" s="735">
        <f>'DUoS (t)'!$S$49</f>
        <v>0.14380000000000001</v>
      </c>
      <c r="G35" s="736">
        <f>'TUoS (t)'!$S$49</f>
        <v>0.11609999999999999</v>
      </c>
      <c r="H35" s="736">
        <f>'JSO (t)'!$S$49</f>
        <v>0</v>
      </c>
      <c r="I35" s="737">
        <f>SUM(F35:H35)</f>
        <v>0.25990000000000002</v>
      </c>
      <c r="J35" s="734"/>
      <c r="K35" s="733"/>
      <c r="L35" s="733"/>
      <c r="M35" s="664">
        <f>SUM(J35:L35)</f>
        <v>0</v>
      </c>
      <c r="N35" s="734"/>
      <c r="O35" s="733"/>
      <c r="P35" s="733"/>
      <c r="Q35" s="664">
        <f>SUM(N35:P35)</f>
        <v>0</v>
      </c>
      <c r="R35" s="663">
        <f t="shared" si="3"/>
        <v>0.14380000000000001</v>
      </c>
      <c r="S35" s="555">
        <f t="shared" si="3"/>
        <v>0.11609999999999999</v>
      </c>
      <c r="T35" s="555">
        <f t="shared" si="3"/>
        <v>0</v>
      </c>
      <c r="U35" s="664">
        <f>SUM(R35:T35)</f>
        <v>0.25990000000000002</v>
      </c>
    </row>
    <row r="36" spans="1:21" outlineLevel="1" x14ac:dyDescent="0.25">
      <c r="B36" s="544"/>
      <c r="C36" s="545" t="s">
        <v>376</v>
      </c>
      <c r="D36" s="545">
        <v>4</v>
      </c>
      <c r="E36" s="545" t="s">
        <v>294</v>
      </c>
      <c r="F36" s="735">
        <f>'DUoS (t)'!$T$49</f>
        <v>0.1028</v>
      </c>
      <c r="G36" s="736">
        <f>'TUoS (t)'!$T$49</f>
        <v>0</v>
      </c>
      <c r="H36" s="736">
        <f>'JSO (t)'!$T$49</f>
        <v>0</v>
      </c>
      <c r="I36" s="737">
        <f>SUM(F36:H36)</f>
        <v>0.1028</v>
      </c>
      <c r="J36" s="734"/>
      <c r="K36" s="733"/>
      <c r="L36" s="733"/>
      <c r="M36" s="664">
        <f>SUM(J36:L36)</f>
        <v>0</v>
      </c>
      <c r="N36" s="734">
        <f>-F36</f>
        <v>-0.1028</v>
      </c>
      <c r="O36" s="733"/>
      <c r="P36" s="733"/>
      <c r="Q36" s="664">
        <f>SUM(N36:P36)</f>
        <v>-0.1028</v>
      </c>
      <c r="R36" s="663">
        <f t="shared" si="3"/>
        <v>0</v>
      </c>
      <c r="S36" s="555">
        <f t="shared" si="3"/>
        <v>0</v>
      </c>
      <c r="T36" s="555">
        <f t="shared" si="3"/>
        <v>0</v>
      </c>
      <c r="U36" s="664">
        <f>SUM(R36:T36)</f>
        <v>0</v>
      </c>
    </row>
    <row r="37" spans="1:21" outlineLevel="1" x14ac:dyDescent="0.25">
      <c r="B37" s="544"/>
      <c r="C37" s="545" t="s">
        <v>562</v>
      </c>
      <c r="D37" s="545"/>
      <c r="E37" s="545" t="s">
        <v>288</v>
      </c>
      <c r="F37" s="735">
        <f>'DUoS (t)'!$I$49</f>
        <v>4.1799999999999997E-2</v>
      </c>
      <c r="G37" s="736">
        <f>'TUoS (t)'!$I$49</f>
        <v>1.89E-2</v>
      </c>
      <c r="H37" s="736">
        <f>'JSO (t)'!$I$49</f>
        <v>6.6E-3</v>
      </c>
      <c r="I37" s="737">
        <f>SUM(F37:H37)</f>
        <v>6.7299999999999999E-2</v>
      </c>
      <c r="J37" s="734"/>
      <c r="K37" s="733"/>
      <c r="L37" s="733"/>
      <c r="M37" s="664">
        <f>SUM(J37:L37)</f>
        <v>0</v>
      </c>
      <c r="N37" s="734"/>
      <c r="O37" s="733"/>
      <c r="P37" s="733"/>
      <c r="Q37" s="664">
        <f>SUM(N37:P37)</f>
        <v>0</v>
      </c>
      <c r="R37" s="663">
        <f t="shared" si="3"/>
        <v>4.1799999999999997E-2</v>
      </c>
      <c r="S37" s="555">
        <f t="shared" si="3"/>
        <v>1.89E-2</v>
      </c>
      <c r="T37" s="555">
        <f t="shared" si="3"/>
        <v>6.6E-3</v>
      </c>
      <c r="U37" s="664">
        <f>SUM(R37:T37)</f>
        <v>6.7299999999999999E-2</v>
      </c>
    </row>
    <row r="38" spans="1:21" outlineLevel="1" x14ac:dyDescent="0.25">
      <c r="B38" s="546"/>
      <c r="C38" s="547" t="s">
        <v>563</v>
      </c>
      <c r="D38" s="547"/>
      <c r="E38" s="547" t="s">
        <v>288</v>
      </c>
      <c r="F38" s="738">
        <f>'DUoS (t)'!$K$49</f>
        <v>2.6100000000000002E-2</v>
      </c>
      <c r="G38" s="739">
        <f>'TUoS (t)'!$K$49</f>
        <v>1.18E-2</v>
      </c>
      <c r="H38" s="739">
        <f>'JSO (t)'!$K$49</f>
        <v>4.1000000000000003E-3</v>
      </c>
      <c r="I38" s="740">
        <f>SUM(F38:H38)</f>
        <v>4.2000000000000003E-2</v>
      </c>
      <c r="J38" s="560"/>
      <c r="K38" s="561"/>
      <c r="L38" s="561"/>
      <c r="M38" s="558">
        <f>SUM(J38:L38)</f>
        <v>0</v>
      </c>
      <c r="N38" s="560"/>
      <c r="O38" s="561"/>
      <c r="P38" s="561"/>
      <c r="Q38" s="558">
        <f>SUM(N38:P38)</f>
        <v>0</v>
      </c>
      <c r="R38" s="556">
        <f t="shared" si="3"/>
        <v>2.6100000000000002E-2</v>
      </c>
      <c r="S38" s="557">
        <f t="shared" si="3"/>
        <v>1.18E-2</v>
      </c>
      <c r="T38" s="557">
        <f t="shared" si="3"/>
        <v>4.1000000000000003E-3</v>
      </c>
      <c r="U38" s="558">
        <f>SUM(R38:T38)</f>
        <v>4.2000000000000003E-2</v>
      </c>
    </row>
    <row r="39" spans="1:21" outlineLevel="1" x14ac:dyDescent="0.25">
      <c r="F39" s="741"/>
      <c r="G39" s="741"/>
      <c r="H39" s="741"/>
      <c r="I39" s="741"/>
    </row>
    <row r="40" spans="1:21" outlineLevel="1" x14ac:dyDescent="0.25">
      <c r="A40" s="559" t="s">
        <v>570</v>
      </c>
      <c r="F40" s="742"/>
      <c r="G40" s="742"/>
      <c r="H40" s="742"/>
      <c r="I40" s="742"/>
      <c r="J40" s="746"/>
      <c r="K40" s="746"/>
      <c r="L40" s="746"/>
      <c r="M40" s="746"/>
      <c r="N40" s="746"/>
      <c r="O40" s="746"/>
      <c r="P40" s="746"/>
      <c r="Q40" s="746"/>
      <c r="R40" s="746"/>
      <c r="S40" s="746"/>
      <c r="T40" s="746"/>
      <c r="U40" s="746"/>
    </row>
    <row r="41" spans="1:21" outlineLevel="1" x14ac:dyDescent="0.25">
      <c r="B41" s="542"/>
      <c r="C41" s="543"/>
      <c r="D41" s="543"/>
      <c r="E41" s="543" t="s">
        <v>315</v>
      </c>
      <c r="F41" s="743"/>
      <c r="G41" s="744"/>
      <c r="H41" s="744"/>
      <c r="I41" s="745"/>
      <c r="J41" s="552"/>
      <c r="K41" s="553"/>
      <c r="L41" s="553"/>
      <c r="M41" s="554"/>
      <c r="N41" s="552"/>
      <c r="O41" s="553"/>
      <c r="P41" s="553"/>
      <c r="Q41" s="554"/>
      <c r="R41" s="552"/>
      <c r="S41" s="553"/>
      <c r="T41" s="553"/>
      <c r="U41" s="554"/>
    </row>
    <row r="42" spans="1:21" outlineLevel="1" x14ac:dyDescent="0.25">
      <c r="B42" s="544"/>
      <c r="C42" s="545" t="s">
        <v>374</v>
      </c>
      <c r="D42" s="545"/>
      <c r="E42" s="545" t="s">
        <v>287</v>
      </c>
      <c r="F42" s="735">
        <f>('DUoS (t)'!$G$49)*1</f>
        <v>6.7949999999999999</v>
      </c>
      <c r="G42" s="736">
        <f>('TUoS (t)'!$G$49)*1</f>
        <v>0</v>
      </c>
      <c r="H42" s="736">
        <f>('JSO (t)'!$G$49)*1</f>
        <v>0</v>
      </c>
      <c r="I42" s="737">
        <f>SUM(F42:H42)</f>
        <v>6.7949999999999999</v>
      </c>
      <c r="J42" s="734"/>
      <c r="K42" s="733"/>
      <c r="L42" s="733"/>
      <c r="M42" s="664">
        <f>SUM(J42:L42)</f>
        <v>0</v>
      </c>
      <c r="N42" s="734">
        <f>(1*F42)+(837*F44)</f>
        <v>92.8386</v>
      </c>
      <c r="O42" s="733"/>
      <c r="P42" s="733"/>
      <c r="Q42" s="664">
        <f>SUM(N42:P42)</f>
        <v>92.8386</v>
      </c>
      <c r="R42" s="663">
        <f t="shared" ref="R42:T46" si="4">SUM(F42,J42,N42)</f>
        <v>99.633600000000001</v>
      </c>
      <c r="S42" s="555">
        <f t="shared" si="4"/>
        <v>0</v>
      </c>
      <c r="T42" s="555">
        <f t="shared" si="4"/>
        <v>0</v>
      </c>
      <c r="U42" s="664">
        <f>SUM(R42:T42)</f>
        <v>99.633600000000001</v>
      </c>
    </row>
    <row r="43" spans="1:21" outlineLevel="1" x14ac:dyDescent="0.25">
      <c r="B43" s="544"/>
      <c r="C43" s="545" t="s">
        <v>375</v>
      </c>
      <c r="D43" s="545">
        <v>4</v>
      </c>
      <c r="E43" s="545" t="s">
        <v>294</v>
      </c>
      <c r="F43" s="735">
        <f>'DUoS (t)'!$S$49</f>
        <v>0.14380000000000001</v>
      </c>
      <c r="G43" s="736">
        <f>'TUoS (t)'!$S$49</f>
        <v>0.11609999999999999</v>
      </c>
      <c r="H43" s="736">
        <f>'JSO (t)'!$S$49</f>
        <v>0</v>
      </c>
      <c r="I43" s="737">
        <f>SUM(F43:H43)</f>
        <v>0.25990000000000002</v>
      </c>
      <c r="J43" s="734"/>
      <c r="K43" s="733"/>
      <c r="L43" s="733"/>
      <c r="M43" s="664">
        <f>SUM(J43:L43)</f>
        <v>0</v>
      </c>
      <c r="N43" s="734"/>
      <c r="O43" s="733"/>
      <c r="P43" s="733"/>
      <c r="Q43" s="664">
        <f>SUM(N43:P43)</f>
        <v>0</v>
      </c>
      <c r="R43" s="663">
        <f t="shared" si="4"/>
        <v>0.14380000000000001</v>
      </c>
      <c r="S43" s="555">
        <f t="shared" si="4"/>
        <v>0.11609999999999999</v>
      </c>
      <c r="T43" s="555">
        <f t="shared" si="4"/>
        <v>0</v>
      </c>
      <c r="U43" s="664">
        <f>SUM(R43:T43)</f>
        <v>0.25990000000000002</v>
      </c>
    </row>
    <row r="44" spans="1:21" outlineLevel="1" x14ac:dyDescent="0.25">
      <c r="B44" s="544"/>
      <c r="C44" s="545" t="s">
        <v>376</v>
      </c>
      <c r="D44" s="545">
        <v>4</v>
      </c>
      <c r="E44" s="545" t="s">
        <v>294</v>
      </c>
      <c r="F44" s="735">
        <f>'DUoS (t)'!$T$49</f>
        <v>0.1028</v>
      </c>
      <c r="G44" s="736">
        <f>'TUoS (t)'!$T$49</f>
        <v>0</v>
      </c>
      <c r="H44" s="736">
        <f>'JSO (t)'!$T$49</f>
        <v>0</v>
      </c>
      <c r="I44" s="737">
        <f>SUM(F44:H44)</f>
        <v>0.1028</v>
      </c>
      <c r="J44" s="734"/>
      <c r="K44" s="733"/>
      <c r="L44" s="733"/>
      <c r="M44" s="664">
        <f>SUM(J44:L44)</f>
        <v>0</v>
      </c>
      <c r="N44" s="734">
        <f>-F44</f>
        <v>-0.1028</v>
      </c>
      <c r="O44" s="733"/>
      <c r="P44" s="733"/>
      <c r="Q44" s="664">
        <f>SUM(N44:P44)</f>
        <v>-0.1028</v>
      </c>
      <c r="R44" s="663">
        <f t="shared" si="4"/>
        <v>0</v>
      </c>
      <c r="S44" s="555">
        <f t="shared" si="4"/>
        <v>0</v>
      </c>
      <c r="T44" s="555">
        <f t="shared" si="4"/>
        <v>0</v>
      </c>
      <c r="U44" s="664">
        <f>SUM(R44:T44)</f>
        <v>0</v>
      </c>
    </row>
    <row r="45" spans="1:21" outlineLevel="1" x14ac:dyDescent="0.25">
      <c r="B45" s="544"/>
      <c r="C45" s="545" t="s">
        <v>562</v>
      </c>
      <c r="D45" s="545"/>
      <c r="E45" s="545" t="s">
        <v>288</v>
      </c>
      <c r="F45" s="735">
        <f>'DUoS (t)'!$I$49</f>
        <v>4.1799999999999997E-2</v>
      </c>
      <c r="G45" s="736">
        <f>'TUoS (t)'!$I$49</f>
        <v>1.89E-2</v>
      </c>
      <c r="H45" s="736">
        <f>'JSO (t)'!$I$49</f>
        <v>6.6E-3</v>
      </c>
      <c r="I45" s="737">
        <f>SUM(F45:H45)</f>
        <v>6.7299999999999999E-2</v>
      </c>
      <c r="J45" s="734"/>
      <c r="K45" s="733"/>
      <c r="L45" s="733"/>
      <c r="M45" s="664">
        <f>SUM(J45:L45)</f>
        <v>0</v>
      </c>
      <c r="N45" s="734"/>
      <c r="O45" s="733"/>
      <c r="P45" s="733"/>
      <c r="Q45" s="664">
        <f>SUM(N45:P45)</f>
        <v>0</v>
      </c>
      <c r="R45" s="663">
        <f t="shared" si="4"/>
        <v>4.1799999999999997E-2</v>
      </c>
      <c r="S45" s="555">
        <f t="shared" si="4"/>
        <v>1.89E-2</v>
      </c>
      <c r="T45" s="555">
        <f t="shared" si="4"/>
        <v>6.6E-3</v>
      </c>
      <c r="U45" s="664">
        <f>SUM(R45:T45)</f>
        <v>6.7299999999999999E-2</v>
      </c>
    </row>
    <row r="46" spans="1:21" outlineLevel="1" x14ac:dyDescent="0.25">
      <c r="B46" s="546"/>
      <c r="C46" s="547" t="s">
        <v>563</v>
      </c>
      <c r="D46" s="547"/>
      <c r="E46" s="547" t="s">
        <v>288</v>
      </c>
      <c r="F46" s="738">
        <f>'DUoS (t)'!$K$49</f>
        <v>2.6100000000000002E-2</v>
      </c>
      <c r="G46" s="739">
        <f>'TUoS (t)'!$K$49</f>
        <v>1.18E-2</v>
      </c>
      <c r="H46" s="739">
        <f>'JSO (t)'!$K$49</f>
        <v>4.1000000000000003E-3</v>
      </c>
      <c r="I46" s="740">
        <f>SUM(F46:H46)</f>
        <v>4.2000000000000003E-2</v>
      </c>
      <c r="J46" s="560"/>
      <c r="K46" s="561"/>
      <c r="L46" s="561"/>
      <c r="M46" s="558">
        <f>SUM(J46:L46)</f>
        <v>0</v>
      </c>
      <c r="N46" s="560"/>
      <c r="O46" s="561"/>
      <c r="P46" s="561"/>
      <c r="Q46" s="558">
        <f>SUM(N46:P46)</f>
        <v>0</v>
      </c>
      <c r="R46" s="556">
        <f t="shared" si="4"/>
        <v>2.6100000000000002E-2</v>
      </c>
      <c r="S46" s="557">
        <f t="shared" si="4"/>
        <v>1.18E-2</v>
      </c>
      <c r="T46" s="557">
        <f t="shared" si="4"/>
        <v>4.1000000000000003E-3</v>
      </c>
      <c r="U46" s="558">
        <f>SUM(R46:T46)</f>
        <v>4.2000000000000003E-2</v>
      </c>
    </row>
    <row r="47" spans="1:21" outlineLevel="1" x14ac:dyDescent="0.25">
      <c r="F47" s="741"/>
      <c r="G47" s="741"/>
      <c r="H47" s="741"/>
      <c r="I47" s="741"/>
    </row>
    <row r="48" spans="1:21" outlineLevel="1" x14ac:dyDescent="0.25">
      <c r="A48" s="559" t="s">
        <v>572</v>
      </c>
      <c r="F48" s="742"/>
      <c r="G48" s="742"/>
      <c r="H48" s="742"/>
      <c r="I48" s="742"/>
      <c r="J48" s="746"/>
      <c r="K48" s="746"/>
      <c r="L48" s="746"/>
      <c r="M48" s="746"/>
      <c r="N48" s="746"/>
      <c r="O48" s="746"/>
      <c r="P48" s="746"/>
      <c r="Q48" s="746"/>
      <c r="R48" s="746"/>
      <c r="S48" s="746"/>
      <c r="T48" s="746"/>
      <c r="U48" s="746"/>
    </row>
    <row r="49" spans="1:21" outlineLevel="1" x14ac:dyDescent="0.25">
      <c r="B49" s="542"/>
      <c r="C49" s="543"/>
      <c r="D49" s="543"/>
      <c r="E49" s="543" t="s">
        <v>315</v>
      </c>
      <c r="F49" s="743"/>
      <c r="G49" s="744"/>
      <c r="H49" s="744"/>
      <c r="I49" s="745"/>
      <c r="J49" s="552"/>
      <c r="K49" s="553"/>
      <c r="L49" s="553"/>
      <c r="M49" s="554"/>
      <c r="N49" s="552"/>
      <c r="O49" s="553"/>
      <c r="P49" s="553"/>
      <c r="Q49" s="554"/>
      <c r="R49" s="552"/>
      <c r="S49" s="553"/>
      <c r="T49" s="553"/>
      <c r="U49" s="554"/>
    </row>
    <row r="50" spans="1:21" outlineLevel="1" x14ac:dyDescent="0.25">
      <c r="B50" s="544"/>
      <c r="C50" s="545" t="s">
        <v>374</v>
      </c>
      <c r="D50" s="545"/>
      <c r="E50" s="545" t="s">
        <v>287</v>
      </c>
      <c r="F50" s="735">
        <f>('DUoS (t)'!$G$49)*1</f>
        <v>6.7949999999999999</v>
      </c>
      <c r="G50" s="736">
        <f>('TUoS (t)'!$G$49)*1</f>
        <v>0</v>
      </c>
      <c r="H50" s="736">
        <f>('JSO (t)'!$G$49)*1</f>
        <v>0</v>
      </c>
      <c r="I50" s="737">
        <f>SUM(F50:H50)</f>
        <v>6.7949999999999999</v>
      </c>
      <c r="J50" s="734"/>
      <c r="K50" s="733"/>
      <c r="L50" s="733"/>
      <c r="M50" s="664">
        <f>SUM(J50:L50)</f>
        <v>0</v>
      </c>
      <c r="N50" s="734">
        <f>(1*F50)+(2511*F52)</f>
        <v>264.92580000000004</v>
      </c>
      <c r="O50" s="733"/>
      <c r="P50" s="733"/>
      <c r="Q50" s="664">
        <f>SUM(N50:P50)</f>
        <v>264.92580000000004</v>
      </c>
      <c r="R50" s="663">
        <f t="shared" ref="R50:T54" si="5">SUM(F50,J50,N50)</f>
        <v>271.72080000000005</v>
      </c>
      <c r="S50" s="555">
        <f t="shared" si="5"/>
        <v>0</v>
      </c>
      <c r="T50" s="555">
        <f t="shared" si="5"/>
        <v>0</v>
      </c>
      <c r="U50" s="664">
        <f>SUM(R50:T50)</f>
        <v>271.72080000000005</v>
      </c>
    </row>
    <row r="51" spans="1:21" outlineLevel="1" x14ac:dyDescent="0.25">
      <c r="B51" s="544"/>
      <c r="C51" s="545" t="s">
        <v>375</v>
      </c>
      <c r="D51" s="545">
        <v>4</v>
      </c>
      <c r="E51" s="545" t="s">
        <v>294</v>
      </c>
      <c r="F51" s="735">
        <f>'DUoS (t)'!$S$49</f>
        <v>0.14380000000000001</v>
      </c>
      <c r="G51" s="736">
        <f>'TUoS (t)'!$S$49</f>
        <v>0.11609999999999999</v>
      </c>
      <c r="H51" s="736">
        <f>'JSO (t)'!$S$49</f>
        <v>0</v>
      </c>
      <c r="I51" s="737">
        <f>SUM(F51:H51)</f>
        <v>0.25990000000000002</v>
      </c>
      <c r="J51" s="734"/>
      <c r="K51" s="733"/>
      <c r="L51" s="733"/>
      <c r="M51" s="664">
        <f>SUM(J51:L51)</f>
        <v>0</v>
      </c>
      <c r="N51" s="734"/>
      <c r="O51" s="733"/>
      <c r="P51" s="733"/>
      <c r="Q51" s="664">
        <f>SUM(N51:P51)</f>
        <v>0</v>
      </c>
      <c r="R51" s="663">
        <f t="shared" si="5"/>
        <v>0.14380000000000001</v>
      </c>
      <c r="S51" s="555">
        <f t="shared" si="5"/>
        <v>0.11609999999999999</v>
      </c>
      <c r="T51" s="555">
        <f t="shared" si="5"/>
        <v>0</v>
      </c>
      <c r="U51" s="664">
        <f>SUM(R51:T51)</f>
        <v>0.25990000000000002</v>
      </c>
    </row>
    <row r="52" spans="1:21" outlineLevel="1" x14ac:dyDescent="0.25">
      <c r="B52" s="544"/>
      <c r="C52" s="545" t="s">
        <v>376</v>
      </c>
      <c r="D52" s="545">
        <v>4</v>
      </c>
      <c r="E52" s="545" t="s">
        <v>294</v>
      </c>
      <c r="F52" s="735">
        <f>'DUoS (t)'!$T$49</f>
        <v>0.1028</v>
      </c>
      <c r="G52" s="736">
        <f>'TUoS (t)'!$T$49</f>
        <v>0</v>
      </c>
      <c r="H52" s="736">
        <f>'JSO (t)'!$T$49</f>
        <v>0</v>
      </c>
      <c r="I52" s="737">
        <f>SUM(F52:H52)</f>
        <v>0.1028</v>
      </c>
      <c r="J52" s="734"/>
      <c r="K52" s="733"/>
      <c r="L52" s="733"/>
      <c r="M52" s="664">
        <f>SUM(J52:L52)</f>
        <v>0</v>
      </c>
      <c r="N52" s="734">
        <f>-F52</f>
        <v>-0.1028</v>
      </c>
      <c r="O52" s="733"/>
      <c r="P52" s="733"/>
      <c r="Q52" s="664">
        <f>SUM(N52:P52)</f>
        <v>-0.1028</v>
      </c>
      <c r="R52" s="663">
        <f t="shared" si="5"/>
        <v>0</v>
      </c>
      <c r="S52" s="555">
        <f t="shared" si="5"/>
        <v>0</v>
      </c>
      <c r="T52" s="555">
        <f t="shared" si="5"/>
        <v>0</v>
      </c>
      <c r="U52" s="664">
        <f>SUM(R52:T52)</f>
        <v>0</v>
      </c>
    </row>
    <row r="53" spans="1:21" outlineLevel="1" x14ac:dyDescent="0.25">
      <c r="B53" s="544"/>
      <c r="C53" s="545" t="s">
        <v>562</v>
      </c>
      <c r="D53" s="545"/>
      <c r="E53" s="545" t="s">
        <v>288</v>
      </c>
      <c r="F53" s="735">
        <f>'DUoS (t)'!$I$49</f>
        <v>4.1799999999999997E-2</v>
      </c>
      <c r="G53" s="736">
        <f>'TUoS (t)'!$I$49</f>
        <v>1.89E-2</v>
      </c>
      <c r="H53" s="736">
        <f>'JSO (t)'!$I$49</f>
        <v>6.6E-3</v>
      </c>
      <c r="I53" s="737">
        <f>SUM(F53:H53)</f>
        <v>6.7299999999999999E-2</v>
      </c>
      <c r="J53" s="734"/>
      <c r="K53" s="733"/>
      <c r="L53" s="733"/>
      <c r="M53" s="664">
        <f>SUM(J53:L53)</f>
        <v>0</v>
      </c>
      <c r="N53" s="734"/>
      <c r="O53" s="733"/>
      <c r="P53" s="733"/>
      <c r="Q53" s="664">
        <f>SUM(N53:P53)</f>
        <v>0</v>
      </c>
      <c r="R53" s="663">
        <f t="shared" si="5"/>
        <v>4.1799999999999997E-2</v>
      </c>
      <c r="S53" s="555">
        <f t="shared" si="5"/>
        <v>1.89E-2</v>
      </c>
      <c r="T53" s="555">
        <f t="shared" si="5"/>
        <v>6.6E-3</v>
      </c>
      <c r="U53" s="664">
        <f>SUM(R53:T53)</f>
        <v>6.7299999999999999E-2</v>
      </c>
    </row>
    <row r="54" spans="1:21" outlineLevel="1" x14ac:dyDescent="0.25">
      <c r="B54" s="546"/>
      <c r="C54" s="547" t="s">
        <v>563</v>
      </c>
      <c r="D54" s="547"/>
      <c r="E54" s="547" t="s">
        <v>288</v>
      </c>
      <c r="F54" s="738">
        <f>'DUoS (t)'!$K$49</f>
        <v>2.6100000000000002E-2</v>
      </c>
      <c r="G54" s="739">
        <f>'TUoS (t)'!$K$49</f>
        <v>1.18E-2</v>
      </c>
      <c r="H54" s="739">
        <f>'JSO (t)'!$K$49</f>
        <v>4.1000000000000003E-3</v>
      </c>
      <c r="I54" s="740">
        <f>SUM(F54:H54)</f>
        <v>4.2000000000000003E-2</v>
      </c>
      <c r="J54" s="560"/>
      <c r="K54" s="561"/>
      <c r="L54" s="561"/>
      <c r="M54" s="558">
        <f>SUM(J54:L54)</f>
        <v>0</v>
      </c>
      <c r="N54" s="560"/>
      <c r="O54" s="561"/>
      <c r="P54" s="561"/>
      <c r="Q54" s="558">
        <f>SUM(N54:P54)</f>
        <v>0</v>
      </c>
      <c r="R54" s="556">
        <f t="shared" si="5"/>
        <v>2.6100000000000002E-2</v>
      </c>
      <c r="S54" s="557">
        <f t="shared" si="5"/>
        <v>1.18E-2</v>
      </c>
      <c r="T54" s="557">
        <f t="shared" si="5"/>
        <v>4.1000000000000003E-3</v>
      </c>
      <c r="U54" s="558">
        <f>SUM(R54:T54)</f>
        <v>4.2000000000000003E-2</v>
      </c>
    </row>
    <row r="55" spans="1:21" outlineLevel="1" x14ac:dyDescent="0.25">
      <c r="B55" s="562"/>
      <c r="C55" s="562"/>
      <c r="D55" s="562"/>
      <c r="E55" s="562"/>
      <c r="F55" s="736"/>
      <c r="G55" s="736"/>
      <c r="H55" s="736"/>
      <c r="I55" s="736"/>
      <c r="J55" s="555"/>
      <c r="K55" s="555"/>
      <c r="L55" s="555"/>
      <c r="M55" s="555"/>
      <c r="N55" s="555"/>
      <c r="O55" s="555"/>
      <c r="P55" s="555"/>
      <c r="Q55" s="555"/>
      <c r="R55" s="555"/>
      <c r="S55" s="555"/>
      <c r="T55" s="555"/>
      <c r="U55" s="555"/>
    </row>
    <row r="56" spans="1:21" outlineLevel="1" x14ac:dyDescent="0.25">
      <c r="A56" s="559" t="s">
        <v>651</v>
      </c>
      <c r="F56" s="742"/>
      <c r="G56" s="742"/>
      <c r="H56" s="742"/>
      <c r="I56" s="742"/>
      <c r="J56" s="746"/>
      <c r="K56" s="746"/>
      <c r="L56" s="746"/>
      <c r="M56" s="746"/>
      <c r="N56" s="746"/>
      <c r="O56" s="746"/>
      <c r="P56" s="746"/>
      <c r="Q56" s="746"/>
      <c r="R56" s="746"/>
      <c r="S56" s="746"/>
      <c r="T56" s="746"/>
      <c r="U56" s="746"/>
    </row>
    <row r="57" spans="1:21" outlineLevel="1" x14ac:dyDescent="0.25">
      <c r="B57" s="542"/>
      <c r="C57" s="543"/>
      <c r="D57" s="543"/>
      <c r="E57" s="543" t="s">
        <v>315</v>
      </c>
      <c r="F57" s="743"/>
      <c r="G57" s="744"/>
      <c r="H57" s="744"/>
      <c r="I57" s="745"/>
      <c r="J57" s="552"/>
      <c r="K57" s="553"/>
      <c r="L57" s="553"/>
      <c r="M57" s="554"/>
      <c r="N57" s="552"/>
      <c r="O57" s="553"/>
      <c r="P57" s="553"/>
      <c r="Q57" s="554"/>
      <c r="R57" s="552"/>
      <c r="S57" s="553"/>
      <c r="T57" s="553"/>
      <c r="U57" s="554"/>
    </row>
    <row r="58" spans="1:21" outlineLevel="1" x14ac:dyDescent="0.25">
      <c r="B58" s="544"/>
      <c r="C58" s="545" t="s">
        <v>374</v>
      </c>
      <c r="D58" s="545"/>
      <c r="E58" s="545" t="s">
        <v>287</v>
      </c>
      <c r="F58" s="735">
        <f>('DUoS (t)'!$G$49)*1</f>
        <v>6.7949999999999999</v>
      </c>
      <c r="G58" s="736">
        <f>('TUoS (t)'!$G$49)*1</f>
        <v>0</v>
      </c>
      <c r="H58" s="736">
        <f>('JSO (t)'!$G$49)*1</f>
        <v>0</v>
      </c>
      <c r="I58" s="737">
        <f>SUM(F58:H58)</f>
        <v>6.7949999999999999</v>
      </c>
      <c r="J58" s="734"/>
      <c r="K58" s="733"/>
      <c r="L58" s="733"/>
      <c r="M58" s="664">
        <f>SUM(J58:L58)</f>
        <v>0</v>
      </c>
      <c r="N58" s="734">
        <f>(6*F58)+(1520*F60)</f>
        <v>197.02600000000001</v>
      </c>
      <c r="O58" s="733"/>
      <c r="P58" s="733"/>
      <c r="Q58" s="664">
        <f>SUM(N58:P58)</f>
        <v>197.02600000000001</v>
      </c>
      <c r="R58" s="663">
        <f t="shared" ref="R58:T62" si="6">SUM(F58,J58,N58)</f>
        <v>203.821</v>
      </c>
      <c r="S58" s="555">
        <f t="shared" si="6"/>
        <v>0</v>
      </c>
      <c r="T58" s="555">
        <f t="shared" si="6"/>
        <v>0</v>
      </c>
      <c r="U58" s="664">
        <f>SUM(R58:T58)</f>
        <v>203.821</v>
      </c>
    </row>
    <row r="59" spans="1:21" outlineLevel="1" x14ac:dyDescent="0.25">
      <c r="B59" s="544"/>
      <c r="C59" s="545" t="s">
        <v>375</v>
      </c>
      <c r="D59" s="545">
        <v>4</v>
      </c>
      <c r="E59" s="545" t="s">
        <v>294</v>
      </c>
      <c r="F59" s="735">
        <f>'DUoS (t)'!$S$49</f>
        <v>0.14380000000000001</v>
      </c>
      <c r="G59" s="736">
        <f>'TUoS (t)'!$S$49</f>
        <v>0.11609999999999999</v>
      </c>
      <c r="H59" s="736">
        <f>'JSO (t)'!$S$49</f>
        <v>0</v>
      </c>
      <c r="I59" s="737">
        <f>SUM(F59:H59)</f>
        <v>0.25990000000000002</v>
      </c>
      <c r="J59" s="734"/>
      <c r="K59" s="733"/>
      <c r="L59" s="733"/>
      <c r="M59" s="664">
        <f>SUM(J59:L59)</f>
        <v>0</v>
      </c>
      <c r="N59" s="734"/>
      <c r="O59" s="733"/>
      <c r="P59" s="733"/>
      <c r="Q59" s="664">
        <f>SUM(N59:P59)</f>
        <v>0</v>
      </c>
      <c r="R59" s="663">
        <f t="shared" si="6"/>
        <v>0.14380000000000001</v>
      </c>
      <c r="S59" s="555">
        <f t="shared" si="6"/>
        <v>0.11609999999999999</v>
      </c>
      <c r="T59" s="555">
        <f t="shared" si="6"/>
        <v>0</v>
      </c>
      <c r="U59" s="664">
        <f>SUM(R59:T59)</f>
        <v>0.25990000000000002</v>
      </c>
    </row>
    <row r="60" spans="1:21" outlineLevel="1" x14ac:dyDescent="0.25">
      <c r="B60" s="544"/>
      <c r="C60" s="545" t="s">
        <v>376</v>
      </c>
      <c r="D60" s="545">
        <v>4</v>
      </c>
      <c r="E60" s="545" t="s">
        <v>294</v>
      </c>
      <c r="F60" s="735">
        <f>'DUoS (t)'!$T$49</f>
        <v>0.1028</v>
      </c>
      <c r="G60" s="736">
        <f>'TUoS (t)'!$T$49</f>
        <v>0</v>
      </c>
      <c r="H60" s="736">
        <f>'JSO (t)'!$T$49</f>
        <v>0</v>
      </c>
      <c r="I60" s="737">
        <f>SUM(F60:H60)</f>
        <v>0.1028</v>
      </c>
      <c r="J60" s="734"/>
      <c r="K60" s="733"/>
      <c r="L60" s="733"/>
      <c r="M60" s="664">
        <f>SUM(J60:L60)</f>
        <v>0</v>
      </c>
      <c r="N60" s="734">
        <f>-F60</f>
        <v>-0.1028</v>
      </c>
      <c r="O60" s="733"/>
      <c r="P60" s="733"/>
      <c r="Q60" s="664">
        <f>SUM(N60:P60)</f>
        <v>-0.1028</v>
      </c>
      <c r="R60" s="663">
        <f t="shared" si="6"/>
        <v>0</v>
      </c>
      <c r="S60" s="555">
        <f t="shared" si="6"/>
        <v>0</v>
      </c>
      <c r="T60" s="555">
        <f t="shared" si="6"/>
        <v>0</v>
      </c>
      <c r="U60" s="664">
        <f>SUM(R60:T60)</f>
        <v>0</v>
      </c>
    </row>
    <row r="61" spans="1:21" outlineLevel="1" x14ac:dyDescent="0.25">
      <c r="B61" s="544"/>
      <c r="C61" s="545" t="s">
        <v>562</v>
      </c>
      <c r="D61" s="545"/>
      <c r="E61" s="545" t="s">
        <v>288</v>
      </c>
      <c r="F61" s="735">
        <f>'DUoS (t)'!$I$49</f>
        <v>4.1799999999999997E-2</v>
      </c>
      <c r="G61" s="736">
        <f>'TUoS (t)'!$I$49</f>
        <v>1.89E-2</v>
      </c>
      <c r="H61" s="736">
        <f>'JSO (t)'!$I$49</f>
        <v>6.6E-3</v>
      </c>
      <c r="I61" s="737">
        <f>SUM(F61:H61)</f>
        <v>6.7299999999999999E-2</v>
      </c>
      <c r="J61" s="734"/>
      <c r="K61" s="733"/>
      <c r="L61" s="733"/>
      <c r="M61" s="664">
        <f>SUM(J61:L61)</f>
        <v>0</v>
      </c>
      <c r="N61" s="734"/>
      <c r="O61" s="733"/>
      <c r="P61" s="733"/>
      <c r="Q61" s="664">
        <f>SUM(N61:P61)</f>
        <v>0</v>
      </c>
      <c r="R61" s="663">
        <f t="shared" si="6"/>
        <v>4.1799999999999997E-2</v>
      </c>
      <c r="S61" s="555">
        <f t="shared" si="6"/>
        <v>1.89E-2</v>
      </c>
      <c r="T61" s="555">
        <f t="shared" si="6"/>
        <v>6.6E-3</v>
      </c>
      <c r="U61" s="664">
        <f>SUM(R61:T61)</f>
        <v>6.7299999999999999E-2</v>
      </c>
    </row>
    <row r="62" spans="1:21" outlineLevel="1" x14ac:dyDescent="0.25">
      <c r="B62" s="546"/>
      <c r="C62" s="547" t="s">
        <v>563</v>
      </c>
      <c r="D62" s="547"/>
      <c r="E62" s="547" t="s">
        <v>288</v>
      </c>
      <c r="F62" s="738">
        <f>'DUoS (t)'!$K$49</f>
        <v>2.6100000000000002E-2</v>
      </c>
      <c r="G62" s="739">
        <f>'TUoS (t)'!$K$49</f>
        <v>1.18E-2</v>
      </c>
      <c r="H62" s="739">
        <f>'JSO (t)'!$K$49</f>
        <v>4.1000000000000003E-3</v>
      </c>
      <c r="I62" s="740">
        <f>SUM(F62:H62)</f>
        <v>4.2000000000000003E-2</v>
      </c>
      <c r="J62" s="560"/>
      <c r="K62" s="561"/>
      <c r="L62" s="561"/>
      <c r="M62" s="558">
        <f>SUM(J62:L62)</f>
        <v>0</v>
      </c>
      <c r="N62" s="560"/>
      <c r="O62" s="561"/>
      <c r="P62" s="561"/>
      <c r="Q62" s="558">
        <f>SUM(N62:P62)</f>
        <v>0</v>
      </c>
      <c r="R62" s="556">
        <f t="shared" si="6"/>
        <v>2.6100000000000002E-2</v>
      </c>
      <c r="S62" s="557">
        <f t="shared" si="6"/>
        <v>1.18E-2</v>
      </c>
      <c r="T62" s="557">
        <f t="shared" si="6"/>
        <v>4.1000000000000003E-3</v>
      </c>
      <c r="U62" s="558">
        <f>SUM(R62:T62)</f>
        <v>4.2000000000000003E-2</v>
      </c>
    </row>
    <row r="63" spans="1:21" outlineLevel="1" x14ac:dyDescent="0.25">
      <c r="F63" s="741"/>
      <c r="G63" s="741"/>
      <c r="H63" s="741"/>
      <c r="I63" s="741"/>
    </row>
    <row r="64" spans="1:21" outlineLevel="1" x14ac:dyDescent="0.25">
      <c r="A64" s="559" t="s">
        <v>707</v>
      </c>
      <c r="F64" s="742"/>
      <c r="G64" s="742"/>
      <c r="H64" s="742"/>
      <c r="I64" s="742"/>
      <c r="J64" s="746"/>
      <c r="K64" s="746"/>
      <c r="L64" s="746"/>
      <c r="M64" s="746"/>
      <c r="N64" s="746"/>
      <c r="O64" s="746"/>
      <c r="P64" s="746"/>
      <c r="Q64" s="746"/>
      <c r="R64" s="746"/>
      <c r="S64" s="746"/>
      <c r="T64" s="746"/>
      <c r="U64" s="746"/>
    </row>
    <row r="65" spans="1:21" outlineLevel="1" x14ac:dyDescent="0.25">
      <c r="B65" s="542"/>
      <c r="C65" s="543"/>
      <c r="D65" s="543"/>
      <c r="E65" s="543" t="s">
        <v>315</v>
      </c>
      <c r="F65" s="743"/>
      <c r="G65" s="744"/>
      <c r="H65" s="744"/>
      <c r="I65" s="745"/>
      <c r="J65" s="552"/>
      <c r="K65" s="553"/>
      <c r="L65" s="553"/>
      <c r="M65" s="554"/>
      <c r="N65" s="552"/>
      <c r="O65" s="553"/>
      <c r="P65" s="553"/>
      <c r="Q65" s="554"/>
      <c r="R65" s="552"/>
      <c r="S65" s="553"/>
      <c r="T65" s="553"/>
      <c r="U65" s="554"/>
    </row>
    <row r="66" spans="1:21" outlineLevel="1" x14ac:dyDescent="0.25">
      <c r="B66" s="544"/>
      <c r="C66" s="545" t="s">
        <v>374</v>
      </c>
      <c r="D66" s="545"/>
      <c r="E66" s="545" t="s">
        <v>287</v>
      </c>
      <c r="F66" s="735">
        <f>('DUoS (t)'!$G$50)*1</f>
        <v>6.7949999999999999</v>
      </c>
      <c r="G66" s="736">
        <f>('TUoS (t)'!$G$50)*1</f>
        <v>0</v>
      </c>
      <c r="H66" s="736">
        <f>('JSO (t)'!$G$50)*1</f>
        <v>0</v>
      </c>
      <c r="I66" s="737">
        <f>SUM(F66:H66)</f>
        <v>6.7949999999999999</v>
      </c>
      <c r="J66" s="734"/>
      <c r="K66" s="733"/>
      <c r="L66" s="733"/>
      <c r="M66" s="664">
        <f>SUM(J66:L66)</f>
        <v>0</v>
      </c>
      <c r="N66" s="734">
        <f>(9*F66)+(1924*F68)</f>
        <v>258.94220000000001</v>
      </c>
      <c r="O66" s="733"/>
      <c r="P66" s="733"/>
      <c r="Q66" s="664">
        <f>SUM(N66:P66)</f>
        <v>258.94220000000001</v>
      </c>
      <c r="R66" s="663">
        <f t="shared" ref="R66:T70" si="7">SUM(F66,J66,N66)</f>
        <v>265.73720000000003</v>
      </c>
      <c r="S66" s="555">
        <f t="shared" si="7"/>
        <v>0</v>
      </c>
      <c r="T66" s="555">
        <f t="shared" si="7"/>
        <v>0</v>
      </c>
      <c r="U66" s="664">
        <f>SUM(R66:T66)</f>
        <v>265.73720000000003</v>
      </c>
    </row>
    <row r="67" spans="1:21" outlineLevel="1" x14ac:dyDescent="0.25">
      <c r="B67" s="544"/>
      <c r="C67" s="545" t="s">
        <v>375</v>
      </c>
      <c r="D67" s="545">
        <v>4</v>
      </c>
      <c r="E67" s="545" t="s">
        <v>294</v>
      </c>
      <c r="F67" s="735">
        <f>'DUoS (t)'!$S$49</f>
        <v>0.14380000000000001</v>
      </c>
      <c r="G67" s="736">
        <f>'TUoS (t)'!$S$49</f>
        <v>0.11609999999999999</v>
      </c>
      <c r="H67" s="736">
        <f>'JSO (t)'!$S$49</f>
        <v>0</v>
      </c>
      <c r="I67" s="737">
        <f>SUM(F67:H67)</f>
        <v>0.25990000000000002</v>
      </c>
      <c r="J67" s="734"/>
      <c r="K67" s="733"/>
      <c r="L67" s="733"/>
      <c r="M67" s="664">
        <f>SUM(J67:L67)</f>
        <v>0</v>
      </c>
      <c r="N67" s="734"/>
      <c r="O67" s="733"/>
      <c r="P67" s="733"/>
      <c r="Q67" s="664">
        <f>SUM(N67:P67)</f>
        <v>0</v>
      </c>
      <c r="R67" s="663">
        <f t="shared" si="7"/>
        <v>0.14380000000000001</v>
      </c>
      <c r="S67" s="555">
        <f t="shared" si="7"/>
        <v>0.11609999999999999</v>
      </c>
      <c r="T67" s="555">
        <f t="shared" si="7"/>
        <v>0</v>
      </c>
      <c r="U67" s="664">
        <f>SUM(R67:T67)</f>
        <v>0.25990000000000002</v>
      </c>
    </row>
    <row r="68" spans="1:21" outlineLevel="1" x14ac:dyDescent="0.25">
      <c r="B68" s="544"/>
      <c r="C68" s="545" t="s">
        <v>376</v>
      </c>
      <c r="D68" s="545">
        <v>4</v>
      </c>
      <c r="E68" s="545" t="s">
        <v>294</v>
      </c>
      <c r="F68" s="735">
        <f>'DUoS (t)'!$T$50</f>
        <v>0.1028</v>
      </c>
      <c r="G68" s="736">
        <f>'TUoS (t)'!$T$50</f>
        <v>0</v>
      </c>
      <c r="H68" s="736">
        <f>'JSO (t)'!$T$50</f>
        <v>0</v>
      </c>
      <c r="I68" s="737">
        <f>SUM(F68:H68)</f>
        <v>0.1028</v>
      </c>
      <c r="J68" s="734"/>
      <c r="K68" s="733"/>
      <c r="L68" s="733"/>
      <c r="M68" s="664">
        <f>SUM(J68:L68)</f>
        <v>0</v>
      </c>
      <c r="N68" s="734">
        <f>-F68</f>
        <v>-0.1028</v>
      </c>
      <c r="O68" s="733"/>
      <c r="P68" s="733"/>
      <c r="Q68" s="664">
        <f>SUM(N68:P68)</f>
        <v>-0.1028</v>
      </c>
      <c r="R68" s="663">
        <f t="shared" si="7"/>
        <v>0</v>
      </c>
      <c r="S68" s="555">
        <f t="shared" si="7"/>
        <v>0</v>
      </c>
      <c r="T68" s="555">
        <f t="shared" si="7"/>
        <v>0</v>
      </c>
      <c r="U68" s="664">
        <f>SUM(R68:T68)</f>
        <v>0</v>
      </c>
    </row>
    <row r="69" spans="1:21" outlineLevel="1" x14ac:dyDescent="0.25">
      <c r="B69" s="544"/>
      <c r="C69" s="545" t="s">
        <v>562</v>
      </c>
      <c r="D69" s="545"/>
      <c r="E69" s="545" t="s">
        <v>288</v>
      </c>
      <c r="F69" s="735">
        <f>'DUoS (t)'!$I$50</f>
        <v>4.1799999999999997E-2</v>
      </c>
      <c r="G69" s="736">
        <f>'TUoS (t)'!$I$50</f>
        <v>1.89E-2</v>
      </c>
      <c r="H69" s="736">
        <f>'JSO (t)'!$I$50</f>
        <v>6.6E-3</v>
      </c>
      <c r="I69" s="737">
        <f>SUM(F69:H69)</f>
        <v>6.7299999999999999E-2</v>
      </c>
      <c r="J69" s="734"/>
      <c r="K69" s="733"/>
      <c r="L69" s="733"/>
      <c r="M69" s="664">
        <f>SUM(J69:L69)</f>
        <v>0</v>
      </c>
      <c r="N69" s="734"/>
      <c r="O69" s="733"/>
      <c r="P69" s="733"/>
      <c r="Q69" s="664">
        <f>SUM(N69:P69)</f>
        <v>0</v>
      </c>
      <c r="R69" s="663">
        <f t="shared" si="7"/>
        <v>4.1799999999999997E-2</v>
      </c>
      <c r="S69" s="555">
        <f t="shared" si="7"/>
        <v>1.89E-2</v>
      </c>
      <c r="T69" s="555">
        <f t="shared" si="7"/>
        <v>6.6E-3</v>
      </c>
      <c r="U69" s="664">
        <f>SUM(R69:T69)</f>
        <v>6.7299999999999999E-2</v>
      </c>
    </row>
    <row r="70" spans="1:21" outlineLevel="1" x14ac:dyDescent="0.25">
      <c r="B70" s="546"/>
      <c r="C70" s="547" t="s">
        <v>563</v>
      </c>
      <c r="D70" s="547"/>
      <c r="E70" s="547" t="s">
        <v>288</v>
      </c>
      <c r="F70" s="738">
        <f>'DUoS (t)'!$K$50</f>
        <v>2.6100000000000002E-2</v>
      </c>
      <c r="G70" s="739">
        <f>'TUoS (t)'!$K$50</f>
        <v>1.18E-2</v>
      </c>
      <c r="H70" s="739">
        <f>'JSO (t)'!$K$50</f>
        <v>4.1000000000000003E-3</v>
      </c>
      <c r="I70" s="740">
        <f>SUM(F70:H70)</f>
        <v>4.2000000000000003E-2</v>
      </c>
      <c r="J70" s="560"/>
      <c r="K70" s="561"/>
      <c r="L70" s="561"/>
      <c r="M70" s="558">
        <f>SUM(J70:L70)</f>
        <v>0</v>
      </c>
      <c r="N70" s="560"/>
      <c r="O70" s="561"/>
      <c r="P70" s="561"/>
      <c r="Q70" s="558">
        <f>SUM(N70:P70)</f>
        <v>0</v>
      </c>
      <c r="R70" s="556">
        <f t="shared" si="7"/>
        <v>2.6100000000000002E-2</v>
      </c>
      <c r="S70" s="557">
        <f t="shared" si="7"/>
        <v>1.18E-2</v>
      </c>
      <c r="T70" s="557">
        <f t="shared" si="7"/>
        <v>4.1000000000000003E-3</v>
      </c>
      <c r="U70" s="558">
        <f>SUM(R70:T70)</f>
        <v>4.2000000000000003E-2</v>
      </c>
    </row>
    <row r="71" spans="1:21" outlineLevel="1" x14ac:dyDescent="0.25">
      <c r="F71" s="741"/>
      <c r="G71" s="741"/>
      <c r="H71" s="741"/>
      <c r="I71" s="741"/>
    </row>
    <row r="72" spans="1:21" outlineLevel="1" x14ac:dyDescent="0.25">
      <c r="A72" s="559" t="s">
        <v>571</v>
      </c>
      <c r="F72" s="742"/>
      <c r="G72" s="742"/>
      <c r="H72" s="742"/>
      <c r="I72" s="742"/>
      <c r="J72" s="746"/>
      <c r="K72" s="746"/>
      <c r="L72" s="746"/>
      <c r="M72" s="746"/>
      <c r="N72" s="746"/>
      <c r="O72" s="746"/>
      <c r="P72" s="746"/>
      <c r="Q72" s="746"/>
      <c r="R72" s="746"/>
      <c r="S72" s="746"/>
      <c r="T72" s="746"/>
      <c r="U72" s="746"/>
    </row>
    <row r="73" spans="1:21" outlineLevel="1" x14ac:dyDescent="0.25">
      <c r="B73" s="542"/>
      <c r="C73" s="543"/>
      <c r="D73" s="543"/>
      <c r="E73" s="543" t="s">
        <v>315</v>
      </c>
      <c r="F73" s="743"/>
      <c r="G73" s="744"/>
      <c r="H73" s="744"/>
      <c r="I73" s="745"/>
      <c r="J73" s="552"/>
      <c r="K73" s="553"/>
      <c r="L73" s="553"/>
      <c r="M73" s="554"/>
      <c r="N73" s="552"/>
      <c r="O73" s="553"/>
      <c r="P73" s="553"/>
      <c r="Q73" s="554"/>
      <c r="R73" s="552"/>
      <c r="S73" s="553"/>
      <c r="T73" s="553"/>
      <c r="U73" s="554"/>
    </row>
    <row r="74" spans="1:21" outlineLevel="1" x14ac:dyDescent="0.25">
      <c r="B74" s="544"/>
      <c r="C74" s="545" t="s">
        <v>374</v>
      </c>
      <c r="D74" s="545"/>
      <c r="E74" s="545" t="s">
        <v>287</v>
      </c>
      <c r="F74" s="735">
        <f>('DUoS (t)'!$G$49)*1</f>
        <v>6.7949999999999999</v>
      </c>
      <c r="G74" s="736">
        <f>('TUoS (t)'!$G$49)*1</f>
        <v>0</v>
      </c>
      <c r="H74" s="736">
        <f>('JSO (t)'!$G$49)*1</f>
        <v>0</v>
      </c>
      <c r="I74" s="737">
        <f>SUM(F74:H74)</f>
        <v>6.7949999999999999</v>
      </c>
      <c r="J74" s="734"/>
      <c r="K74" s="733"/>
      <c r="L74" s="733"/>
      <c r="M74" s="664">
        <f>SUM(J74:L74)</f>
        <v>0</v>
      </c>
      <c r="N74" s="734">
        <f>(1*F74)+(350*F76)</f>
        <v>42.775000000000006</v>
      </c>
      <c r="O74" s="733"/>
      <c r="P74" s="733"/>
      <c r="Q74" s="664">
        <f>SUM(N74:P74)</f>
        <v>42.775000000000006</v>
      </c>
      <c r="R74" s="663">
        <f t="shared" ref="R74:T78" si="8">SUM(F74,J74,N74)</f>
        <v>49.570000000000007</v>
      </c>
      <c r="S74" s="555">
        <f t="shared" si="8"/>
        <v>0</v>
      </c>
      <c r="T74" s="555">
        <f t="shared" si="8"/>
        <v>0</v>
      </c>
      <c r="U74" s="664">
        <f>SUM(R74:T74)</f>
        <v>49.570000000000007</v>
      </c>
    </row>
    <row r="75" spans="1:21" outlineLevel="1" x14ac:dyDescent="0.25">
      <c r="B75" s="544"/>
      <c r="C75" s="545" t="s">
        <v>375</v>
      </c>
      <c r="D75" s="545">
        <v>4</v>
      </c>
      <c r="E75" s="545" t="s">
        <v>294</v>
      </c>
      <c r="F75" s="735">
        <f>'DUoS (t)'!$S$49</f>
        <v>0.14380000000000001</v>
      </c>
      <c r="G75" s="736">
        <f>'TUoS (t)'!$S$49</f>
        <v>0.11609999999999999</v>
      </c>
      <c r="H75" s="736">
        <f>'JSO (t)'!$S$49</f>
        <v>0</v>
      </c>
      <c r="I75" s="737">
        <f>SUM(F75:H75)</f>
        <v>0.25990000000000002</v>
      </c>
      <c r="J75" s="734"/>
      <c r="K75" s="733"/>
      <c r="L75" s="733"/>
      <c r="M75" s="664">
        <f>SUM(J75:L75)</f>
        <v>0</v>
      </c>
      <c r="N75" s="734"/>
      <c r="O75" s="733"/>
      <c r="P75" s="733"/>
      <c r="Q75" s="664">
        <f>SUM(N75:P75)</f>
        <v>0</v>
      </c>
      <c r="R75" s="663">
        <f t="shared" si="8"/>
        <v>0.14380000000000001</v>
      </c>
      <c r="S75" s="555">
        <f t="shared" si="8"/>
        <v>0.11609999999999999</v>
      </c>
      <c r="T75" s="555">
        <f t="shared" si="8"/>
        <v>0</v>
      </c>
      <c r="U75" s="664">
        <f>SUM(R75:T75)</f>
        <v>0.25990000000000002</v>
      </c>
    </row>
    <row r="76" spans="1:21" outlineLevel="1" x14ac:dyDescent="0.25">
      <c r="B76" s="544"/>
      <c r="C76" s="545" t="s">
        <v>376</v>
      </c>
      <c r="D76" s="545">
        <v>4</v>
      </c>
      <c r="E76" s="545" t="s">
        <v>294</v>
      </c>
      <c r="F76" s="735">
        <f>'DUoS (t)'!$T$49</f>
        <v>0.1028</v>
      </c>
      <c r="G76" s="736">
        <f>'TUoS (t)'!$T$49</f>
        <v>0</v>
      </c>
      <c r="H76" s="736">
        <f>'JSO (t)'!$T$49</f>
        <v>0</v>
      </c>
      <c r="I76" s="737">
        <f>SUM(F76:H76)</f>
        <v>0.1028</v>
      </c>
      <c r="J76" s="734"/>
      <c r="K76" s="733"/>
      <c r="L76" s="733"/>
      <c r="M76" s="664">
        <f>SUM(J76:L76)</f>
        <v>0</v>
      </c>
      <c r="N76" s="734">
        <f>-F76</f>
        <v>-0.1028</v>
      </c>
      <c r="O76" s="733"/>
      <c r="P76" s="733"/>
      <c r="Q76" s="664">
        <f>SUM(N76:P76)</f>
        <v>-0.1028</v>
      </c>
      <c r="R76" s="663">
        <f t="shared" si="8"/>
        <v>0</v>
      </c>
      <c r="S76" s="555">
        <f t="shared" si="8"/>
        <v>0</v>
      </c>
      <c r="T76" s="555">
        <f t="shared" si="8"/>
        <v>0</v>
      </c>
      <c r="U76" s="664">
        <f>SUM(R76:T76)</f>
        <v>0</v>
      </c>
    </row>
    <row r="77" spans="1:21" outlineLevel="1" x14ac:dyDescent="0.25">
      <c r="B77" s="544"/>
      <c r="C77" s="545" t="s">
        <v>562</v>
      </c>
      <c r="D77" s="545"/>
      <c r="E77" s="545" t="s">
        <v>288</v>
      </c>
      <c r="F77" s="735">
        <f>'DUoS (t)'!$I$49</f>
        <v>4.1799999999999997E-2</v>
      </c>
      <c r="G77" s="736">
        <f>'TUoS (t)'!$I$49</f>
        <v>1.89E-2</v>
      </c>
      <c r="H77" s="736">
        <f>'JSO (t)'!$I$49</f>
        <v>6.6E-3</v>
      </c>
      <c r="I77" s="737">
        <f>SUM(F77:H77)</f>
        <v>6.7299999999999999E-2</v>
      </c>
      <c r="J77" s="734"/>
      <c r="K77" s="733"/>
      <c r="L77" s="733"/>
      <c r="M77" s="664">
        <f>SUM(J77:L77)</f>
        <v>0</v>
      </c>
      <c r="N77" s="734"/>
      <c r="O77" s="733"/>
      <c r="P77" s="733"/>
      <c r="Q77" s="664">
        <f>SUM(N77:P77)</f>
        <v>0</v>
      </c>
      <c r="R77" s="663">
        <f t="shared" si="8"/>
        <v>4.1799999999999997E-2</v>
      </c>
      <c r="S77" s="555">
        <f t="shared" si="8"/>
        <v>1.89E-2</v>
      </c>
      <c r="T77" s="555">
        <f t="shared" si="8"/>
        <v>6.6E-3</v>
      </c>
      <c r="U77" s="664">
        <f>SUM(R77:T77)</f>
        <v>6.7299999999999999E-2</v>
      </c>
    </row>
    <row r="78" spans="1:21" outlineLevel="1" x14ac:dyDescent="0.25">
      <c r="B78" s="546"/>
      <c r="C78" s="547" t="s">
        <v>563</v>
      </c>
      <c r="D78" s="547"/>
      <c r="E78" s="547" t="s">
        <v>288</v>
      </c>
      <c r="F78" s="738">
        <f>'DUoS (t)'!$K$49</f>
        <v>2.6100000000000002E-2</v>
      </c>
      <c r="G78" s="739">
        <f>'TUoS (t)'!$K$49</f>
        <v>1.18E-2</v>
      </c>
      <c r="H78" s="739">
        <f>'JSO (t)'!$K$49</f>
        <v>4.1000000000000003E-3</v>
      </c>
      <c r="I78" s="740">
        <f>SUM(F78:H78)</f>
        <v>4.2000000000000003E-2</v>
      </c>
      <c r="J78" s="560"/>
      <c r="K78" s="561"/>
      <c r="L78" s="561"/>
      <c r="M78" s="558">
        <f>SUM(J78:L78)</f>
        <v>0</v>
      </c>
      <c r="N78" s="560"/>
      <c r="O78" s="561"/>
      <c r="P78" s="561"/>
      <c r="Q78" s="558">
        <f>SUM(N78:P78)</f>
        <v>0</v>
      </c>
      <c r="R78" s="556">
        <f t="shared" si="8"/>
        <v>2.6100000000000002E-2</v>
      </c>
      <c r="S78" s="557">
        <f t="shared" si="8"/>
        <v>1.18E-2</v>
      </c>
      <c r="T78" s="557">
        <f t="shared" si="8"/>
        <v>4.1000000000000003E-3</v>
      </c>
      <c r="U78" s="558">
        <f>SUM(R78:T78)</f>
        <v>4.2000000000000003E-2</v>
      </c>
    </row>
    <row r="79" spans="1:21" outlineLevel="1" x14ac:dyDescent="0.25">
      <c r="B79" s="562"/>
      <c r="C79" s="562"/>
      <c r="D79" s="562"/>
      <c r="E79" s="562"/>
      <c r="F79" s="736"/>
      <c r="G79" s="736"/>
      <c r="H79" s="736"/>
      <c r="I79" s="736"/>
      <c r="J79" s="555"/>
      <c r="K79" s="555"/>
      <c r="L79" s="555"/>
      <c r="M79" s="555"/>
      <c r="N79" s="555"/>
      <c r="O79" s="555"/>
      <c r="P79" s="555"/>
      <c r="Q79" s="555"/>
      <c r="R79" s="555"/>
      <c r="S79" s="555"/>
      <c r="T79" s="555"/>
      <c r="U79" s="555"/>
    </row>
    <row r="80" spans="1:21" outlineLevel="1" x14ac:dyDescent="0.25">
      <c r="A80" s="559" t="s">
        <v>573</v>
      </c>
      <c r="F80" s="742"/>
      <c r="G80" s="742"/>
      <c r="H80" s="742"/>
      <c r="I80" s="742"/>
      <c r="J80" s="746"/>
      <c r="K80" s="746"/>
      <c r="L80" s="746"/>
      <c r="M80" s="746"/>
      <c r="N80" s="746"/>
      <c r="O80" s="746"/>
      <c r="P80" s="746"/>
      <c r="Q80" s="746"/>
      <c r="R80" s="746"/>
      <c r="S80" s="746"/>
      <c r="T80" s="746"/>
      <c r="U80" s="746"/>
    </row>
    <row r="81" spans="1:21" outlineLevel="1" x14ac:dyDescent="0.25">
      <c r="B81" s="542"/>
      <c r="C81" s="543"/>
      <c r="D81" s="543"/>
      <c r="E81" s="543" t="s">
        <v>315</v>
      </c>
      <c r="F81" s="743"/>
      <c r="G81" s="744"/>
      <c r="H81" s="744"/>
      <c r="I81" s="745"/>
      <c r="J81" s="552"/>
      <c r="K81" s="553"/>
      <c r="L81" s="553"/>
      <c r="M81" s="554"/>
      <c r="N81" s="552"/>
      <c r="O81" s="553"/>
      <c r="P81" s="553"/>
      <c r="Q81" s="554"/>
      <c r="R81" s="552"/>
      <c r="S81" s="553"/>
      <c r="T81" s="553"/>
      <c r="U81" s="554"/>
    </row>
    <row r="82" spans="1:21" outlineLevel="1" x14ac:dyDescent="0.25">
      <c r="B82" s="544"/>
      <c r="C82" s="545" t="s">
        <v>374</v>
      </c>
      <c r="D82" s="545"/>
      <c r="E82" s="545" t="s">
        <v>287</v>
      </c>
      <c r="F82" s="735">
        <f>('DUoS (t)'!$G$49)*1</f>
        <v>6.7949999999999999</v>
      </c>
      <c r="G82" s="736">
        <f>('TUoS (t)'!$G$49)*1</f>
        <v>0</v>
      </c>
      <c r="H82" s="736">
        <f>('JSO (t)'!$G$49)*1</f>
        <v>0</v>
      </c>
      <c r="I82" s="737">
        <f>SUM(F82:H82)</f>
        <v>6.7949999999999999</v>
      </c>
      <c r="J82" s="734"/>
      <c r="K82" s="733"/>
      <c r="L82" s="733"/>
      <c r="M82" s="664">
        <f>SUM(J82:L82)</f>
        <v>0</v>
      </c>
      <c r="N82" s="734">
        <f>(1*F82)+(400*F84)</f>
        <v>47.915000000000006</v>
      </c>
      <c r="O82" s="733"/>
      <c r="P82" s="733"/>
      <c r="Q82" s="664">
        <f>SUM(N82:P82)</f>
        <v>47.915000000000006</v>
      </c>
      <c r="R82" s="663">
        <f t="shared" ref="R82:T86" si="9">SUM(F82,J82,N82)</f>
        <v>54.710000000000008</v>
      </c>
      <c r="S82" s="555">
        <f t="shared" si="9"/>
        <v>0</v>
      </c>
      <c r="T82" s="555">
        <f t="shared" si="9"/>
        <v>0</v>
      </c>
      <c r="U82" s="664">
        <f>SUM(R82:T82)</f>
        <v>54.710000000000008</v>
      </c>
    </row>
    <row r="83" spans="1:21" outlineLevel="1" x14ac:dyDescent="0.25">
      <c r="B83" s="544"/>
      <c r="C83" s="545" t="s">
        <v>375</v>
      </c>
      <c r="D83" s="545">
        <v>4</v>
      </c>
      <c r="E83" s="545" t="s">
        <v>294</v>
      </c>
      <c r="F83" s="735">
        <f>'DUoS (t)'!$S$49</f>
        <v>0.14380000000000001</v>
      </c>
      <c r="G83" s="736">
        <f>'TUoS (t)'!$S$49</f>
        <v>0.11609999999999999</v>
      </c>
      <c r="H83" s="736">
        <f>'JSO (t)'!$S$49</f>
        <v>0</v>
      </c>
      <c r="I83" s="737">
        <f>SUM(F83:H83)</f>
        <v>0.25990000000000002</v>
      </c>
      <c r="J83" s="734"/>
      <c r="K83" s="733"/>
      <c r="L83" s="733"/>
      <c r="M83" s="664">
        <f>SUM(J83:L83)</f>
        <v>0</v>
      </c>
      <c r="N83" s="734"/>
      <c r="O83" s="733"/>
      <c r="P83" s="733"/>
      <c r="Q83" s="664">
        <f>SUM(N83:P83)</f>
        <v>0</v>
      </c>
      <c r="R83" s="663">
        <f t="shared" si="9"/>
        <v>0.14380000000000001</v>
      </c>
      <c r="S83" s="555">
        <f t="shared" si="9"/>
        <v>0.11609999999999999</v>
      </c>
      <c r="T83" s="555">
        <f t="shared" si="9"/>
        <v>0</v>
      </c>
      <c r="U83" s="664">
        <f>SUM(R83:T83)</f>
        <v>0.25990000000000002</v>
      </c>
    </row>
    <row r="84" spans="1:21" outlineLevel="1" x14ac:dyDescent="0.25">
      <c r="B84" s="544"/>
      <c r="C84" s="545" t="s">
        <v>376</v>
      </c>
      <c r="D84" s="545">
        <v>4</v>
      </c>
      <c r="E84" s="545" t="s">
        <v>294</v>
      </c>
      <c r="F84" s="735">
        <f>'DUoS (t)'!$T$49</f>
        <v>0.1028</v>
      </c>
      <c r="G84" s="736">
        <f>'TUoS (t)'!$T$49</f>
        <v>0</v>
      </c>
      <c r="H84" s="736">
        <f>'JSO (t)'!$T$49</f>
        <v>0</v>
      </c>
      <c r="I84" s="737">
        <f>SUM(F84:H84)</f>
        <v>0.1028</v>
      </c>
      <c r="J84" s="734"/>
      <c r="K84" s="733"/>
      <c r="L84" s="733"/>
      <c r="M84" s="664">
        <f>SUM(J84:L84)</f>
        <v>0</v>
      </c>
      <c r="N84" s="734">
        <f>-F84</f>
        <v>-0.1028</v>
      </c>
      <c r="O84" s="733"/>
      <c r="P84" s="733"/>
      <c r="Q84" s="664">
        <f>SUM(N84:P84)</f>
        <v>-0.1028</v>
      </c>
      <c r="R84" s="663">
        <f t="shared" si="9"/>
        <v>0</v>
      </c>
      <c r="S84" s="555">
        <f t="shared" si="9"/>
        <v>0</v>
      </c>
      <c r="T84" s="555">
        <f t="shared" si="9"/>
        <v>0</v>
      </c>
      <c r="U84" s="664">
        <f>SUM(R84:T84)</f>
        <v>0</v>
      </c>
    </row>
    <row r="85" spans="1:21" outlineLevel="1" x14ac:dyDescent="0.25">
      <c r="B85" s="544"/>
      <c r="C85" s="545" t="s">
        <v>562</v>
      </c>
      <c r="D85" s="545"/>
      <c r="E85" s="545" t="s">
        <v>288</v>
      </c>
      <c r="F85" s="735">
        <f>'DUoS (t)'!$I$49</f>
        <v>4.1799999999999997E-2</v>
      </c>
      <c r="G85" s="736">
        <f>'TUoS (t)'!$I$49</f>
        <v>1.89E-2</v>
      </c>
      <c r="H85" s="736">
        <f>'JSO (t)'!$I$49</f>
        <v>6.6E-3</v>
      </c>
      <c r="I85" s="737">
        <f>SUM(F85:H85)</f>
        <v>6.7299999999999999E-2</v>
      </c>
      <c r="J85" s="734"/>
      <c r="K85" s="733"/>
      <c r="L85" s="733"/>
      <c r="M85" s="664">
        <f>SUM(J85:L85)</f>
        <v>0</v>
      </c>
      <c r="N85" s="734"/>
      <c r="O85" s="733"/>
      <c r="P85" s="733"/>
      <c r="Q85" s="664">
        <f>SUM(N85:P85)</f>
        <v>0</v>
      </c>
      <c r="R85" s="663">
        <f t="shared" si="9"/>
        <v>4.1799999999999997E-2</v>
      </c>
      <c r="S85" s="555">
        <f t="shared" si="9"/>
        <v>1.89E-2</v>
      </c>
      <c r="T85" s="555">
        <f t="shared" si="9"/>
        <v>6.6E-3</v>
      </c>
      <c r="U85" s="664">
        <f>SUM(R85:T85)</f>
        <v>6.7299999999999999E-2</v>
      </c>
    </row>
    <row r="86" spans="1:21" outlineLevel="1" x14ac:dyDescent="0.25">
      <c r="B86" s="546"/>
      <c r="C86" s="547" t="s">
        <v>563</v>
      </c>
      <c r="D86" s="547"/>
      <c r="E86" s="547" t="s">
        <v>288</v>
      </c>
      <c r="F86" s="738">
        <f>'DUoS (t)'!$K$49</f>
        <v>2.6100000000000002E-2</v>
      </c>
      <c r="G86" s="739">
        <f>'TUoS (t)'!$K$49</f>
        <v>1.18E-2</v>
      </c>
      <c r="H86" s="739">
        <f>'JSO (t)'!$K$49</f>
        <v>4.1000000000000003E-3</v>
      </c>
      <c r="I86" s="740">
        <f>SUM(F86:H86)</f>
        <v>4.2000000000000003E-2</v>
      </c>
      <c r="J86" s="560"/>
      <c r="K86" s="561"/>
      <c r="L86" s="561"/>
      <c r="M86" s="558">
        <f>SUM(J86:L86)</f>
        <v>0</v>
      </c>
      <c r="N86" s="560"/>
      <c r="O86" s="561"/>
      <c r="P86" s="561"/>
      <c r="Q86" s="558">
        <f>SUM(N86:P86)</f>
        <v>0</v>
      </c>
      <c r="R86" s="556">
        <f t="shared" si="9"/>
        <v>2.6100000000000002E-2</v>
      </c>
      <c r="S86" s="557">
        <f t="shared" si="9"/>
        <v>1.18E-2</v>
      </c>
      <c r="T86" s="557">
        <f t="shared" si="9"/>
        <v>4.1000000000000003E-3</v>
      </c>
      <c r="U86" s="558">
        <f>SUM(R86:T86)</f>
        <v>4.2000000000000003E-2</v>
      </c>
    </row>
    <row r="87" spans="1:21" outlineLevel="1" x14ac:dyDescent="0.25">
      <c r="F87" s="741"/>
      <c r="G87" s="741"/>
      <c r="H87" s="741"/>
      <c r="I87" s="741"/>
    </row>
    <row r="88" spans="1:21" outlineLevel="1" x14ac:dyDescent="0.25">
      <c r="A88" s="831" t="s">
        <v>574</v>
      </c>
      <c r="F88" s="742"/>
      <c r="G88" s="742"/>
      <c r="H88" s="742"/>
      <c r="I88" s="742"/>
      <c r="J88" s="746"/>
      <c r="K88" s="746"/>
      <c r="L88" s="746"/>
      <c r="M88" s="746"/>
      <c r="N88" s="746"/>
      <c r="O88" s="746"/>
      <c r="P88" s="746"/>
      <c r="Q88" s="746"/>
      <c r="R88" s="746"/>
      <c r="S88" s="746"/>
      <c r="T88" s="746"/>
      <c r="U88" s="746"/>
    </row>
    <row r="89" spans="1:21" outlineLevel="1" x14ac:dyDescent="0.25">
      <c r="B89" s="542"/>
      <c r="C89" s="543"/>
      <c r="D89" s="543"/>
      <c r="E89" s="543" t="s">
        <v>315</v>
      </c>
      <c r="F89" s="743"/>
      <c r="G89" s="744"/>
      <c r="H89" s="744"/>
      <c r="I89" s="745"/>
      <c r="J89" s="552"/>
      <c r="K89" s="553"/>
      <c r="L89" s="553"/>
      <c r="M89" s="554"/>
      <c r="N89" s="552"/>
      <c r="O89" s="553"/>
      <c r="P89" s="553"/>
      <c r="Q89" s="554"/>
      <c r="R89" s="552"/>
      <c r="S89" s="553"/>
      <c r="T89" s="553"/>
      <c r="U89" s="554"/>
    </row>
    <row r="90" spans="1:21" outlineLevel="1" x14ac:dyDescent="0.25">
      <c r="B90" s="544"/>
      <c r="C90" s="545" t="s">
        <v>374</v>
      </c>
      <c r="D90" s="545"/>
      <c r="E90" s="545" t="s">
        <v>287</v>
      </c>
      <c r="F90" s="735">
        <f>('DUoS (t)'!$G$49)*1</f>
        <v>6.7949999999999999</v>
      </c>
      <c r="G90" s="736">
        <f>('TUoS (t)'!$G$49)*1</f>
        <v>0</v>
      </c>
      <c r="H90" s="736">
        <f>('JSO (t)'!$G$49)*1</f>
        <v>0</v>
      </c>
      <c r="I90" s="737">
        <f>SUM(F90:H90)</f>
        <v>6.7949999999999999</v>
      </c>
      <c r="J90" s="734"/>
      <c r="K90" s="733"/>
      <c r="L90" s="733"/>
      <c r="M90" s="664">
        <f>SUM(J90:L90)</f>
        <v>0</v>
      </c>
      <c r="N90" s="734"/>
      <c r="O90" s="733"/>
      <c r="P90" s="733"/>
      <c r="Q90" s="664">
        <f>SUM(N90:P90)</f>
        <v>0</v>
      </c>
      <c r="R90" s="663">
        <f t="shared" ref="R90:T94" si="10">SUM(F90,J90,N90)</f>
        <v>6.7949999999999999</v>
      </c>
      <c r="S90" s="555">
        <f t="shared" si="10"/>
        <v>0</v>
      </c>
      <c r="T90" s="555">
        <f t="shared" si="10"/>
        <v>0</v>
      </c>
      <c r="U90" s="664">
        <f>SUM(R90:T90)</f>
        <v>6.7949999999999999</v>
      </c>
    </row>
    <row r="91" spans="1:21" outlineLevel="1" x14ac:dyDescent="0.25">
      <c r="B91" s="544"/>
      <c r="C91" s="545" t="s">
        <v>375</v>
      </c>
      <c r="D91" s="545">
        <v>4</v>
      </c>
      <c r="E91" s="545" t="s">
        <v>294</v>
      </c>
      <c r="F91" s="735">
        <f>'DUoS (t)'!$S$49</f>
        <v>0.14380000000000001</v>
      </c>
      <c r="G91" s="736">
        <f>'TUoS (t)'!$S$49</f>
        <v>0.11609999999999999</v>
      </c>
      <c r="H91" s="736">
        <f>'JSO (t)'!$S$49</f>
        <v>0</v>
      </c>
      <c r="I91" s="737">
        <f>SUM(F91:H91)</f>
        <v>0.25990000000000002</v>
      </c>
      <c r="J91" s="734"/>
      <c r="K91" s="733"/>
      <c r="L91" s="733"/>
      <c r="M91" s="664">
        <f>SUM(J91:L91)</f>
        <v>0</v>
      </c>
      <c r="N91" s="734"/>
      <c r="O91" s="733"/>
      <c r="P91" s="733"/>
      <c r="Q91" s="664">
        <f>SUM(N91:P91)</f>
        <v>0</v>
      </c>
      <c r="R91" s="663">
        <f t="shared" si="10"/>
        <v>0.14380000000000001</v>
      </c>
      <c r="S91" s="555">
        <f t="shared" si="10"/>
        <v>0.11609999999999999</v>
      </c>
      <c r="T91" s="555">
        <f t="shared" si="10"/>
        <v>0</v>
      </c>
      <c r="U91" s="664">
        <f>SUM(R91:T91)</f>
        <v>0.25990000000000002</v>
      </c>
    </row>
    <row r="92" spans="1:21" outlineLevel="1" x14ac:dyDescent="0.25">
      <c r="B92" s="544"/>
      <c r="C92" s="545" t="s">
        <v>376</v>
      </c>
      <c r="D92" s="545">
        <v>4</v>
      </c>
      <c r="E92" s="545" t="s">
        <v>294</v>
      </c>
      <c r="F92" s="735">
        <f>'DUoS (t)'!$T$49</f>
        <v>0.1028</v>
      </c>
      <c r="G92" s="736">
        <f>'TUoS (t)'!$T$49</f>
        <v>0</v>
      </c>
      <c r="H92" s="736">
        <f>'JSO (t)'!$T$49</f>
        <v>0</v>
      </c>
      <c r="I92" s="737">
        <f>SUM(F92:H92)</f>
        <v>0.1028</v>
      </c>
      <c r="J92" s="734"/>
      <c r="K92" s="733"/>
      <c r="L92" s="733"/>
      <c r="M92" s="664">
        <f>SUM(J92:L92)</f>
        <v>0</v>
      </c>
      <c r="N92" s="734"/>
      <c r="O92" s="733"/>
      <c r="P92" s="733"/>
      <c r="Q92" s="664">
        <f>SUM(N92:P92)</f>
        <v>0</v>
      </c>
      <c r="R92" s="663">
        <f t="shared" si="10"/>
        <v>0.1028</v>
      </c>
      <c r="S92" s="555">
        <f t="shared" si="10"/>
        <v>0</v>
      </c>
      <c r="T92" s="555">
        <f t="shared" si="10"/>
        <v>0</v>
      </c>
      <c r="U92" s="664">
        <f>SUM(R92:T92)</f>
        <v>0.1028</v>
      </c>
    </row>
    <row r="93" spans="1:21" outlineLevel="1" x14ac:dyDescent="0.25">
      <c r="B93" s="544"/>
      <c r="C93" s="545" t="s">
        <v>562</v>
      </c>
      <c r="D93" s="545"/>
      <c r="E93" s="545" t="s">
        <v>288</v>
      </c>
      <c r="F93" s="735">
        <f>'DUoS (t)'!$I$49</f>
        <v>4.1799999999999997E-2</v>
      </c>
      <c r="G93" s="736">
        <f>'TUoS (t)'!$I$49</f>
        <v>1.89E-2</v>
      </c>
      <c r="H93" s="736">
        <f>'JSO (t)'!$I$49</f>
        <v>6.6E-3</v>
      </c>
      <c r="I93" s="737">
        <f>SUM(F93:H93)</f>
        <v>6.7299999999999999E-2</v>
      </c>
      <c r="J93" s="734"/>
      <c r="K93" s="733"/>
      <c r="L93" s="733"/>
      <c r="M93" s="664">
        <f>SUM(J93:L93)</f>
        <v>0</v>
      </c>
      <c r="N93" s="734"/>
      <c r="O93" s="733"/>
      <c r="P93" s="733"/>
      <c r="Q93" s="664">
        <f>SUM(N93:P93)</f>
        <v>0</v>
      </c>
      <c r="R93" s="663">
        <f t="shared" si="10"/>
        <v>4.1799999999999997E-2</v>
      </c>
      <c r="S93" s="555">
        <f t="shared" si="10"/>
        <v>1.89E-2</v>
      </c>
      <c r="T93" s="555">
        <f t="shared" si="10"/>
        <v>6.6E-3</v>
      </c>
      <c r="U93" s="664">
        <f>SUM(R93:T93)</f>
        <v>6.7299999999999999E-2</v>
      </c>
    </row>
    <row r="94" spans="1:21" outlineLevel="1" x14ac:dyDescent="0.25">
      <c r="B94" s="546"/>
      <c r="C94" s="547" t="s">
        <v>563</v>
      </c>
      <c r="D94" s="547"/>
      <c r="E94" s="547" t="s">
        <v>288</v>
      </c>
      <c r="F94" s="738">
        <f>'DUoS (t)'!$K$49</f>
        <v>2.6100000000000002E-2</v>
      </c>
      <c r="G94" s="739">
        <f>'TUoS (t)'!$K$49</f>
        <v>1.18E-2</v>
      </c>
      <c r="H94" s="739">
        <f>'JSO (t)'!$K$49</f>
        <v>4.1000000000000003E-3</v>
      </c>
      <c r="I94" s="740">
        <f>SUM(F94:H94)</f>
        <v>4.2000000000000003E-2</v>
      </c>
      <c r="J94" s="560"/>
      <c r="K94" s="561"/>
      <c r="L94" s="561"/>
      <c r="M94" s="558">
        <f>SUM(J94:L94)</f>
        <v>0</v>
      </c>
      <c r="N94" s="560"/>
      <c r="O94" s="561"/>
      <c r="P94" s="561"/>
      <c r="Q94" s="558">
        <f>SUM(N94:P94)</f>
        <v>0</v>
      </c>
      <c r="R94" s="556">
        <f t="shared" si="10"/>
        <v>2.6100000000000002E-2</v>
      </c>
      <c r="S94" s="557">
        <f t="shared" si="10"/>
        <v>1.18E-2</v>
      </c>
      <c r="T94" s="557">
        <f t="shared" si="10"/>
        <v>4.1000000000000003E-3</v>
      </c>
      <c r="U94" s="558">
        <f>SUM(R94:T94)</f>
        <v>4.2000000000000003E-2</v>
      </c>
    </row>
    <row r="95" spans="1:21" outlineLevel="1" x14ac:dyDescent="0.25">
      <c r="F95" s="741"/>
      <c r="G95" s="741"/>
      <c r="H95" s="741"/>
      <c r="I95" s="741"/>
    </row>
    <row r="96" spans="1:21" outlineLevel="1" x14ac:dyDescent="0.25">
      <c r="A96" s="559" t="s">
        <v>706</v>
      </c>
      <c r="F96" s="742"/>
      <c r="G96" s="742"/>
      <c r="H96" s="742"/>
      <c r="I96" s="742"/>
      <c r="J96" s="746"/>
      <c r="K96" s="746"/>
      <c r="L96" s="746"/>
      <c r="M96" s="746"/>
      <c r="N96" s="746"/>
      <c r="O96" s="746"/>
      <c r="P96" s="746"/>
      <c r="Q96" s="746"/>
      <c r="R96" s="746"/>
      <c r="S96" s="746"/>
      <c r="T96" s="746"/>
      <c r="U96" s="746"/>
    </row>
    <row r="97" spans="1:21" outlineLevel="1" x14ac:dyDescent="0.25">
      <c r="B97" s="542"/>
      <c r="C97" s="543"/>
      <c r="D97" s="543"/>
      <c r="E97" s="543" t="s">
        <v>315</v>
      </c>
      <c r="F97" s="743"/>
      <c r="G97" s="744"/>
      <c r="H97" s="744"/>
      <c r="I97" s="745"/>
      <c r="J97" s="552"/>
      <c r="K97" s="553"/>
      <c r="L97" s="553"/>
      <c r="M97" s="554"/>
      <c r="N97" s="552"/>
      <c r="O97" s="553"/>
      <c r="P97" s="553"/>
      <c r="Q97" s="554"/>
      <c r="R97" s="552"/>
      <c r="S97" s="553"/>
      <c r="T97" s="553"/>
      <c r="U97" s="554"/>
    </row>
    <row r="98" spans="1:21" outlineLevel="1" x14ac:dyDescent="0.25">
      <c r="B98" s="544"/>
      <c r="C98" s="545" t="s">
        <v>374</v>
      </c>
      <c r="D98" s="545"/>
      <c r="E98" s="545" t="s">
        <v>287</v>
      </c>
      <c r="F98" s="735">
        <f>('DUoS (t)'!$G$50)*1</f>
        <v>6.7949999999999999</v>
      </c>
      <c r="G98" s="736">
        <f>('TUoS (t)'!$G$50)*1</f>
        <v>0</v>
      </c>
      <c r="H98" s="736">
        <f>('JSO (t)'!$G$50)*1</f>
        <v>0</v>
      </c>
      <c r="I98" s="737">
        <f>SUM(F98:H98)</f>
        <v>6.7949999999999999</v>
      </c>
      <c r="J98" s="734"/>
      <c r="K98" s="733"/>
      <c r="L98" s="733"/>
      <c r="M98" s="664">
        <f>SUM(J98:L98)</f>
        <v>0</v>
      </c>
      <c r="N98" s="734">
        <f>(6*F98)+(4257*F100)</f>
        <v>478.38959999999997</v>
      </c>
      <c r="O98" s="733"/>
      <c r="P98" s="733"/>
      <c r="Q98" s="664">
        <f>SUM(N98:P98)</f>
        <v>478.38959999999997</v>
      </c>
      <c r="R98" s="663">
        <f t="shared" ref="R98:T102" si="11">SUM(F98,J98,N98)</f>
        <v>485.18459999999999</v>
      </c>
      <c r="S98" s="555">
        <f t="shared" si="11"/>
        <v>0</v>
      </c>
      <c r="T98" s="555">
        <f t="shared" si="11"/>
        <v>0</v>
      </c>
      <c r="U98" s="664">
        <f>SUM(R98:T98)</f>
        <v>485.18459999999999</v>
      </c>
    </row>
    <row r="99" spans="1:21" outlineLevel="1" x14ac:dyDescent="0.25">
      <c r="B99" s="544"/>
      <c r="C99" s="545" t="s">
        <v>375</v>
      </c>
      <c r="D99" s="545">
        <v>4</v>
      </c>
      <c r="E99" s="545" t="s">
        <v>294</v>
      </c>
      <c r="F99" s="735">
        <f>'DUoS (t)'!$S$49</f>
        <v>0.14380000000000001</v>
      </c>
      <c r="G99" s="736">
        <f>'TUoS (t)'!$S$49</f>
        <v>0.11609999999999999</v>
      </c>
      <c r="H99" s="736">
        <f>'JSO (t)'!$S$49</f>
        <v>0</v>
      </c>
      <c r="I99" s="737">
        <f>SUM(F99:H99)</f>
        <v>0.25990000000000002</v>
      </c>
      <c r="J99" s="734"/>
      <c r="K99" s="733"/>
      <c r="L99" s="733"/>
      <c r="M99" s="664">
        <f>SUM(J99:L99)</f>
        <v>0</v>
      </c>
      <c r="N99" s="734"/>
      <c r="O99" s="733"/>
      <c r="P99" s="733"/>
      <c r="Q99" s="664">
        <f>SUM(N99:P99)</f>
        <v>0</v>
      </c>
      <c r="R99" s="663">
        <f t="shared" si="11"/>
        <v>0.14380000000000001</v>
      </c>
      <c r="S99" s="555">
        <f t="shared" si="11"/>
        <v>0.11609999999999999</v>
      </c>
      <c r="T99" s="555">
        <f t="shared" si="11"/>
        <v>0</v>
      </c>
      <c r="U99" s="664">
        <f>SUM(R99:T99)</f>
        <v>0.25990000000000002</v>
      </c>
    </row>
    <row r="100" spans="1:21" outlineLevel="1" x14ac:dyDescent="0.25">
      <c r="B100" s="544"/>
      <c r="C100" s="545" t="s">
        <v>376</v>
      </c>
      <c r="D100" s="545">
        <v>4</v>
      </c>
      <c r="E100" s="545" t="s">
        <v>294</v>
      </c>
      <c r="F100" s="735">
        <f>'DUoS (t)'!$T$50</f>
        <v>0.1028</v>
      </c>
      <c r="G100" s="736">
        <f>'TUoS (t)'!$T$50</f>
        <v>0</v>
      </c>
      <c r="H100" s="736">
        <f>'JSO (t)'!$T$50</f>
        <v>0</v>
      </c>
      <c r="I100" s="737">
        <f>SUM(F100:H100)</f>
        <v>0.1028</v>
      </c>
      <c r="J100" s="734"/>
      <c r="K100" s="733"/>
      <c r="L100" s="733"/>
      <c r="M100" s="664">
        <f>SUM(J100:L100)</f>
        <v>0</v>
      </c>
      <c r="N100" s="734">
        <f>-F100</f>
        <v>-0.1028</v>
      </c>
      <c r="O100" s="733"/>
      <c r="P100" s="733"/>
      <c r="Q100" s="664">
        <f>SUM(N100:P100)</f>
        <v>-0.1028</v>
      </c>
      <c r="R100" s="663">
        <f t="shared" si="11"/>
        <v>0</v>
      </c>
      <c r="S100" s="555">
        <f t="shared" si="11"/>
        <v>0</v>
      </c>
      <c r="T100" s="555">
        <f t="shared" si="11"/>
        <v>0</v>
      </c>
      <c r="U100" s="664">
        <f>SUM(R100:T100)</f>
        <v>0</v>
      </c>
    </row>
    <row r="101" spans="1:21" outlineLevel="1" x14ac:dyDescent="0.25">
      <c r="B101" s="544"/>
      <c r="C101" s="545" t="s">
        <v>562</v>
      </c>
      <c r="D101" s="545"/>
      <c r="E101" s="545" t="s">
        <v>288</v>
      </c>
      <c r="F101" s="735">
        <f>'DUoS (t)'!$I$50</f>
        <v>4.1799999999999997E-2</v>
      </c>
      <c r="G101" s="736">
        <f>'TUoS (t)'!$I$50</f>
        <v>1.89E-2</v>
      </c>
      <c r="H101" s="736">
        <f>'JSO (t)'!$I$50</f>
        <v>6.6E-3</v>
      </c>
      <c r="I101" s="737">
        <f>SUM(F101:H101)</f>
        <v>6.7299999999999999E-2</v>
      </c>
      <c r="J101" s="734"/>
      <c r="K101" s="733"/>
      <c r="L101" s="733"/>
      <c r="M101" s="664">
        <f>SUM(J101:L101)</f>
        <v>0</v>
      </c>
      <c r="N101" s="734"/>
      <c r="O101" s="733"/>
      <c r="P101" s="733"/>
      <c r="Q101" s="664">
        <f>SUM(N101:P101)</f>
        <v>0</v>
      </c>
      <c r="R101" s="663">
        <f t="shared" si="11"/>
        <v>4.1799999999999997E-2</v>
      </c>
      <c r="S101" s="555">
        <f t="shared" si="11"/>
        <v>1.89E-2</v>
      </c>
      <c r="T101" s="555">
        <f t="shared" si="11"/>
        <v>6.6E-3</v>
      </c>
      <c r="U101" s="664">
        <f>SUM(R101:T101)</f>
        <v>6.7299999999999999E-2</v>
      </c>
    </row>
    <row r="102" spans="1:21" outlineLevel="1" x14ac:dyDescent="0.25">
      <c r="B102" s="546"/>
      <c r="C102" s="547" t="s">
        <v>563</v>
      </c>
      <c r="D102" s="547"/>
      <c r="E102" s="547" t="s">
        <v>288</v>
      </c>
      <c r="F102" s="738">
        <f>'DUoS (t)'!$K$50</f>
        <v>2.6100000000000002E-2</v>
      </c>
      <c r="G102" s="739">
        <f>'TUoS (t)'!$K$50</f>
        <v>1.18E-2</v>
      </c>
      <c r="H102" s="739">
        <f>'JSO (t)'!$K$50</f>
        <v>4.1000000000000003E-3</v>
      </c>
      <c r="I102" s="740">
        <f>SUM(F102:H102)</f>
        <v>4.2000000000000003E-2</v>
      </c>
      <c r="J102" s="560"/>
      <c r="K102" s="561"/>
      <c r="L102" s="561"/>
      <c r="M102" s="558">
        <f>SUM(J102:L102)</f>
        <v>0</v>
      </c>
      <c r="N102" s="560"/>
      <c r="O102" s="561"/>
      <c r="P102" s="561"/>
      <c r="Q102" s="558">
        <f>SUM(N102:P102)</f>
        <v>0</v>
      </c>
      <c r="R102" s="556">
        <f t="shared" si="11"/>
        <v>2.6100000000000002E-2</v>
      </c>
      <c r="S102" s="557">
        <f t="shared" si="11"/>
        <v>1.18E-2</v>
      </c>
      <c r="T102" s="557">
        <f t="shared" si="11"/>
        <v>4.1000000000000003E-3</v>
      </c>
      <c r="U102" s="558">
        <f>SUM(R102:T102)</f>
        <v>4.2000000000000003E-2</v>
      </c>
    </row>
    <row r="103" spans="1:21" outlineLevel="1" x14ac:dyDescent="0.25">
      <c r="F103" s="741"/>
      <c r="G103" s="741"/>
      <c r="H103" s="741"/>
      <c r="I103" s="741"/>
    </row>
    <row r="104" spans="1:21" outlineLevel="1" x14ac:dyDescent="0.25">
      <c r="A104" s="559" t="s">
        <v>575</v>
      </c>
      <c r="F104" s="742"/>
      <c r="G104" s="742"/>
      <c r="H104" s="742"/>
      <c r="I104" s="742"/>
      <c r="J104" s="746"/>
      <c r="K104" s="746"/>
      <c r="L104" s="746"/>
      <c r="M104" s="746"/>
      <c r="N104" s="746"/>
      <c r="O104" s="746"/>
      <c r="P104" s="746"/>
      <c r="Q104" s="746"/>
      <c r="R104" s="746"/>
      <c r="S104" s="746"/>
      <c r="T104" s="746"/>
      <c r="U104" s="746"/>
    </row>
    <row r="105" spans="1:21" outlineLevel="1" x14ac:dyDescent="0.25">
      <c r="B105" s="542"/>
      <c r="C105" s="543"/>
      <c r="D105" s="543"/>
      <c r="E105" s="543" t="s">
        <v>315</v>
      </c>
      <c r="F105" s="743"/>
      <c r="G105" s="744"/>
      <c r="H105" s="744"/>
      <c r="I105" s="745"/>
      <c r="J105" s="552"/>
      <c r="K105" s="553"/>
      <c r="L105" s="553"/>
      <c r="M105" s="554"/>
      <c r="N105" s="552"/>
      <c r="O105" s="553"/>
      <c r="P105" s="553"/>
      <c r="Q105" s="554"/>
      <c r="R105" s="552"/>
      <c r="S105" s="553"/>
      <c r="T105" s="553"/>
      <c r="U105" s="554"/>
    </row>
    <row r="106" spans="1:21" outlineLevel="1" x14ac:dyDescent="0.25">
      <c r="B106" s="544"/>
      <c r="C106" s="545" t="s">
        <v>374</v>
      </c>
      <c r="D106" s="545"/>
      <c r="E106" s="545" t="s">
        <v>287</v>
      </c>
      <c r="F106" s="735">
        <f>('DUoS (t)'!$G$49)*1</f>
        <v>6.7949999999999999</v>
      </c>
      <c r="G106" s="736">
        <f>('TUoS (t)'!$G$49)*1</f>
        <v>0</v>
      </c>
      <c r="H106" s="736">
        <f>('JSO (t)'!$G$49)*1</f>
        <v>0</v>
      </c>
      <c r="I106" s="737">
        <f>SUM(F106:H106)</f>
        <v>6.7949999999999999</v>
      </c>
      <c r="J106" s="734"/>
      <c r="K106" s="733"/>
      <c r="L106" s="733"/>
      <c r="M106" s="664">
        <f>SUM(J106:L106)</f>
        <v>0</v>
      </c>
      <c r="N106" s="734">
        <f>(2*F106)+(291*F108)</f>
        <v>43.504800000000003</v>
      </c>
      <c r="O106" s="733"/>
      <c r="P106" s="733"/>
      <c r="Q106" s="664">
        <f>SUM(N106:P106)</f>
        <v>43.504800000000003</v>
      </c>
      <c r="R106" s="663">
        <f t="shared" ref="R106:T110" si="12">SUM(F106,J106,N106)</f>
        <v>50.299800000000005</v>
      </c>
      <c r="S106" s="555">
        <f t="shared" si="12"/>
        <v>0</v>
      </c>
      <c r="T106" s="555">
        <f t="shared" si="12"/>
        <v>0</v>
      </c>
      <c r="U106" s="664">
        <f>SUM(R106:T106)</f>
        <v>50.299800000000005</v>
      </c>
    </row>
    <row r="107" spans="1:21" outlineLevel="1" x14ac:dyDescent="0.25">
      <c r="B107" s="544"/>
      <c r="C107" s="545" t="s">
        <v>375</v>
      </c>
      <c r="D107" s="545">
        <v>4</v>
      </c>
      <c r="E107" s="545" t="s">
        <v>294</v>
      </c>
      <c r="F107" s="735">
        <f>'DUoS (t)'!$S$49</f>
        <v>0.14380000000000001</v>
      </c>
      <c r="G107" s="736">
        <f>'TUoS (t)'!$S$49</f>
        <v>0.11609999999999999</v>
      </c>
      <c r="H107" s="736">
        <f>'JSO (t)'!$S$49</f>
        <v>0</v>
      </c>
      <c r="I107" s="737">
        <f>SUM(F107:H107)</f>
        <v>0.25990000000000002</v>
      </c>
      <c r="J107" s="734"/>
      <c r="K107" s="733"/>
      <c r="L107" s="733"/>
      <c r="M107" s="664">
        <f>SUM(J107:L107)</f>
        <v>0</v>
      </c>
      <c r="N107" s="734"/>
      <c r="O107" s="733"/>
      <c r="P107" s="733"/>
      <c r="Q107" s="664">
        <f>SUM(N107:P107)</f>
        <v>0</v>
      </c>
      <c r="R107" s="663">
        <f t="shared" si="12"/>
        <v>0.14380000000000001</v>
      </c>
      <c r="S107" s="555">
        <f t="shared" si="12"/>
        <v>0.11609999999999999</v>
      </c>
      <c r="T107" s="555">
        <f t="shared" si="12"/>
        <v>0</v>
      </c>
      <c r="U107" s="664">
        <f>SUM(R107:T107)</f>
        <v>0.25990000000000002</v>
      </c>
    </row>
    <row r="108" spans="1:21" outlineLevel="1" x14ac:dyDescent="0.25">
      <c r="B108" s="544"/>
      <c r="C108" s="545" t="s">
        <v>376</v>
      </c>
      <c r="D108" s="545">
        <v>4</v>
      </c>
      <c r="E108" s="545" t="s">
        <v>294</v>
      </c>
      <c r="F108" s="735">
        <f>'DUoS (t)'!$T$49</f>
        <v>0.1028</v>
      </c>
      <c r="G108" s="736">
        <f>'TUoS (t)'!$T$49</f>
        <v>0</v>
      </c>
      <c r="H108" s="736">
        <f>'JSO (t)'!$T$49</f>
        <v>0</v>
      </c>
      <c r="I108" s="737">
        <f>SUM(F108:H108)</f>
        <v>0.1028</v>
      </c>
      <c r="J108" s="734"/>
      <c r="K108" s="733"/>
      <c r="L108" s="733"/>
      <c r="M108" s="664">
        <f>SUM(J108:L108)</f>
        <v>0</v>
      </c>
      <c r="N108" s="734">
        <f>-F108</f>
        <v>-0.1028</v>
      </c>
      <c r="O108" s="733"/>
      <c r="P108" s="733"/>
      <c r="Q108" s="664">
        <f>SUM(N108:P108)</f>
        <v>-0.1028</v>
      </c>
      <c r="R108" s="663">
        <f t="shared" si="12"/>
        <v>0</v>
      </c>
      <c r="S108" s="555">
        <f t="shared" si="12"/>
        <v>0</v>
      </c>
      <c r="T108" s="555">
        <f t="shared" si="12"/>
        <v>0</v>
      </c>
      <c r="U108" s="664">
        <f>SUM(R108:T108)</f>
        <v>0</v>
      </c>
    </row>
    <row r="109" spans="1:21" outlineLevel="1" x14ac:dyDescent="0.25">
      <c r="B109" s="544"/>
      <c r="C109" s="545" t="s">
        <v>562</v>
      </c>
      <c r="D109" s="545"/>
      <c r="E109" s="545" t="s">
        <v>288</v>
      </c>
      <c r="F109" s="735">
        <f>'DUoS (t)'!$I$49</f>
        <v>4.1799999999999997E-2</v>
      </c>
      <c r="G109" s="736">
        <f>'TUoS (t)'!$I$49</f>
        <v>1.89E-2</v>
      </c>
      <c r="H109" s="736">
        <f>'JSO (t)'!$I$49</f>
        <v>6.6E-3</v>
      </c>
      <c r="I109" s="737">
        <f>SUM(F109:H109)</f>
        <v>6.7299999999999999E-2</v>
      </c>
      <c r="J109" s="734"/>
      <c r="K109" s="733"/>
      <c r="L109" s="733"/>
      <c r="M109" s="664">
        <f>SUM(J109:L109)</f>
        <v>0</v>
      </c>
      <c r="N109" s="734"/>
      <c r="O109" s="733"/>
      <c r="P109" s="733"/>
      <c r="Q109" s="664">
        <f>SUM(N109:P109)</f>
        <v>0</v>
      </c>
      <c r="R109" s="663">
        <f t="shared" si="12"/>
        <v>4.1799999999999997E-2</v>
      </c>
      <c r="S109" s="555">
        <f t="shared" si="12"/>
        <v>1.89E-2</v>
      </c>
      <c r="T109" s="555">
        <f t="shared" si="12"/>
        <v>6.6E-3</v>
      </c>
      <c r="U109" s="664">
        <f>SUM(R109:T109)</f>
        <v>6.7299999999999999E-2</v>
      </c>
    </row>
    <row r="110" spans="1:21" outlineLevel="1" x14ac:dyDescent="0.25">
      <c r="B110" s="546"/>
      <c r="C110" s="547" t="s">
        <v>563</v>
      </c>
      <c r="D110" s="547"/>
      <c r="E110" s="547" t="s">
        <v>288</v>
      </c>
      <c r="F110" s="738">
        <f>'DUoS (t)'!$K$49</f>
        <v>2.6100000000000002E-2</v>
      </c>
      <c r="G110" s="739">
        <f>'TUoS (t)'!$K$49</f>
        <v>1.18E-2</v>
      </c>
      <c r="H110" s="739">
        <f>'JSO (t)'!$K$49</f>
        <v>4.1000000000000003E-3</v>
      </c>
      <c r="I110" s="740">
        <f>SUM(F110:H110)</f>
        <v>4.2000000000000003E-2</v>
      </c>
      <c r="J110" s="560"/>
      <c r="K110" s="561"/>
      <c r="L110" s="561"/>
      <c r="M110" s="558">
        <f>SUM(J110:L110)</f>
        <v>0</v>
      </c>
      <c r="N110" s="560"/>
      <c r="O110" s="561"/>
      <c r="P110" s="561"/>
      <c r="Q110" s="558">
        <f>SUM(N110:P110)</f>
        <v>0</v>
      </c>
      <c r="R110" s="556">
        <f t="shared" si="12"/>
        <v>2.6100000000000002E-2</v>
      </c>
      <c r="S110" s="557">
        <f t="shared" si="12"/>
        <v>1.18E-2</v>
      </c>
      <c r="T110" s="557">
        <f t="shared" si="12"/>
        <v>4.1000000000000003E-3</v>
      </c>
      <c r="U110" s="558">
        <f>SUM(R110:T110)</f>
        <v>4.2000000000000003E-2</v>
      </c>
    </row>
    <row r="111" spans="1:21" outlineLevel="1" x14ac:dyDescent="0.25">
      <c r="F111" s="741"/>
      <c r="G111" s="741"/>
      <c r="H111" s="741"/>
      <c r="I111" s="741"/>
    </row>
    <row r="112" spans="1:21" outlineLevel="1" x14ac:dyDescent="0.25">
      <c r="A112" s="559" t="s">
        <v>576</v>
      </c>
      <c r="F112" s="742"/>
      <c r="G112" s="742"/>
      <c r="H112" s="742"/>
      <c r="I112" s="742"/>
      <c r="J112" s="746"/>
      <c r="K112" s="746"/>
      <c r="L112" s="746"/>
      <c r="M112" s="746"/>
      <c r="N112" s="746"/>
      <c r="O112" s="746"/>
      <c r="P112" s="746"/>
      <c r="Q112" s="746"/>
      <c r="R112" s="746"/>
      <c r="S112" s="746"/>
      <c r="T112" s="746"/>
      <c r="U112" s="746"/>
    </row>
    <row r="113" spans="1:21" outlineLevel="1" x14ac:dyDescent="0.25">
      <c r="B113" s="542"/>
      <c r="C113" s="543"/>
      <c r="D113" s="543"/>
      <c r="E113" s="543" t="s">
        <v>315</v>
      </c>
      <c r="F113" s="743"/>
      <c r="G113" s="744"/>
      <c r="H113" s="744"/>
      <c r="I113" s="745"/>
      <c r="J113" s="552"/>
      <c r="K113" s="553"/>
      <c r="L113" s="553"/>
      <c r="M113" s="554"/>
      <c r="N113" s="552"/>
      <c r="O113" s="553"/>
      <c r="P113" s="553"/>
      <c r="Q113" s="554"/>
      <c r="R113" s="552"/>
      <c r="S113" s="553"/>
      <c r="T113" s="553"/>
      <c r="U113" s="554"/>
    </row>
    <row r="114" spans="1:21" outlineLevel="1" x14ac:dyDescent="0.25">
      <c r="B114" s="544"/>
      <c r="C114" s="545" t="s">
        <v>374</v>
      </c>
      <c r="D114" s="545"/>
      <c r="E114" s="545" t="s">
        <v>287</v>
      </c>
      <c r="F114" s="735">
        <f>('DUoS (t)'!$G$49)*1</f>
        <v>6.7949999999999999</v>
      </c>
      <c r="G114" s="736">
        <f>('TUoS (t)'!$G$49)*1</f>
        <v>0</v>
      </c>
      <c r="H114" s="736">
        <f>('JSO (t)'!$G$49)*1</f>
        <v>0</v>
      </c>
      <c r="I114" s="737">
        <f>SUM(F114:H114)</f>
        <v>6.7949999999999999</v>
      </c>
      <c r="J114" s="734"/>
      <c r="K114" s="733"/>
      <c r="L114" s="733"/>
      <c r="M114" s="664">
        <f>SUM(J114:L114)</f>
        <v>0</v>
      </c>
      <c r="N114" s="734">
        <f>(11*F114)+(4863*F116)</f>
        <v>574.66139999999996</v>
      </c>
      <c r="O114" s="733"/>
      <c r="P114" s="733"/>
      <c r="Q114" s="664">
        <f>SUM(N114:P114)</f>
        <v>574.66139999999996</v>
      </c>
      <c r="R114" s="663">
        <f t="shared" ref="R114:T118" si="13">SUM(F114,J114,N114)</f>
        <v>581.45639999999992</v>
      </c>
      <c r="S114" s="555">
        <f t="shared" si="13"/>
        <v>0</v>
      </c>
      <c r="T114" s="555">
        <f t="shared" si="13"/>
        <v>0</v>
      </c>
      <c r="U114" s="664">
        <f>SUM(R114:T114)</f>
        <v>581.45639999999992</v>
      </c>
    </row>
    <row r="115" spans="1:21" outlineLevel="1" x14ac:dyDescent="0.25">
      <c r="B115" s="544"/>
      <c r="C115" s="545" t="s">
        <v>375</v>
      </c>
      <c r="D115" s="545">
        <v>4</v>
      </c>
      <c r="E115" s="545" t="s">
        <v>294</v>
      </c>
      <c r="F115" s="735">
        <f>'DUoS (t)'!$S$49</f>
        <v>0.14380000000000001</v>
      </c>
      <c r="G115" s="736">
        <f>'TUoS (t)'!$S$49</f>
        <v>0.11609999999999999</v>
      </c>
      <c r="H115" s="736">
        <f>'JSO (t)'!$S$49</f>
        <v>0</v>
      </c>
      <c r="I115" s="737">
        <f>SUM(F115:H115)</f>
        <v>0.25990000000000002</v>
      </c>
      <c r="J115" s="734"/>
      <c r="K115" s="733"/>
      <c r="L115" s="733"/>
      <c r="M115" s="664">
        <f>SUM(J115:L115)</f>
        <v>0</v>
      </c>
      <c r="N115" s="734"/>
      <c r="O115" s="733"/>
      <c r="P115" s="733"/>
      <c r="Q115" s="664">
        <f>SUM(N115:P115)</f>
        <v>0</v>
      </c>
      <c r="R115" s="663">
        <f t="shared" si="13"/>
        <v>0.14380000000000001</v>
      </c>
      <c r="S115" s="555">
        <f t="shared" si="13"/>
        <v>0.11609999999999999</v>
      </c>
      <c r="T115" s="555">
        <f t="shared" si="13"/>
        <v>0</v>
      </c>
      <c r="U115" s="664">
        <f>SUM(R115:T115)</f>
        <v>0.25990000000000002</v>
      </c>
    </row>
    <row r="116" spans="1:21" outlineLevel="1" x14ac:dyDescent="0.25">
      <c r="B116" s="544"/>
      <c r="C116" s="545" t="s">
        <v>376</v>
      </c>
      <c r="D116" s="545">
        <v>4</v>
      </c>
      <c r="E116" s="545" t="s">
        <v>294</v>
      </c>
      <c r="F116" s="735">
        <f>'DUoS (t)'!$T$49</f>
        <v>0.1028</v>
      </c>
      <c r="G116" s="736">
        <f>'TUoS (t)'!$T$49</f>
        <v>0</v>
      </c>
      <c r="H116" s="736">
        <f>'JSO (t)'!$T$49</f>
        <v>0</v>
      </c>
      <c r="I116" s="737">
        <f>SUM(F116:H116)</f>
        <v>0.1028</v>
      </c>
      <c r="J116" s="734"/>
      <c r="K116" s="733"/>
      <c r="L116" s="733"/>
      <c r="M116" s="664">
        <f>SUM(J116:L116)</f>
        <v>0</v>
      </c>
      <c r="N116" s="734">
        <f>-F116</f>
        <v>-0.1028</v>
      </c>
      <c r="O116" s="733"/>
      <c r="P116" s="733"/>
      <c r="Q116" s="664">
        <f>SUM(N116:P116)</f>
        <v>-0.1028</v>
      </c>
      <c r="R116" s="663">
        <f t="shared" si="13"/>
        <v>0</v>
      </c>
      <c r="S116" s="555">
        <f t="shared" si="13"/>
        <v>0</v>
      </c>
      <c r="T116" s="555">
        <f t="shared" si="13"/>
        <v>0</v>
      </c>
      <c r="U116" s="664">
        <f>SUM(R116:T116)</f>
        <v>0</v>
      </c>
    </row>
    <row r="117" spans="1:21" outlineLevel="1" x14ac:dyDescent="0.25">
      <c r="B117" s="544"/>
      <c r="C117" s="545" t="s">
        <v>562</v>
      </c>
      <c r="D117" s="545"/>
      <c r="E117" s="545" t="s">
        <v>288</v>
      </c>
      <c r="F117" s="735">
        <f>'DUoS (t)'!$I$49</f>
        <v>4.1799999999999997E-2</v>
      </c>
      <c r="G117" s="736">
        <f>'TUoS (t)'!$I$49</f>
        <v>1.89E-2</v>
      </c>
      <c r="H117" s="736">
        <f>'JSO (t)'!$I$49</f>
        <v>6.6E-3</v>
      </c>
      <c r="I117" s="737">
        <f>SUM(F117:H117)</f>
        <v>6.7299999999999999E-2</v>
      </c>
      <c r="J117" s="734"/>
      <c r="K117" s="733"/>
      <c r="L117" s="733"/>
      <c r="M117" s="664">
        <f>SUM(J117:L117)</f>
        <v>0</v>
      </c>
      <c r="N117" s="734"/>
      <c r="O117" s="733"/>
      <c r="P117" s="733"/>
      <c r="Q117" s="664">
        <f>SUM(N117:P117)</f>
        <v>0</v>
      </c>
      <c r="R117" s="663">
        <f t="shared" si="13"/>
        <v>4.1799999999999997E-2</v>
      </c>
      <c r="S117" s="555">
        <f t="shared" si="13"/>
        <v>1.89E-2</v>
      </c>
      <c r="T117" s="555">
        <f t="shared" si="13"/>
        <v>6.6E-3</v>
      </c>
      <c r="U117" s="664">
        <f>SUM(R117:T117)</f>
        <v>6.7299999999999999E-2</v>
      </c>
    </row>
    <row r="118" spans="1:21" outlineLevel="1" x14ac:dyDescent="0.25">
      <c r="B118" s="546"/>
      <c r="C118" s="547" t="s">
        <v>563</v>
      </c>
      <c r="D118" s="547"/>
      <c r="E118" s="547" t="s">
        <v>288</v>
      </c>
      <c r="F118" s="738">
        <f>'DUoS (t)'!$K$49</f>
        <v>2.6100000000000002E-2</v>
      </c>
      <c r="G118" s="739">
        <f>'TUoS (t)'!$K$49</f>
        <v>1.18E-2</v>
      </c>
      <c r="H118" s="739">
        <f>'JSO (t)'!$K$49</f>
        <v>4.1000000000000003E-3</v>
      </c>
      <c r="I118" s="740">
        <f>SUM(F118:H118)</f>
        <v>4.2000000000000003E-2</v>
      </c>
      <c r="J118" s="560"/>
      <c r="K118" s="561"/>
      <c r="L118" s="561"/>
      <c r="M118" s="558">
        <f>SUM(J118:L118)</f>
        <v>0</v>
      </c>
      <c r="N118" s="560"/>
      <c r="O118" s="561"/>
      <c r="P118" s="561"/>
      <c r="Q118" s="558">
        <f>SUM(N118:P118)</f>
        <v>0</v>
      </c>
      <c r="R118" s="556">
        <f t="shared" si="13"/>
        <v>2.6100000000000002E-2</v>
      </c>
      <c r="S118" s="557">
        <f t="shared" si="13"/>
        <v>1.18E-2</v>
      </c>
      <c r="T118" s="557">
        <f t="shared" si="13"/>
        <v>4.1000000000000003E-3</v>
      </c>
      <c r="U118" s="558">
        <f>SUM(R118:T118)</f>
        <v>4.2000000000000003E-2</v>
      </c>
    </row>
    <row r="119" spans="1:21" outlineLevel="1" x14ac:dyDescent="0.25">
      <c r="F119" s="741"/>
      <c r="G119" s="741"/>
      <c r="H119" s="741"/>
      <c r="I119" s="741"/>
    </row>
    <row r="120" spans="1:21" outlineLevel="1" x14ac:dyDescent="0.25">
      <c r="A120" s="559" t="s">
        <v>632</v>
      </c>
      <c r="F120" s="742"/>
      <c r="G120" s="742"/>
      <c r="H120" s="742"/>
      <c r="I120" s="742"/>
      <c r="J120" s="746"/>
      <c r="K120" s="746"/>
      <c r="L120" s="746"/>
      <c r="M120" s="746"/>
      <c r="N120" s="746"/>
      <c r="O120" s="746"/>
      <c r="P120" s="746"/>
      <c r="Q120" s="746"/>
      <c r="R120" s="746"/>
      <c r="S120" s="746"/>
      <c r="T120" s="746"/>
      <c r="U120" s="746"/>
    </row>
    <row r="121" spans="1:21" outlineLevel="1" x14ac:dyDescent="0.25">
      <c r="B121" s="542"/>
      <c r="C121" s="543"/>
      <c r="D121" s="543"/>
      <c r="E121" s="543" t="s">
        <v>315</v>
      </c>
      <c r="F121" s="743"/>
      <c r="G121" s="744"/>
      <c r="H121" s="744"/>
      <c r="I121" s="745"/>
      <c r="J121" s="552"/>
      <c r="K121" s="553"/>
      <c r="L121" s="553"/>
      <c r="M121" s="554"/>
      <c r="N121" s="552"/>
      <c r="O121" s="553"/>
      <c r="P121" s="553"/>
      <c r="Q121" s="554"/>
      <c r="R121" s="552"/>
      <c r="S121" s="553"/>
      <c r="T121" s="553"/>
      <c r="U121" s="554"/>
    </row>
    <row r="122" spans="1:21" outlineLevel="1" x14ac:dyDescent="0.25">
      <c r="B122" s="544"/>
      <c r="C122" s="545" t="s">
        <v>374</v>
      </c>
      <c r="D122" s="545"/>
      <c r="E122" s="545" t="s">
        <v>287</v>
      </c>
      <c r="F122" s="735">
        <f>('DUoS (t)'!$G$50)*1</f>
        <v>6.7949999999999999</v>
      </c>
      <c r="G122" s="736">
        <f>('TUoS (t)'!$G$50)*1</f>
        <v>0</v>
      </c>
      <c r="H122" s="736">
        <f>('JSO (t)'!$G$50)*1</f>
        <v>0</v>
      </c>
      <c r="I122" s="737">
        <f>SUM(F122:H122)</f>
        <v>6.7949999999999999</v>
      </c>
      <c r="J122" s="734"/>
      <c r="K122" s="733"/>
      <c r="L122" s="733"/>
      <c r="M122" s="664">
        <f>SUM(J122:L122)</f>
        <v>0</v>
      </c>
      <c r="N122" s="734">
        <f>(3*F122)+(1814*F124)</f>
        <v>206.86419999999998</v>
      </c>
      <c r="O122" s="733"/>
      <c r="P122" s="733"/>
      <c r="Q122" s="664">
        <f>SUM(N122:P122)</f>
        <v>206.86419999999998</v>
      </c>
      <c r="R122" s="663">
        <f t="shared" ref="R122:T126" si="14">SUM(F122,J122,N122)</f>
        <v>213.65919999999997</v>
      </c>
      <c r="S122" s="555">
        <f t="shared" si="14"/>
        <v>0</v>
      </c>
      <c r="T122" s="555">
        <f t="shared" si="14"/>
        <v>0</v>
      </c>
      <c r="U122" s="664">
        <f>SUM(R122:T122)</f>
        <v>213.65919999999997</v>
      </c>
    </row>
    <row r="123" spans="1:21" outlineLevel="1" x14ac:dyDescent="0.25">
      <c r="B123" s="544"/>
      <c r="C123" s="545" t="s">
        <v>375</v>
      </c>
      <c r="D123" s="545">
        <v>4</v>
      </c>
      <c r="E123" s="545" t="s">
        <v>294</v>
      </c>
      <c r="F123" s="735">
        <f>'DUoS (t)'!$P$50</f>
        <v>0.52149999999999996</v>
      </c>
      <c r="G123" s="736">
        <f>'TUoS (t)'!$P$50</f>
        <v>0.42080000000000001</v>
      </c>
      <c r="H123" s="736">
        <f>'JSO (t)'!$P$50</f>
        <v>0</v>
      </c>
      <c r="I123" s="737">
        <f>SUM(F123:H123)</f>
        <v>0.94229999999999992</v>
      </c>
      <c r="J123" s="734"/>
      <c r="K123" s="733"/>
      <c r="L123" s="733"/>
      <c r="M123" s="664">
        <f>SUM(J123:L123)</f>
        <v>0</v>
      </c>
      <c r="N123" s="734"/>
      <c r="O123" s="733"/>
      <c r="P123" s="733"/>
      <c r="Q123" s="664">
        <f>SUM(N123:P123)</f>
        <v>0</v>
      </c>
      <c r="R123" s="663">
        <f t="shared" si="14"/>
        <v>0.52149999999999996</v>
      </c>
      <c r="S123" s="555">
        <f t="shared" si="14"/>
        <v>0.42080000000000001</v>
      </c>
      <c r="T123" s="555">
        <f t="shared" si="14"/>
        <v>0</v>
      </c>
      <c r="U123" s="664">
        <f>SUM(R123:T123)</f>
        <v>0.94229999999999992</v>
      </c>
    </row>
    <row r="124" spans="1:21" outlineLevel="1" x14ac:dyDescent="0.25">
      <c r="B124" s="544"/>
      <c r="C124" s="545" t="s">
        <v>376</v>
      </c>
      <c r="D124" s="545">
        <v>4</v>
      </c>
      <c r="E124" s="545" t="s">
        <v>294</v>
      </c>
      <c r="F124" s="735">
        <f>'DUoS (t)'!$T$50</f>
        <v>0.1028</v>
      </c>
      <c r="G124" s="736">
        <f>'TUoS (t)'!$T$50</f>
        <v>0</v>
      </c>
      <c r="H124" s="736">
        <f>'JSO (t)'!$T$50</f>
        <v>0</v>
      </c>
      <c r="I124" s="737">
        <f>SUM(F124:H124)</f>
        <v>0.1028</v>
      </c>
      <c r="J124" s="734"/>
      <c r="K124" s="733"/>
      <c r="L124" s="733"/>
      <c r="M124" s="664">
        <f>SUM(J124:L124)</f>
        <v>0</v>
      </c>
      <c r="N124" s="734">
        <f>-F124</f>
        <v>-0.1028</v>
      </c>
      <c r="O124" s="733"/>
      <c r="P124" s="733"/>
      <c r="Q124" s="664">
        <f>SUM(N124:P124)</f>
        <v>-0.1028</v>
      </c>
      <c r="R124" s="663">
        <f t="shared" si="14"/>
        <v>0</v>
      </c>
      <c r="S124" s="555">
        <f t="shared" si="14"/>
        <v>0</v>
      </c>
      <c r="T124" s="555">
        <f t="shared" si="14"/>
        <v>0</v>
      </c>
      <c r="U124" s="664">
        <f>SUM(R124:T124)</f>
        <v>0</v>
      </c>
    </row>
    <row r="125" spans="1:21" outlineLevel="1" x14ac:dyDescent="0.25">
      <c r="B125" s="544"/>
      <c r="C125" s="545" t="s">
        <v>562</v>
      </c>
      <c r="D125" s="545"/>
      <c r="E125" s="545" t="s">
        <v>288</v>
      </c>
      <c r="F125" s="735">
        <f>'DUoS (t)'!$I$50</f>
        <v>4.1799999999999997E-2</v>
      </c>
      <c r="G125" s="736">
        <f>'TUoS (t)'!$I$50</f>
        <v>1.89E-2</v>
      </c>
      <c r="H125" s="736">
        <f>'JSO (t)'!$I$50</f>
        <v>6.6E-3</v>
      </c>
      <c r="I125" s="737">
        <f>SUM(F125:H125)</f>
        <v>6.7299999999999999E-2</v>
      </c>
      <c r="J125" s="734"/>
      <c r="K125" s="733"/>
      <c r="L125" s="733"/>
      <c r="M125" s="664">
        <f>SUM(J125:L125)</f>
        <v>0</v>
      </c>
      <c r="N125" s="734"/>
      <c r="O125" s="733"/>
      <c r="P125" s="733"/>
      <c r="Q125" s="664">
        <f>SUM(N125:P125)</f>
        <v>0</v>
      </c>
      <c r="R125" s="663">
        <f t="shared" si="14"/>
        <v>4.1799999999999997E-2</v>
      </c>
      <c r="S125" s="555">
        <f t="shared" si="14"/>
        <v>1.89E-2</v>
      </c>
      <c r="T125" s="555">
        <f t="shared" si="14"/>
        <v>6.6E-3</v>
      </c>
      <c r="U125" s="664">
        <f>SUM(R125:T125)</f>
        <v>6.7299999999999999E-2</v>
      </c>
    </row>
    <row r="126" spans="1:21" outlineLevel="1" x14ac:dyDescent="0.25">
      <c r="B126" s="546"/>
      <c r="C126" s="547" t="s">
        <v>563</v>
      </c>
      <c r="D126" s="547"/>
      <c r="E126" s="547" t="s">
        <v>288</v>
      </c>
      <c r="F126" s="738">
        <f>'DUoS (t)'!$K$50</f>
        <v>2.6100000000000002E-2</v>
      </c>
      <c r="G126" s="739">
        <f>'TUoS (t)'!$K$50</f>
        <v>1.18E-2</v>
      </c>
      <c r="H126" s="739">
        <f>'JSO (t)'!$K$50</f>
        <v>4.1000000000000003E-3</v>
      </c>
      <c r="I126" s="740">
        <f>SUM(F126:H126)</f>
        <v>4.2000000000000003E-2</v>
      </c>
      <c r="J126" s="560"/>
      <c r="K126" s="561"/>
      <c r="L126" s="561"/>
      <c r="M126" s="558">
        <f>SUM(J126:L126)</f>
        <v>0</v>
      </c>
      <c r="N126" s="560"/>
      <c r="O126" s="561"/>
      <c r="P126" s="561"/>
      <c r="Q126" s="558">
        <f>SUM(N126:P126)</f>
        <v>0</v>
      </c>
      <c r="R126" s="556">
        <f t="shared" si="14"/>
        <v>2.6100000000000002E-2</v>
      </c>
      <c r="S126" s="557">
        <f t="shared" si="14"/>
        <v>1.18E-2</v>
      </c>
      <c r="T126" s="557">
        <f t="shared" si="14"/>
        <v>4.1000000000000003E-3</v>
      </c>
      <c r="U126" s="558">
        <f>SUM(R126:T126)</f>
        <v>4.2000000000000003E-2</v>
      </c>
    </row>
    <row r="127" spans="1:21" outlineLevel="1" x14ac:dyDescent="0.25">
      <c r="B127" s="562"/>
      <c r="C127" s="562"/>
      <c r="D127" s="562"/>
      <c r="E127" s="562"/>
      <c r="F127" s="555"/>
      <c r="G127" s="555"/>
      <c r="H127" s="555"/>
      <c r="I127" s="555"/>
      <c r="J127" s="555"/>
      <c r="K127" s="555"/>
      <c r="L127" s="555"/>
      <c r="M127" s="555"/>
      <c r="N127" s="555"/>
      <c r="O127" s="555"/>
      <c r="P127" s="555"/>
      <c r="Q127" s="555"/>
      <c r="R127" s="555"/>
      <c r="S127" s="555"/>
      <c r="T127" s="555"/>
      <c r="U127" s="555"/>
    </row>
    <row r="128" spans="1:21" x14ac:dyDescent="0.25">
      <c r="A128" s="563" t="s">
        <v>383</v>
      </c>
      <c r="B128" s="562"/>
      <c r="C128" s="562"/>
      <c r="D128" s="562"/>
      <c r="E128" s="562"/>
      <c r="F128" s="555"/>
      <c r="G128" s="555"/>
      <c r="H128" s="555"/>
      <c r="I128" s="555"/>
      <c r="J128" s="555"/>
      <c r="K128" s="555"/>
      <c r="L128" s="555"/>
      <c r="M128" s="555"/>
      <c r="N128" s="555"/>
      <c r="O128" s="555"/>
      <c r="P128" s="555"/>
      <c r="Q128" s="555"/>
      <c r="R128" s="555"/>
      <c r="S128" s="555"/>
      <c r="T128" s="555"/>
      <c r="U128" s="555"/>
    </row>
    <row r="129" spans="1:21" ht="16.5" thickBot="1" x14ac:dyDescent="0.3">
      <c r="A129" s="441" t="s">
        <v>382</v>
      </c>
    </row>
    <row r="130" spans="1:21" outlineLevel="1" x14ac:dyDescent="0.25">
      <c r="F130" s="921" t="s">
        <v>377</v>
      </c>
      <c r="G130" s="922"/>
      <c r="H130" s="922"/>
      <c r="I130" s="923"/>
      <c r="J130" s="924" t="s">
        <v>379</v>
      </c>
      <c r="K130" s="925"/>
      <c r="L130" s="925"/>
      <c r="M130" s="926"/>
      <c r="N130" s="924" t="s">
        <v>380</v>
      </c>
      <c r="O130" s="925"/>
      <c r="P130" s="925"/>
      <c r="Q130" s="926"/>
      <c r="R130" s="924" t="s">
        <v>378</v>
      </c>
      <c r="S130" s="925"/>
      <c r="T130" s="925"/>
      <c r="U130" s="926"/>
    </row>
    <row r="131" spans="1:21" ht="15.75" outlineLevel="1" thickBot="1" x14ac:dyDescent="0.3">
      <c r="F131" s="548" t="s">
        <v>282</v>
      </c>
      <c r="G131" s="549" t="s">
        <v>283</v>
      </c>
      <c r="H131" s="549" t="s">
        <v>284</v>
      </c>
      <c r="I131" s="550" t="s">
        <v>285</v>
      </c>
      <c r="J131" s="748" t="s">
        <v>282</v>
      </c>
      <c r="K131" s="749" t="s">
        <v>283</v>
      </c>
      <c r="L131" s="749" t="s">
        <v>284</v>
      </c>
      <c r="M131" s="750" t="s">
        <v>285</v>
      </c>
      <c r="N131" s="748" t="s">
        <v>282</v>
      </c>
      <c r="O131" s="749" t="s">
        <v>283</v>
      </c>
      <c r="P131" s="749" t="s">
        <v>284</v>
      </c>
      <c r="Q131" s="750" t="s">
        <v>285</v>
      </c>
      <c r="R131" s="748" t="s">
        <v>282</v>
      </c>
      <c r="S131" s="749" t="s">
        <v>283</v>
      </c>
      <c r="T131" s="749" t="s">
        <v>284</v>
      </c>
      <c r="U131" s="750" t="s">
        <v>285</v>
      </c>
    </row>
    <row r="132" spans="1:21" outlineLevel="1" x14ac:dyDescent="0.25">
      <c r="A132" s="831" t="s">
        <v>553</v>
      </c>
      <c r="F132" s="551"/>
      <c r="G132" s="551"/>
      <c r="H132" s="551"/>
      <c r="I132" s="551"/>
      <c r="J132" s="746"/>
      <c r="K132" s="746"/>
      <c r="L132" s="746"/>
      <c r="M132" s="746"/>
      <c r="N132" s="746"/>
      <c r="O132" s="746"/>
      <c r="P132" s="746"/>
      <c r="Q132" s="746"/>
      <c r="R132" s="746"/>
      <c r="S132" s="746"/>
      <c r="T132" s="746"/>
      <c r="U132" s="746"/>
    </row>
    <row r="133" spans="1:21" outlineLevel="1" x14ac:dyDescent="0.25">
      <c r="B133" s="542"/>
      <c r="C133" s="543"/>
      <c r="D133" s="543"/>
      <c r="E133" s="543" t="s">
        <v>315</v>
      </c>
      <c r="F133" s="552"/>
      <c r="G133" s="553"/>
      <c r="H133" s="553"/>
      <c r="I133" s="554"/>
      <c r="J133" s="552"/>
      <c r="K133" s="553"/>
      <c r="L133" s="553"/>
      <c r="M133" s="554"/>
      <c r="N133" s="552"/>
      <c r="O133" s="553"/>
      <c r="P133" s="553"/>
      <c r="Q133" s="554"/>
      <c r="R133" s="552"/>
      <c r="S133" s="553"/>
      <c r="T133" s="553"/>
      <c r="U133" s="554"/>
    </row>
    <row r="134" spans="1:21" outlineLevel="1" x14ac:dyDescent="0.25">
      <c r="B134" s="544"/>
      <c r="C134" s="545" t="s">
        <v>374</v>
      </c>
      <c r="D134" s="545"/>
      <c r="E134" s="545" t="s">
        <v>287</v>
      </c>
      <c r="F134" s="735">
        <f>'DUoS (t)'!$G$72*1</f>
        <v>39.962600000000002</v>
      </c>
      <c r="G134" s="736">
        <f>'TUoS (t)'!$G$72*1</f>
        <v>0</v>
      </c>
      <c r="H134" s="736">
        <f>'JSO (t)'!$G$72*1</f>
        <v>0</v>
      </c>
      <c r="I134" s="737">
        <f>SUM(F134:H134)</f>
        <v>39.962600000000002</v>
      </c>
      <c r="J134" s="734"/>
      <c r="K134" s="733"/>
      <c r="L134" s="733"/>
      <c r="M134" s="664">
        <f>SUM(J134:L134)</f>
        <v>0</v>
      </c>
      <c r="N134" s="734"/>
      <c r="O134" s="733"/>
      <c r="P134" s="733"/>
      <c r="Q134" s="664">
        <f>SUM(N134:P134)</f>
        <v>0</v>
      </c>
      <c r="R134" s="663">
        <f t="shared" ref="R134:T138" si="15">SUM(F134,J134,N134)</f>
        <v>39.962600000000002</v>
      </c>
      <c r="S134" s="555">
        <f t="shared" si="15"/>
        <v>0</v>
      </c>
      <c r="T134" s="555">
        <f t="shared" si="15"/>
        <v>0</v>
      </c>
      <c r="U134" s="664">
        <f>SUM(R134:T134)</f>
        <v>39.962600000000002</v>
      </c>
    </row>
    <row r="135" spans="1:21" outlineLevel="1" x14ac:dyDescent="0.25">
      <c r="B135" s="544"/>
      <c r="C135" s="545" t="s">
        <v>375</v>
      </c>
      <c r="D135" s="545">
        <v>4</v>
      </c>
      <c r="E135" s="545" t="s">
        <v>294</v>
      </c>
      <c r="F135" s="735">
        <f>'DUoS (t)'!$S$72</f>
        <v>0.1036</v>
      </c>
      <c r="G135" s="736">
        <f>'TUoS (t)'!$S$72</f>
        <v>0.1162</v>
      </c>
      <c r="H135" s="736">
        <f>'JSO (t)'!$S$72</f>
        <v>0</v>
      </c>
      <c r="I135" s="737">
        <f>SUM(F135:H135)</f>
        <v>0.2198</v>
      </c>
      <c r="J135" s="734"/>
      <c r="K135" s="733"/>
      <c r="L135" s="733"/>
      <c r="M135" s="664">
        <f>SUM(J135:L135)</f>
        <v>0</v>
      </c>
      <c r="N135" s="734"/>
      <c r="O135" s="733"/>
      <c r="P135" s="733"/>
      <c r="Q135" s="664">
        <f>SUM(N135:P135)</f>
        <v>0</v>
      </c>
      <c r="R135" s="663">
        <f t="shared" si="15"/>
        <v>0.1036</v>
      </c>
      <c r="S135" s="555">
        <f t="shared" si="15"/>
        <v>0.1162</v>
      </c>
      <c r="T135" s="555">
        <f t="shared" si="15"/>
        <v>0</v>
      </c>
      <c r="U135" s="664">
        <f>SUM(R135:T135)</f>
        <v>0.2198</v>
      </c>
    </row>
    <row r="136" spans="1:21" outlineLevel="1" x14ac:dyDescent="0.25">
      <c r="B136" s="544"/>
      <c r="C136" s="545" t="s">
        <v>376</v>
      </c>
      <c r="D136" s="545">
        <v>4</v>
      </c>
      <c r="E136" s="545" t="s">
        <v>294</v>
      </c>
      <c r="F136" s="735">
        <f>'DUoS (t)'!$T$72</f>
        <v>0.1007</v>
      </c>
      <c r="G136" s="736">
        <f>'TUoS (t)'!$T$72</f>
        <v>0</v>
      </c>
      <c r="H136" s="736">
        <f>'JSO (t)'!$T$72</f>
        <v>0</v>
      </c>
      <c r="I136" s="737">
        <f>SUM(F136:H136)</f>
        <v>0.1007</v>
      </c>
      <c r="J136" s="734"/>
      <c r="K136" s="733"/>
      <c r="L136" s="733"/>
      <c r="M136" s="664">
        <f>SUM(J136:L136)</f>
        <v>0</v>
      </c>
      <c r="N136" s="734"/>
      <c r="O136" s="733"/>
      <c r="P136" s="733"/>
      <c r="Q136" s="664">
        <f>SUM(N136:P136)</f>
        <v>0</v>
      </c>
      <c r="R136" s="663">
        <f t="shared" si="15"/>
        <v>0.1007</v>
      </c>
      <c r="S136" s="555">
        <f t="shared" si="15"/>
        <v>0</v>
      </c>
      <c r="T136" s="555">
        <f t="shared" si="15"/>
        <v>0</v>
      </c>
      <c r="U136" s="664">
        <f>SUM(R136:T136)</f>
        <v>0.1007</v>
      </c>
    </row>
    <row r="137" spans="1:21" outlineLevel="1" x14ac:dyDescent="0.25">
      <c r="B137" s="544"/>
      <c r="C137" s="545" t="s">
        <v>562</v>
      </c>
      <c r="D137" s="545"/>
      <c r="E137" s="545" t="s">
        <v>288</v>
      </c>
      <c r="F137" s="735">
        <f>'DUoS (t)'!$I$72</f>
        <v>2.3199999999999998E-2</v>
      </c>
      <c r="G137" s="736">
        <f>'TUoS (t)'!$I$72</f>
        <v>1.41E-2</v>
      </c>
      <c r="H137" s="736">
        <f>'JSO (t)'!$I$72</f>
        <v>4.4000000000000003E-3</v>
      </c>
      <c r="I137" s="737">
        <f>SUM(F137:H137)</f>
        <v>4.1700000000000001E-2</v>
      </c>
      <c r="J137" s="734"/>
      <c r="K137" s="733"/>
      <c r="L137" s="733"/>
      <c r="M137" s="664">
        <f>SUM(J137:L137)</f>
        <v>0</v>
      </c>
      <c r="N137" s="734"/>
      <c r="O137" s="733"/>
      <c r="P137" s="733"/>
      <c r="Q137" s="664">
        <f>SUM(N137:P137)</f>
        <v>0</v>
      </c>
      <c r="R137" s="663">
        <f t="shared" si="15"/>
        <v>2.3199999999999998E-2</v>
      </c>
      <c r="S137" s="555">
        <f t="shared" si="15"/>
        <v>1.41E-2</v>
      </c>
      <c r="T137" s="555">
        <f t="shared" si="15"/>
        <v>4.4000000000000003E-3</v>
      </c>
      <c r="U137" s="664">
        <f>SUM(R137:T137)</f>
        <v>4.1700000000000001E-2</v>
      </c>
    </row>
    <row r="138" spans="1:21" outlineLevel="1" x14ac:dyDescent="0.25">
      <c r="B138" s="546"/>
      <c r="C138" s="547" t="s">
        <v>563</v>
      </c>
      <c r="D138" s="547"/>
      <c r="E138" s="547" t="s">
        <v>288</v>
      </c>
      <c r="F138" s="738">
        <f>'DUoS (t)'!$K$72</f>
        <v>1.4500000000000001E-2</v>
      </c>
      <c r="G138" s="739">
        <f>'TUoS (t)'!$K$72</f>
        <v>8.8000000000000005E-3</v>
      </c>
      <c r="H138" s="739">
        <f>'JSO (t)'!$K$72</f>
        <v>2.8E-3</v>
      </c>
      <c r="I138" s="740">
        <f>SUM(F138:H138)</f>
        <v>2.6100000000000002E-2</v>
      </c>
      <c r="J138" s="560"/>
      <c r="K138" s="561"/>
      <c r="L138" s="561"/>
      <c r="M138" s="558">
        <f>SUM(J138:L138)</f>
        <v>0</v>
      </c>
      <c r="N138" s="560"/>
      <c r="O138" s="561"/>
      <c r="P138" s="561"/>
      <c r="Q138" s="558">
        <f>SUM(N138:P138)</f>
        <v>0</v>
      </c>
      <c r="R138" s="556">
        <f t="shared" si="15"/>
        <v>1.4500000000000001E-2</v>
      </c>
      <c r="S138" s="557">
        <f t="shared" si="15"/>
        <v>8.8000000000000005E-3</v>
      </c>
      <c r="T138" s="557">
        <f t="shared" si="15"/>
        <v>2.8E-3</v>
      </c>
      <c r="U138" s="558">
        <f>SUM(R138:T138)</f>
        <v>2.6100000000000002E-2</v>
      </c>
    </row>
    <row r="139" spans="1:21" outlineLevel="1" x14ac:dyDescent="0.25">
      <c r="F139" s="741"/>
      <c r="G139" s="741"/>
      <c r="H139" s="741"/>
      <c r="I139" s="741"/>
    </row>
    <row r="140" spans="1:21" outlineLevel="1" x14ac:dyDescent="0.25">
      <c r="A140" s="831" t="s">
        <v>554</v>
      </c>
      <c r="F140" s="742"/>
      <c r="G140" s="742"/>
      <c r="H140" s="742"/>
      <c r="I140" s="742"/>
      <c r="J140" s="746"/>
      <c r="K140" s="746"/>
      <c r="L140" s="746"/>
      <c r="M140" s="746"/>
      <c r="N140" s="746"/>
      <c r="O140" s="746"/>
      <c r="P140" s="746"/>
      <c r="Q140" s="746"/>
      <c r="R140" s="746"/>
      <c r="S140" s="746"/>
      <c r="T140" s="746"/>
      <c r="U140" s="746"/>
    </row>
    <row r="141" spans="1:21" outlineLevel="1" x14ac:dyDescent="0.25">
      <c r="B141" s="542"/>
      <c r="C141" s="543"/>
      <c r="D141" s="543"/>
      <c r="E141" s="543" t="s">
        <v>315</v>
      </c>
      <c r="F141" s="743"/>
      <c r="G141" s="744"/>
      <c r="H141" s="744"/>
      <c r="I141" s="745"/>
      <c r="J141" s="552"/>
      <c r="K141" s="553"/>
      <c r="L141" s="553"/>
      <c r="M141" s="554"/>
      <c r="N141" s="552"/>
      <c r="O141" s="553"/>
      <c r="P141" s="553"/>
      <c r="Q141" s="554"/>
      <c r="R141" s="552"/>
      <c r="S141" s="553"/>
      <c r="T141" s="553"/>
      <c r="U141" s="554"/>
    </row>
    <row r="142" spans="1:21" outlineLevel="1" x14ac:dyDescent="0.25">
      <c r="B142" s="544"/>
      <c r="C142" s="545" t="s">
        <v>374</v>
      </c>
      <c r="D142" s="545"/>
      <c r="E142" s="545" t="s">
        <v>287</v>
      </c>
      <c r="F142" s="735">
        <f>'DUoS (t)'!$G$72*1</f>
        <v>39.962600000000002</v>
      </c>
      <c r="G142" s="736">
        <f>'TUoS (t)'!$G$72*1</f>
        <v>0</v>
      </c>
      <c r="H142" s="736">
        <f>'JSO (t)'!$G$72*1</f>
        <v>0</v>
      </c>
      <c r="I142" s="737">
        <f>SUM(F142:H142)</f>
        <v>39.962600000000002</v>
      </c>
      <c r="J142" s="734"/>
      <c r="K142" s="733"/>
      <c r="L142" s="733"/>
      <c r="M142" s="664">
        <f>SUM(J142:L142)</f>
        <v>0</v>
      </c>
      <c r="N142" s="734"/>
      <c r="O142" s="733"/>
      <c r="P142" s="733"/>
      <c r="Q142" s="664">
        <f>SUM(N142:P142)</f>
        <v>0</v>
      </c>
      <c r="R142" s="663">
        <f t="shared" ref="R142:T146" si="16">SUM(F142,J142,N142)</f>
        <v>39.962600000000002</v>
      </c>
      <c r="S142" s="555">
        <f t="shared" si="16"/>
        <v>0</v>
      </c>
      <c r="T142" s="555">
        <f t="shared" si="16"/>
        <v>0</v>
      </c>
      <c r="U142" s="664">
        <f>SUM(R142:T142)</f>
        <v>39.962600000000002</v>
      </c>
    </row>
    <row r="143" spans="1:21" outlineLevel="1" x14ac:dyDescent="0.25">
      <c r="B143" s="544"/>
      <c r="C143" s="545" t="s">
        <v>375</v>
      </c>
      <c r="D143" s="545">
        <v>4</v>
      </c>
      <c r="E143" s="545" t="s">
        <v>294</v>
      </c>
      <c r="F143" s="735">
        <f>'DUoS (t)'!$S$72</f>
        <v>0.1036</v>
      </c>
      <c r="G143" s="736">
        <f>'TUoS (t)'!$S$72</f>
        <v>0.1162</v>
      </c>
      <c r="H143" s="736">
        <f>'JSO (t)'!$S$72</f>
        <v>0</v>
      </c>
      <c r="I143" s="737">
        <f>SUM(F143:H143)</f>
        <v>0.2198</v>
      </c>
      <c r="J143" s="734"/>
      <c r="K143" s="733"/>
      <c r="L143" s="733"/>
      <c r="M143" s="664">
        <f>SUM(J143:L143)</f>
        <v>0</v>
      </c>
      <c r="N143" s="734"/>
      <c r="O143" s="733"/>
      <c r="P143" s="733"/>
      <c r="Q143" s="664">
        <f>SUM(N143:P143)</f>
        <v>0</v>
      </c>
      <c r="R143" s="663">
        <f t="shared" si="16"/>
        <v>0.1036</v>
      </c>
      <c r="S143" s="555">
        <f t="shared" si="16"/>
        <v>0.1162</v>
      </c>
      <c r="T143" s="555">
        <f t="shared" si="16"/>
        <v>0</v>
      </c>
      <c r="U143" s="664">
        <f>SUM(R143:T143)</f>
        <v>0.2198</v>
      </c>
    </row>
    <row r="144" spans="1:21" outlineLevel="1" x14ac:dyDescent="0.25">
      <c r="B144" s="544"/>
      <c r="C144" s="545" t="s">
        <v>376</v>
      </c>
      <c r="D144" s="545">
        <v>4</v>
      </c>
      <c r="E144" s="545" t="s">
        <v>294</v>
      </c>
      <c r="F144" s="735">
        <f>'DUoS (t)'!$T$72</f>
        <v>0.1007</v>
      </c>
      <c r="G144" s="736">
        <f>'TUoS (t)'!$T$72</f>
        <v>0</v>
      </c>
      <c r="H144" s="736">
        <f>'JSO (t)'!$T$72</f>
        <v>0</v>
      </c>
      <c r="I144" s="737">
        <f>SUM(F144:H144)</f>
        <v>0.1007</v>
      </c>
      <c r="J144" s="734"/>
      <c r="K144" s="733"/>
      <c r="L144" s="733"/>
      <c r="M144" s="664">
        <f>SUM(J144:L144)</f>
        <v>0</v>
      </c>
      <c r="N144" s="734"/>
      <c r="O144" s="733"/>
      <c r="P144" s="733"/>
      <c r="Q144" s="664">
        <f>SUM(N144:P144)</f>
        <v>0</v>
      </c>
      <c r="R144" s="663">
        <f t="shared" si="16"/>
        <v>0.1007</v>
      </c>
      <c r="S144" s="555">
        <f t="shared" si="16"/>
        <v>0</v>
      </c>
      <c r="T144" s="555">
        <f t="shared" si="16"/>
        <v>0</v>
      </c>
      <c r="U144" s="664">
        <f>SUM(R144:T144)</f>
        <v>0.1007</v>
      </c>
    </row>
    <row r="145" spans="1:21" outlineLevel="1" x14ac:dyDescent="0.25">
      <c r="B145" s="544"/>
      <c r="C145" s="545" t="s">
        <v>562</v>
      </c>
      <c r="D145" s="545"/>
      <c r="E145" s="545" t="s">
        <v>288</v>
      </c>
      <c r="F145" s="735">
        <f>'DUoS (t)'!$I$72</f>
        <v>2.3199999999999998E-2</v>
      </c>
      <c r="G145" s="736">
        <f>'TUoS (t)'!$I$72</f>
        <v>1.41E-2</v>
      </c>
      <c r="H145" s="736">
        <f>'JSO (t)'!$I$72</f>
        <v>4.4000000000000003E-3</v>
      </c>
      <c r="I145" s="737">
        <f>SUM(F145:H145)</f>
        <v>4.1700000000000001E-2</v>
      </c>
      <c r="J145" s="734"/>
      <c r="K145" s="733"/>
      <c r="L145" s="733"/>
      <c r="M145" s="664">
        <f>SUM(J145:L145)</f>
        <v>0</v>
      </c>
      <c r="N145" s="734"/>
      <c r="O145" s="733"/>
      <c r="P145" s="733"/>
      <c r="Q145" s="664">
        <f>SUM(N145:P145)</f>
        <v>0</v>
      </c>
      <c r="R145" s="663">
        <f t="shared" si="16"/>
        <v>2.3199999999999998E-2</v>
      </c>
      <c r="S145" s="555">
        <f t="shared" si="16"/>
        <v>1.41E-2</v>
      </c>
      <c r="T145" s="555">
        <f t="shared" si="16"/>
        <v>4.4000000000000003E-3</v>
      </c>
      <c r="U145" s="664">
        <f>SUM(R145:T145)</f>
        <v>4.1700000000000001E-2</v>
      </c>
    </row>
    <row r="146" spans="1:21" outlineLevel="1" x14ac:dyDescent="0.25">
      <c r="B146" s="546"/>
      <c r="C146" s="547" t="s">
        <v>563</v>
      </c>
      <c r="D146" s="547"/>
      <c r="E146" s="547" t="s">
        <v>288</v>
      </c>
      <c r="F146" s="738">
        <f>'DUoS (t)'!$K$72</f>
        <v>1.4500000000000001E-2</v>
      </c>
      <c r="G146" s="739">
        <f>'TUoS (t)'!$K$72</f>
        <v>8.8000000000000005E-3</v>
      </c>
      <c r="H146" s="739">
        <f>'JSO (t)'!$K$72</f>
        <v>2.8E-3</v>
      </c>
      <c r="I146" s="740">
        <f>SUM(F146:H146)</f>
        <v>2.6100000000000002E-2</v>
      </c>
      <c r="J146" s="560"/>
      <c r="K146" s="561"/>
      <c r="L146" s="561"/>
      <c r="M146" s="558">
        <f>SUM(J146:L146)</f>
        <v>0</v>
      </c>
      <c r="N146" s="560"/>
      <c r="O146" s="561"/>
      <c r="P146" s="561"/>
      <c r="Q146" s="558">
        <f>SUM(N146:P146)</f>
        <v>0</v>
      </c>
      <c r="R146" s="556">
        <f t="shared" si="16"/>
        <v>1.4500000000000001E-2</v>
      </c>
      <c r="S146" s="557">
        <f t="shared" si="16"/>
        <v>8.8000000000000005E-3</v>
      </c>
      <c r="T146" s="557">
        <f t="shared" si="16"/>
        <v>2.8E-3</v>
      </c>
      <c r="U146" s="558">
        <f>SUM(R146:T146)</f>
        <v>2.6100000000000002E-2</v>
      </c>
    </row>
    <row r="147" spans="1:21" outlineLevel="1" x14ac:dyDescent="0.25">
      <c r="F147" s="741"/>
      <c r="G147" s="741"/>
      <c r="H147" s="741"/>
      <c r="I147" s="741"/>
    </row>
    <row r="148" spans="1:21" outlineLevel="1" x14ac:dyDescent="0.25">
      <c r="A148" s="559" t="s">
        <v>566</v>
      </c>
      <c r="F148" s="742"/>
      <c r="G148" s="742"/>
      <c r="H148" s="742"/>
      <c r="I148" s="742"/>
      <c r="J148" s="746"/>
      <c r="K148" s="746"/>
      <c r="L148" s="746"/>
      <c r="M148" s="746"/>
      <c r="N148" s="746"/>
      <c r="O148" s="746"/>
      <c r="P148" s="746"/>
      <c r="Q148" s="746"/>
      <c r="R148" s="746"/>
      <c r="S148" s="746"/>
      <c r="T148" s="746"/>
      <c r="U148" s="746"/>
    </row>
    <row r="149" spans="1:21" outlineLevel="1" x14ac:dyDescent="0.25">
      <c r="B149" s="542"/>
      <c r="C149" s="543"/>
      <c r="D149" s="543"/>
      <c r="E149" s="543" t="s">
        <v>315</v>
      </c>
      <c r="F149" s="743"/>
      <c r="G149" s="744"/>
      <c r="H149" s="744"/>
      <c r="I149" s="745"/>
      <c r="J149" s="552"/>
      <c r="K149" s="553"/>
      <c r="L149" s="553"/>
      <c r="M149" s="554"/>
      <c r="N149" s="552"/>
      <c r="O149" s="553"/>
      <c r="P149" s="553"/>
      <c r="Q149" s="554"/>
      <c r="R149" s="552"/>
      <c r="S149" s="553"/>
      <c r="T149" s="553"/>
      <c r="U149" s="554"/>
    </row>
    <row r="150" spans="1:21" outlineLevel="1" x14ac:dyDescent="0.25">
      <c r="B150" s="544"/>
      <c r="C150" s="545" t="s">
        <v>374</v>
      </c>
      <c r="D150" s="545"/>
      <c r="E150" s="545" t="s">
        <v>287</v>
      </c>
      <c r="F150" s="735">
        <f>'DUoS (t)'!$G$72*1</f>
        <v>39.962600000000002</v>
      </c>
      <c r="G150" s="736">
        <f>'TUoS (t)'!$G$72*1</f>
        <v>0</v>
      </c>
      <c r="H150" s="736">
        <f>'JSO (t)'!$G$72*1</f>
        <v>0</v>
      </c>
      <c r="I150" s="737">
        <f>SUM(F150:H150)</f>
        <v>39.962600000000002</v>
      </c>
      <c r="J150" s="734"/>
      <c r="K150" s="733"/>
      <c r="L150" s="733"/>
      <c r="M150" s="664">
        <f>SUM(J150:L150)</f>
        <v>0</v>
      </c>
      <c r="N150" s="734">
        <f>(2*F150)+(5802*F152)</f>
        <v>664.1866</v>
      </c>
      <c r="O150" s="733"/>
      <c r="P150" s="733"/>
      <c r="Q150" s="664">
        <f>SUM(N150:P150)</f>
        <v>664.1866</v>
      </c>
      <c r="R150" s="663">
        <f t="shared" ref="R150:T154" si="17">SUM(F150,J150,N150)</f>
        <v>704.14919999999995</v>
      </c>
      <c r="S150" s="555">
        <f t="shared" si="17"/>
        <v>0</v>
      </c>
      <c r="T150" s="555">
        <f t="shared" si="17"/>
        <v>0</v>
      </c>
      <c r="U150" s="664">
        <f>SUM(R150:T150)</f>
        <v>704.14919999999995</v>
      </c>
    </row>
    <row r="151" spans="1:21" outlineLevel="1" x14ac:dyDescent="0.25">
      <c r="B151" s="544"/>
      <c r="C151" s="545" t="s">
        <v>375</v>
      </c>
      <c r="D151" s="545">
        <v>4</v>
      </c>
      <c r="E151" s="545" t="s">
        <v>294</v>
      </c>
      <c r="F151" s="735">
        <f>'DUoS (t)'!$S$72</f>
        <v>0.1036</v>
      </c>
      <c r="G151" s="736">
        <f>'TUoS (t)'!$S$72</f>
        <v>0.1162</v>
      </c>
      <c r="H151" s="736">
        <f>'JSO (t)'!$S$72</f>
        <v>0</v>
      </c>
      <c r="I151" s="737">
        <f>SUM(F151:H151)</f>
        <v>0.2198</v>
      </c>
      <c r="J151" s="734"/>
      <c r="K151" s="733"/>
      <c r="L151" s="733"/>
      <c r="M151" s="664">
        <f>SUM(J151:L151)</f>
        <v>0</v>
      </c>
      <c r="N151" s="734"/>
      <c r="O151" s="733"/>
      <c r="P151" s="733"/>
      <c r="Q151" s="664">
        <f>SUM(N151:P151)</f>
        <v>0</v>
      </c>
      <c r="R151" s="663">
        <f t="shared" si="17"/>
        <v>0.1036</v>
      </c>
      <c r="S151" s="555">
        <f t="shared" si="17"/>
        <v>0.1162</v>
      </c>
      <c r="T151" s="555">
        <f t="shared" si="17"/>
        <v>0</v>
      </c>
      <c r="U151" s="664">
        <f>SUM(R151:T151)</f>
        <v>0.2198</v>
      </c>
    </row>
    <row r="152" spans="1:21" outlineLevel="1" x14ac:dyDescent="0.25">
      <c r="B152" s="544"/>
      <c r="C152" s="545" t="s">
        <v>376</v>
      </c>
      <c r="D152" s="545">
        <v>4</v>
      </c>
      <c r="E152" s="545" t="s">
        <v>294</v>
      </c>
      <c r="F152" s="735">
        <f>'DUoS (t)'!$T$72</f>
        <v>0.1007</v>
      </c>
      <c r="G152" s="736">
        <f>'TUoS (t)'!$T$72</f>
        <v>0</v>
      </c>
      <c r="H152" s="736">
        <f>'JSO (t)'!$T$72</f>
        <v>0</v>
      </c>
      <c r="I152" s="737">
        <f>SUM(F152:H152)</f>
        <v>0.1007</v>
      </c>
      <c r="J152" s="734"/>
      <c r="K152" s="733"/>
      <c r="L152" s="733"/>
      <c r="M152" s="664">
        <f>SUM(J152:L152)</f>
        <v>0</v>
      </c>
      <c r="N152" s="734">
        <f>-F152</f>
        <v>-0.1007</v>
      </c>
      <c r="O152" s="733"/>
      <c r="P152" s="733"/>
      <c r="Q152" s="664">
        <f>SUM(N152:P152)</f>
        <v>-0.1007</v>
      </c>
      <c r="R152" s="663">
        <f t="shared" si="17"/>
        <v>0</v>
      </c>
      <c r="S152" s="555">
        <f t="shared" si="17"/>
        <v>0</v>
      </c>
      <c r="T152" s="555">
        <f t="shared" si="17"/>
        <v>0</v>
      </c>
      <c r="U152" s="664">
        <f>SUM(R152:T152)</f>
        <v>0</v>
      </c>
    </row>
    <row r="153" spans="1:21" outlineLevel="1" x14ac:dyDescent="0.25">
      <c r="B153" s="544"/>
      <c r="C153" s="545" t="s">
        <v>562</v>
      </c>
      <c r="D153" s="545"/>
      <c r="E153" s="545" t="s">
        <v>288</v>
      </c>
      <c r="F153" s="735">
        <f>'DUoS (t)'!$I$72</f>
        <v>2.3199999999999998E-2</v>
      </c>
      <c r="G153" s="736">
        <f>'TUoS (t)'!$I$72</f>
        <v>1.41E-2</v>
      </c>
      <c r="H153" s="736">
        <f>'JSO (t)'!$I$72</f>
        <v>4.4000000000000003E-3</v>
      </c>
      <c r="I153" s="737">
        <f>SUM(F153:H153)</f>
        <v>4.1700000000000001E-2</v>
      </c>
      <c r="J153" s="734"/>
      <c r="K153" s="733"/>
      <c r="L153" s="733"/>
      <c r="M153" s="664">
        <f>SUM(J153:L153)</f>
        <v>0</v>
      </c>
      <c r="N153" s="734"/>
      <c r="O153" s="733"/>
      <c r="P153" s="733"/>
      <c r="Q153" s="664">
        <f>SUM(N153:P153)</f>
        <v>0</v>
      </c>
      <c r="R153" s="663">
        <f t="shared" si="17"/>
        <v>2.3199999999999998E-2</v>
      </c>
      <c r="S153" s="555">
        <f t="shared" si="17"/>
        <v>1.41E-2</v>
      </c>
      <c r="T153" s="555">
        <f t="shared" si="17"/>
        <v>4.4000000000000003E-3</v>
      </c>
      <c r="U153" s="664">
        <f>SUM(R153:T153)</f>
        <v>4.1700000000000001E-2</v>
      </c>
    </row>
    <row r="154" spans="1:21" outlineLevel="1" x14ac:dyDescent="0.25">
      <c r="B154" s="546"/>
      <c r="C154" s="547" t="s">
        <v>563</v>
      </c>
      <c r="D154" s="547"/>
      <c r="E154" s="547" t="s">
        <v>288</v>
      </c>
      <c r="F154" s="738">
        <f>'DUoS (t)'!$K$72</f>
        <v>1.4500000000000001E-2</v>
      </c>
      <c r="G154" s="739">
        <f>'TUoS (t)'!$K$72</f>
        <v>8.8000000000000005E-3</v>
      </c>
      <c r="H154" s="739">
        <f>'JSO (t)'!$K$72</f>
        <v>2.8E-3</v>
      </c>
      <c r="I154" s="740">
        <f>SUM(F154:H154)</f>
        <v>2.6100000000000002E-2</v>
      </c>
      <c r="J154" s="560"/>
      <c r="K154" s="561"/>
      <c r="L154" s="561"/>
      <c r="M154" s="558">
        <f>SUM(J154:L154)</f>
        <v>0</v>
      </c>
      <c r="N154" s="560"/>
      <c r="O154" s="561"/>
      <c r="P154" s="561"/>
      <c r="Q154" s="558">
        <f>SUM(N154:P154)</f>
        <v>0</v>
      </c>
      <c r="R154" s="556">
        <f t="shared" si="17"/>
        <v>1.4500000000000001E-2</v>
      </c>
      <c r="S154" s="557">
        <f t="shared" si="17"/>
        <v>8.8000000000000005E-3</v>
      </c>
      <c r="T154" s="557">
        <f t="shared" si="17"/>
        <v>2.8E-3</v>
      </c>
      <c r="U154" s="558">
        <f>SUM(R154:T154)</f>
        <v>2.6100000000000002E-2</v>
      </c>
    </row>
    <row r="155" spans="1:21" outlineLevel="1" x14ac:dyDescent="0.25">
      <c r="B155" s="562"/>
      <c r="C155" s="562"/>
      <c r="D155" s="562"/>
      <c r="E155" s="562"/>
      <c r="F155" s="736"/>
      <c r="G155" s="736"/>
      <c r="H155" s="736"/>
      <c r="I155" s="736"/>
      <c r="J155" s="555"/>
      <c r="K155" s="555"/>
      <c r="L155" s="555"/>
      <c r="M155" s="555"/>
      <c r="N155" s="555"/>
      <c r="O155" s="555"/>
      <c r="P155" s="555"/>
      <c r="Q155" s="555"/>
      <c r="R155" s="555"/>
      <c r="S155" s="555"/>
      <c r="T155" s="555"/>
      <c r="U155" s="555"/>
    </row>
    <row r="156" spans="1:21" outlineLevel="1" x14ac:dyDescent="0.25">
      <c r="A156" s="831" t="s">
        <v>555</v>
      </c>
      <c r="F156" s="742"/>
      <c r="G156" s="742"/>
      <c r="H156" s="742"/>
      <c r="I156" s="742"/>
      <c r="J156" s="746"/>
      <c r="K156" s="746"/>
      <c r="L156" s="746"/>
      <c r="M156" s="746"/>
      <c r="N156" s="746"/>
      <c r="O156" s="746"/>
      <c r="P156" s="746"/>
      <c r="Q156" s="746"/>
      <c r="R156" s="746"/>
      <c r="S156" s="746"/>
      <c r="T156" s="746"/>
      <c r="U156" s="746"/>
    </row>
    <row r="157" spans="1:21" outlineLevel="1" x14ac:dyDescent="0.25">
      <c r="B157" s="542"/>
      <c r="C157" s="543"/>
      <c r="D157" s="543"/>
      <c r="E157" s="543" t="s">
        <v>315</v>
      </c>
      <c r="F157" s="743"/>
      <c r="G157" s="744"/>
      <c r="H157" s="744"/>
      <c r="I157" s="745"/>
      <c r="J157" s="552"/>
      <c r="K157" s="553"/>
      <c r="L157" s="553"/>
      <c r="M157" s="554"/>
      <c r="N157" s="552"/>
      <c r="O157" s="553"/>
      <c r="P157" s="553"/>
      <c r="Q157" s="554"/>
      <c r="R157" s="552"/>
      <c r="S157" s="553"/>
      <c r="T157" s="553"/>
      <c r="U157" s="554"/>
    </row>
    <row r="158" spans="1:21" outlineLevel="1" x14ac:dyDescent="0.25">
      <c r="B158" s="544"/>
      <c r="C158" s="545" t="s">
        <v>374</v>
      </c>
      <c r="D158" s="545"/>
      <c r="E158" s="545" t="s">
        <v>287</v>
      </c>
      <c r="F158" s="735">
        <f>'DUoS (t)'!$G$72*1</f>
        <v>39.962600000000002</v>
      </c>
      <c r="G158" s="736">
        <f>'TUoS (t)'!$G$72*1</f>
        <v>0</v>
      </c>
      <c r="H158" s="736">
        <f>'JSO (t)'!$G$72*1</f>
        <v>0</v>
      </c>
      <c r="I158" s="737">
        <f>SUM(F158:H158)</f>
        <v>39.962600000000002</v>
      </c>
      <c r="J158" s="734"/>
      <c r="K158" s="733"/>
      <c r="L158" s="733"/>
      <c r="M158" s="664">
        <f>SUM(J158:L158)</f>
        <v>0</v>
      </c>
      <c r="N158" s="734"/>
      <c r="O158" s="733"/>
      <c r="P158" s="733"/>
      <c r="Q158" s="664">
        <f>SUM(N158:P158)</f>
        <v>0</v>
      </c>
      <c r="R158" s="663">
        <f t="shared" ref="R158:T162" si="18">SUM(F158,J158,N158)</f>
        <v>39.962600000000002</v>
      </c>
      <c r="S158" s="555">
        <f t="shared" si="18"/>
        <v>0</v>
      </c>
      <c r="T158" s="555">
        <f t="shared" si="18"/>
        <v>0</v>
      </c>
      <c r="U158" s="664">
        <f>SUM(R158:T158)</f>
        <v>39.962600000000002</v>
      </c>
    </row>
    <row r="159" spans="1:21" outlineLevel="1" x14ac:dyDescent="0.25">
      <c r="B159" s="544"/>
      <c r="C159" s="545" t="s">
        <v>375</v>
      </c>
      <c r="D159" s="545">
        <v>4</v>
      </c>
      <c r="E159" s="545" t="s">
        <v>294</v>
      </c>
      <c r="F159" s="735">
        <f>'DUoS (t)'!$S$72</f>
        <v>0.1036</v>
      </c>
      <c r="G159" s="736">
        <f>'TUoS (t)'!$S$72</f>
        <v>0.1162</v>
      </c>
      <c r="H159" s="736">
        <f>'JSO (t)'!$S$72</f>
        <v>0</v>
      </c>
      <c r="I159" s="737">
        <f>SUM(F159:H159)</f>
        <v>0.2198</v>
      </c>
      <c r="J159" s="734"/>
      <c r="K159" s="733"/>
      <c r="L159" s="733"/>
      <c r="M159" s="664">
        <f>SUM(J159:L159)</f>
        <v>0</v>
      </c>
      <c r="N159" s="734"/>
      <c r="O159" s="733"/>
      <c r="P159" s="733"/>
      <c r="Q159" s="664">
        <f>SUM(N159:P159)</f>
        <v>0</v>
      </c>
      <c r="R159" s="663">
        <f t="shared" si="18"/>
        <v>0.1036</v>
      </c>
      <c r="S159" s="555">
        <f t="shared" si="18"/>
        <v>0.1162</v>
      </c>
      <c r="T159" s="555">
        <f t="shared" si="18"/>
        <v>0</v>
      </c>
      <c r="U159" s="664">
        <f>SUM(R159:T159)</f>
        <v>0.2198</v>
      </c>
    </row>
    <row r="160" spans="1:21" outlineLevel="1" x14ac:dyDescent="0.25">
      <c r="B160" s="544"/>
      <c r="C160" s="545" t="s">
        <v>376</v>
      </c>
      <c r="D160" s="545">
        <v>4</v>
      </c>
      <c r="E160" s="545" t="s">
        <v>294</v>
      </c>
      <c r="F160" s="735">
        <f>'DUoS (t)'!$T$72</f>
        <v>0.1007</v>
      </c>
      <c r="G160" s="736">
        <f>'TUoS (t)'!$T$72</f>
        <v>0</v>
      </c>
      <c r="H160" s="736">
        <f>'JSO (t)'!$T$72</f>
        <v>0</v>
      </c>
      <c r="I160" s="737">
        <f>SUM(F160:H160)</f>
        <v>0.1007</v>
      </c>
      <c r="J160" s="734"/>
      <c r="K160" s="733"/>
      <c r="L160" s="733"/>
      <c r="M160" s="664">
        <f>SUM(J160:L160)</f>
        <v>0</v>
      </c>
      <c r="N160" s="734"/>
      <c r="O160" s="733"/>
      <c r="P160" s="733"/>
      <c r="Q160" s="664">
        <f>SUM(N160:P160)</f>
        <v>0</v>
      </c>
      <c r="R160" s="663">
        <f t="shared" si="18"/>
        <v>0.1007</v>
      </c>
      <c r="S160" s="555">
        <f t="shared" si="18"/>
        <v>0</v>
      </c>
      <c r="T160" s="555">
        <f t="shared" si="18"/>
        <v>0</v>
      </c>
      <c r="U160" s="664">
        <f>SUM(R160:T160)</f>
        <v>0.1007</v>
      </c>
    </row>
    <row r="161" spans="1:21" outlineLevel="1" x14ac:dyDescent="0.25">
      <c r="B161" s="544"/>
      <c r="C161" s="545" t="s">
        <v>562</v>
      </c>
      <c r="D161" s="545"/>
      <c r="E161" s="545" t="s">
        <v>288</v>
      </c>
      <c r="F161" s="735">
        <f>'DUoS (t)'!$I$72</f>
        <v>2.3199999999999998E-2</v>
      </c>
      <c r="G161" s="736">
        <f>'TUoS (t)'!$I$72</f>
        <v>1.41E-2</v>
      </c>
      <c r="H161" s="736">
        <f>'JSO (t)'!$I$72</f>
        <v>4.4000000000000003E-3</v>
      </c>
      <c r="I161" s="737">
        <f>SUM(F161:H161)</f>
        <v>4.1700000000000001E-2</v>
      </c>
      <c r="J161" s="734"/>
      <c r="K161" s="733"/>
      <c r="L161" s="733"/>
      <c r="M161" s="664">
        <f>SUM(J161:L161)</f>
        <v>0</v>
      </c>
      <c r="N161" s="734"/>
      <c r="O161" s="733"/>
      <c r="P161" s="733"/>
      <c r="Q161" s="664">
        <f>SUM(N161:P161)</f>
        <v>0</v>
      </c>
      <c r="R161" s="663">
        <f t="shared" si="18"/>
        <v>2.3199999999999998E-2</v>
      </c>
      <c r="S161" s="555">
        <f t="shared" si="18"/>
        <v>1.41E-2</v>
      </c>
      <c r="T161" s="555">
        <f t="shared" si="18"/>
        <v>4.4000000000000003E-3</v>
      </c>
      <c r="U161" s="664">
        <f>SUM(R161:T161)</f>
        <v>4.1700000000000001E-2</v>
      </c>
    </row>
    <row r="162" spans="1:21" outlineLevel="1" x14ac:dyDescent="0.25">
      <c r="B162" s="546"/>
      <c r="C162" s="547" t="s">
        <v>563</v>
      </c>
      <c r="D162" s="547"/>
      <c r="E162" s="547" t="s">
        <v>288</v>
      </c>
      <c r="F162" s="738">
        <f>'DUoS (t)'!$K$72</f>
        <v>1.4500000000000001E-2</v>
      </c>
      <c r="G162" s="739">
        <f>'TUoS (t)'!$K$72</f>
        <v>8.8000000000000005E-3</v>
      </c>
      <c r="H162" s="739">
        <f>'JSO (t)'!$K$72</f>
        <v>2.8E-3</v>
      </c>
      <c r="I162" s="740">
        <f>SUM(F162:H162)</f>
        <v>2.6100000000000002E-2</v>
      </c>
      <c r="J162" s="560"/>
      <c r="K162" s="561"/>
      <c r="L162" s="561"/>
      <c r="M162" s="558">
        <f>SUM(J162:L162)</f>
        <v>0</v>
      </c>
      <c r="N162" s="560"/>
      <c r="O162" s="561"/>
      <c r="P162" s="561"/>
      <c r="Q162" s="558">
        <f>SUM(N162:P162)</f>
        <v>0</v>
      </c>
      <c r="R162" s="556">
        <f t="shared" si="18"/>
        <v>1.4500000000000001E-2</v>
      </c>
      <c r="S162" s="557">
        <f t="shared" si="18"/>
        <v>8.8000000000000005E-3</v>
      </c>
      <c r="T162" s="557">
        <f t="shared" si="18"/>
        <v>2.8E-3</v>
      </c>
      <c r="U162" s="558">
        <f>SUM(R162:T162)</f>
        <v>2.6100000000000002E-2</v>
      </c>
    </row>
    <row r="163" spans="1:21" outlineLevel="1" x14ac:dyDescent="0.25">
      <c r="B163" s="562"/>
      <c r="C163" s="562"/>
      <c r="D163" s="562"/>
      <c r="E163" s="562"/>
      <c r="F163" s="736"/>
      <c r="G163" s="736"/>
      <c r="H163" s="736"/>
      <c r="I163" s="736"/>
      <c r="J163" s="555"/>
      <c r="K163" s="555"/>
      <c r="L163" s="555"/>
      <c r="M163" s="555"/>
      <c r="N163" s="555"/>
      <c r="O163" s="555"/>
      <c r="P163" s="555"/>
      <c r="Q163" s="555"/>
      <c r="R163" s="555"/>
      <c r="S163" s="555"/>
      <c r="T163" s="555"/>
      <c r="U163" s="555"/>
    </row>
    <row r="164" spans="1:21" outlineLevel="1" x14ac:dyDescent="0.25">
      <c r="A164" s="831" t="s">
        <v>556</v>
      </c>
      <c r="F164" s="742"/>
      <c r="G164" s="742"/>
      <c r="H164" s="742"/>
      <c r="I164" s="742"/>
      <c r="J164" s="746"/>
      <c r="K164" s="746"/>
      <c r="L164" s="746"/>
      <c r="M164" s="746"/>
      <c r="N164" s="746"/>
      <c r="O164" s="746"/>
      <c r="P164" s="746"/>
      <c r="Q164" s="746"/>
      <c r="R164" s="746"/>
      <c r="S164" s="746"/>
      <c r="T164" s="746"/>
      <c r="U164" s="746"/>
    </row>
    <row r="165" spans="1:21" outlineLevel="1" x14ac:dyDescent="0.25">
      <c r="B165" s="542"/>
      <c r="C165" s="543"/>
      <c r="D165" s="543"/>
      <c r="E165" s="543" t="s">
        <v>315</v>
      </c>
      <c r="F165" s="743"/>
      <c r="G165" s="744"/>
      <c r="H165" s="744"/>
      <c r="I165" s="745"/>
      <c r="J165" s="552"/>
      <c r="K165" s="553"/>
      <c r="L165" s="553"/>
      <c r="M165" s="554"/>
      <c r="N165" s="552"/>
      <c r="O165" s="553"/>
      <c r="P165" s="553"/>
      <c r="Q165" s="554"/>
      <c r="R165" s="552"/>
      <c r="S165" s="553"/>
      <c r="T165" s="553"/>
      <c r="U165" s="554"/>
    </row>
    <row r="166" spans="1:21" outlineLevel="1" x14ac:dyDescent="0.25">
      <c r="B166" s="544"/>
      <c r="C166" s="545" t="s">
        <v>374</v>
      </c>
      <c r="D166" s="545"/>
      <c r="E166" s="545" t="s">
        <v>287</v>
      </c>
      <c r="F166" s="735">
        <f>'DUoS (t)'!$G$72*1</f>
        <v>39.962600000000002</v>
      </c>
      <c r="G166" s="736">
        <f>'TUoS (t)'!$G$72*1</f>
        <v>0</v>
      </c>
      <c r="H166" s="736">
        <f>'JSO (t)'!$G$72*1</f>
        <v>0</v>
      </c>
      <c r="I166" s="737">
        <f>SUM(F166:H166)</f>
        <v>39.962600000000002</v>
      </c>
      <c r="J166" s="734"/>
      <c r="K166" s="733"/>
      <c r="L166" s="733"/>
      <c r="M166" s="664">
        <f>SUM(J166:L166)</f>
        <v>0</v>
      </c>
      <c r="N166" s="734"/>
      <c r="O166" s="733"/>
      <c r="P166" s="733"/>
      <c r="Q166" s="664">
        <f>SUM(N166:P166)</f>
        <v>0</v>
      </c>
      <c r="R166" s="663">
        <f t="shared" ref="R166:T170" si="19">SUM(F166,J166,N166)</f>
        <v>39.962600000000002</v>
      </c>
      <c r="S166" s="555">
        <f t="shared" si="19"/>
        <v>0</v>
      </c>
      <c r="T166" s="555">
        <f t="shared" si="19"/>
        <v>0</v>
      </c>
      <c r="U166" s="664">
        <f>SUM(R166:T166)</f>
        <v>39.962600000000002</v>
      </c>
    </row>
    <row r="167" spans="1:21" outlineLevel="1" x14ac:dyDescent="0.25">
      <c r="B167" s="544"/>
      <c r="C167" s="545" t="s">
        <v>375</v>
      </c>
      <c r="D167" s="545">
        <v>4</v>
      </c>
      <c r="E167" s="545" t="s">
        <v>294</v>
      </c>
      <c r="F167" s="735">
        <f>'DUoS (t)'!$S$72</f>
        <v>0.1036</v>
      </c>
      <c r="G167" s="736">
        <f>'TUoS (t)'!$S$72</f>
        <v>0.1162</v>
      </c>
      <c r="H167" s="736">
        <f>'JSO (t)'!$S$72</f>
        <v>0</v>
      </c>
      <c r="I167" s="737">
        <f>SUM(F167:H167)</f>
        <v>0.2198</v>
      </c>
      <c r="J167" s="734"/>
      <c r="K167" s="733"/>
      <c r="L167" s="733"/>
      <c r="M167" s="664">
        <f>SUM(J167:L167)</f>
        <v>0</v>
      </c>
      <c r="N167" s="734"/>
      <c r="O167" s="733"/>
      <c r="P167" s="733"/>
      <c r="Q167" s="664">
        <f>SUM(N167:P167)</f>
        <v>0</v>
      </c>
      <c r="R167" s="663">
        <f t="shared" si="19"/>
        <v>0.1036</v>
      </c>
      <c r="S167" s="555">
        <f t="shared" si="19"/>
        <v>0.1162</v>
      </c>
      <c r="T167" s="555">
        <f t="shared" si="19"/>
        <v>0</v>
      </c>
      <c r="U167" s="664">
        <f>SUM(R167:T167)</f>
        <v>0.2198</v>
      </c>
    </row>
    <row r="168" spans="1:21" outlineLevel="1" x14ac:dyDescent="0.25">
      <c r="B168" s="544"/>
      <c r="C168" s="545" t="s">
        <v>376</v>
      </c>
      <c r="D168" s="545">
        <v>4</v>
      </c>
      <c r="E168" s="545" t="s">
        <v>294</v>
      </c>
      <c r="F168" s="735">
        <f>'DUoS (t)'!$T$72</f>
        <v>0.1007</v>
      </c>
      <c r="G168" s="736">
        <f>'TUoS (t)'!$T$72</f>
        <v>0</v>
      </c>
      <c r="H168" s="736">
        <f>'JSO (t)'!$T$72</f>
        <v>0</v>
      </c>
      <c r="I168" s="737">
        <f>SUM(F168:H168)</f>
        <v>0.1007</v>
      </c>
      <c r="J168" s="734"/>
      <c r="K168" s="733"/>
      <c r="L168" s="733"/>
      <c r="M168" s="664">
        <f>SUM(J168:L168)</f>
        <v>0</v>
      </c>
      <c r="N168" s="734"/>
      <c r="O168" s="733"/>
      <c r="P168" s="733"/>
      <c r="Q168" s="664">
        <f>SUM(N168:P168)</f>
        <v>0</v>
      </c>
      <c r="R168" s="663">
        <f t="shared" si="19"/>
        <v>0.1007</v>
      </c>
      <c r="S168" s="555">
        <f t="shared" si="19"/>
        <v>0</v>
      </c>
      <c r="T168" s="555">
        <f t="shared" si="19"/>
        <v>0</v>
      </c>
      <c r="U168" s="664">
        <f>SUM(R168:T168)</f>
        <v>0.1007</v>
      </c>
    </row>
    <row r="169" spans="1:21" outlineLevel="1" x14ac:dyDescent="0.25">
      <c r="B169" s="544"/>
      <c r="C169" s="545" t="s">
        <v>562</v>
      </c>
      <c r="D169" s="545"/>
      <c r="E169" s="545" t="s">
        <v>288</v>
      </c>
      <c r="F169" s="735">
        <f>'DUoS (t)'!$I$72</f>
        <v>2.3199999999999998E-2</v>
      </c>
      <c r="G169" s="736">
        <f>'TUoS (t)'!$I$72</f>
        <v>1.41E-2</v>
      </c>
      <c r="H169" s="736">
        <f>'JSO (t)'!$I$72</f>
        <v>4.4000000000000003E-3</v>
      </c>
      <c r="I169" s="737">
        <f>SUM(F169:H169)</f>
        <v>4.1700000000000001E-2</v>
      </c>
      <c r="J169" s="734"/>
      <c r="K169" s="733"/>
      <c r="L169" s="733"/>
      <c r="M169" s="664">
        <f>SUM(J169:L169)</f>
        <v>0</v>
      </c>
      <c r="N169" s="734"/>
      <c r="O169" s="733"/>
      <c r="P169" s="733"/>
      <c r="Q169" s="664">
        <f>SUM(N169:P169)</f>
        <v>0</v>
      </c>
      <c r="R169" s="663">
        <f t="shared" si="19"/>
        <v>2.3199999999999998E-2</v>
      </c>
      <c r="S169" s="555">
        <f t="shared" si="19"/>
        <v>1.41E-2</v>
      </c>
      <c r="T169" s="555">
        <f t="shared" si="19"/>
        <v>4.4000000000000003E-3</v>
      </c>
      <c r="U169" s="664">
        <f>SUM(R169:T169)</f>
        <v>4.1700000000000001E-2</v>
      </c>
    </row>
    <row r="170" spans="1:21" outlineLevel="1" x14ac:dyDescent="0.25">
      <c r="B170" s="546"/>
      <c r="C170" s="547" t="s">
        <v>563</v>
      </c>
      <c r="D170" s="547"/>
      <c r="E170" s="547" t="s">
        <v>288</v>
      </c>
      <c r="F170" s="738">
        <f>'DUoS (t)'!$K$72</f>
        <v>1.4500000000000001E-2</v>
      </c>
      <c r="G170" s="739">
        <f>'TUoS (t)'!$K$72</f>
        <v>8.8000000000000005E-3</v>
      </c>
      <c r="H170" s="739">
        <f>'JSO (t)'!$K$72</f>
        <v>2.8E-3</v>
      </c>
      <c r="I170" s="740">
        <f>SUM(F170:H170)</f>
        <v>2.6100000000000002E-2</v>
      </c>
      <c r="J170" s="560"/>
      <c r="K170" s="561"/>
      <c r="L170" s="561"/>
      <c r="M170" s="558">
        <f>SUM(J170:L170)</f>
        <v>0</v>
      </c>
      <c r="N170" s="560"/>
      <c r="O170" s="561"/>
      <c r="P170" s="561"/>
      <c r="Q170" s="558">
        <f>SUM(N170:P170)</f>
        <v>0</v>
      </c>
      <c r="R170" s="556">
        <f t="shared" si="19"/>
        <v>1.4500000000000001E-2</v>
      </c>
      <c r="S170" s="557">
        <f t="shared" si="19"/>
        <v>8.8000000000000005E-3</v>
      </c>
      <c r="T170" s="557">
        <f t="shared" si="19"/>
        <v>2.8E-3</v>
      </c>
      <c r="U170" s="558">
        <f>SUM(R170:T170)</f>
        <v>2.6100000000000002E-2</v>
      </c>
    </row>
    <row r="171" spans="1:21" outlineLevel="1" x14ac:dyDescent="0.25">
      <c r="F171" s="741"/>
      <c r="G171" s="741"/>
      <c r="H171" s="741"/>
      <c r="I171" s="741"/>
    </row>
    <row r="172" spans="1:21" outlineLevel="1" x14ac:dyDescent="0.25">
      <c r="A172" s="831" t="s">
        <v>557</v>
      </c>
      <c r="F172" s="742"/>
      <c r="G172" s="742"/>
      <c r="H172" s="742"/>
      <c r="I172" s="742"/>
      <c r="J172" s="746"/>
      <c r="K172" s="746"/>
      <c r="L172" s="746"/>
      <c r="M172" s="746"/>
      <c r="N172" s="746"/>
      <c r="O172" s="746"/>
      <c r="P172" s="746"/>
      <c r="Q172" s="746"/>
      <c r="R172" s="746"/>
      <c r="S172" s="746"/>
      <c r="T172" s="746"/>
      <c r="U172" s="746"/>
    </row>
    <row r="173" spans="1:21" outlineLevel="1" x14ac:dyDescent="0.25">
      <c r="B173" s="542"/>
      <c r="C173" s="543"/>
      <c r="D173" s="543"/>
      <c r="E173" s="543" t="s">
        <v>315</v>
      </c>
      <c r="F173" s="743"/>
      <c r="G173" s="744"/>
      <c r="H173" s="744"/>
      <c r="I173" s="745"/>
      <c r="J173" s="552"/>
      <c r="K173" s="553"/>
      <c r="L173" s="553"/>
      <c r="M173" s="554"/>
      <c r="N173" s="552"/>
      <c r="O173" s="553"/>
      <c r="P173" s="553"/>
      <c r="Q173" s="554"/>
      <c r="R173" s="552"/>
      <c r="S173" s="553"/>
      <c r="T173" s="553"/>
      <c r="U173" s="554"/>
    </row>
    <row r="174" spans="1:21" outlineLevel="1" x14ac:dyDescent="0.25">
      <c r="B174" s="544"/>
      <c r="C174" s="545" t="s">
        <v>374</v>
      </c>
      <c r="D174" s="545"/>
      <c r="E174" s="545" t="s">
        <v>287</v>
      </c>
      <c r="F174" s="735">
        <f>'DUoS (t)'!$G$72*1</f>
        <v>39.962600000000002</v>
      </c>
      <c r="G174" s="736">
        <f>'TUoS (t)'!$G$72*1</f>
        <v>0</v>
      </c>
      <c r="H174" s="736">
        <f>'JSO (t)'!$G$72*1</f>
        <v>0</v>
      </c>
      <c r="I174" s="737">
        <f>SUM(F174:H174)</f>
        <v>39.962600000000002</v>
      </c>
      <c r="J174" s="734"/>
      <c r="K174" s="733"/>
      <c r="L174" s="733"/>
      <c r="M174" s="664">
        <f>SUM(J174:L174)</f>
        <v>0</v>
      </c>
      <c r="N174" s="734"/>
      <c r="O174" s="733"/>
      <c r="P174" s="733"/>
      <c r="Q174" s="664">
        <f>SUM(N174:P174)</f>
        <v>0</v>
      </c>
      <c r="R174" s="663">
        <f t="shared" ref="R174:T178" si="20">SUM(F174,J174,N174)</f>
        <v>39.962600000000002</v>
      </c>
      <c r="S174" s="555">
        <f t="shared" si="20"/>
        <v>0</v>
      </c>
      <c r="T174" s="555">
        <f t="shared" si="20"/>
        <v>0</v>
      </c>
      <c r="U174" s="664">
        <f>SUM(R174:T174)</f>
        <v>39.962600000000002</v>
      </c>
    </row>
    <row r="175" spans="1:21" outlineLevel="1" x14ac:dyDescent="0.25">
      <c r="B175" s="544"/>
      <c r="C175" s="545" t="s">
        <v>375</v>
      </c>
      <c r="D175" s="545">
        <v>4</v>
      </c>
      <c r="E175" s="545" t="s">
        <v>294</v>
      </c>
      <c r="F175" s="735">
        <f>'DUoS (t)'!$S$72</f>
        <v>0.1036</v>
      </c>
      <c r="G175" s="736">
        <f>'TUoS (t)'!$S$72</f>
        <v>0.1162</v>
      </c>
      <c r="H175" s="736">
        <f>'JSO (t)'!$S$72</f>
        <v>0</v>
      </c>
      <c r="I175" s="737">
        <f>SUM(F175:H175)</f>
        <v>0.2198</v>
      </c>
      <c r="J175" s="734"/>
      <c r="K175" s="733"/>
      <c r="L175" s="733"/>
      <c r="M175" s="664">
        <f>SUM(J175:L175)</f>
        <v>0</v>
      </c>
      <c r="N175" s="734"/>
      <c r="O175" s="733"/>
      <c r="P175" s="733"/>
      <c r="Q175" s="664">
        <f>SUM(N175:P175)</f>
        <v>0</v>
      </c>
      <c r="R175" s="663">
        <f t="shared" si="20"/>
        <v>0.1036</v>
      </c>
      <c r="S175" s="555">
        <f t="shared" si="20"/>
        <v>0.1162</v>
      </c>
      <c r="T175" s="555">
        <f t="shared" si="20"/>
        <v>0</v>
      </c>
      <c r="U175" s="664">
        <f>SUM(R175:T175)</f>
        <v>0.2198</v>
      </c>
    </row>
    <row r="176" spans="1:21" outlineLevel="1" x14ac:dyDescent="0.25">
      <c r="B176" s="544"/>
      <c r="C176" s="545" t="s">
        <v>376</v>
      </c>
      <c r="D176" s="545">
        <v>4</v>
      </c>
      <c r="E176" s="545" t="s">
        <v>294</v>
      </c>
      <c r="F176" s="735">
        <f>'DUoS (t)'!$T$72</f>
        <v>0.1007</v>
      </c>
      <c r="G176" s="736">
        <f>'TUoS (t)'!$T$72</f>
        <v>0</v>
      </c>
      <c r="H176" s="736">
        <f>'JSO (t)'!$T$72</f>
        <v>0</v>
      </c>
      <c r="I176" s="737">
        <f>SUM(F176:H176)</f>
        <v>0.1007</v>
      </c>
      <c r="J176" s="734"/>
      <c r="K176" s="733"/>
      <c r="L176" s="733"/>
      <c r="M176" s="664">
        <f>SUM(J176:L176)</f>
        <v>0</v>
      </c>
      <c r="N176" s="734"/>
      <c r="O176" s="733"/>
      <c r="P176" s="733"/>
      <c r="Q176" s="664">
        <f>SUM(N176:P176)</f>
        <v>0</v>
      </c>
      <c r="R176" s="663">
        <f t="shared" si="20"/>
        <v>0.1007</v>
      </c>
      <c r="S176" s="555">
        <f t="shared" si="20"/>
        <v>0</v>
      </c>
      <c r="T176" s="555">
        <f t="shared" si="20"/>
        <v>0</v>
      </c>
      <c r="U176" s="664">
        <f>SUM(R176:T176)</f>
        <v>0.1007</v>
      </c>
    </row>
    <row r="177" spans="1:21" outlineLevel="1" x14ac:dyDescent="0.25">
      <c r="B177" s="544"/>
      <c r="C177" s="545" t="s">
        <v>562</v>
      </c>
      <c r="D177" s="545"/>
      <c r="E177" s="545" t="s">
        <v>288</v>
      </c>
      <c r="F177" s="735">
        <f>'DUoS (t)'!$I$72</f>
        <v>2.3199999999999998E-2</v>
      </c>
      <c r="G177" s="736">
        <f>'TUoS (t)'!$I$72</f>
        <v>1.41E-2</v>
      </c>
      <c r="H177" s="736">
        <f>'JSO (t)'!$I$72</f>
        <v>4.4000000000000003E-3</v>
      </c>
      <c r="I177" s="737">
        <f>SUM(F177:H177)</f>
        <v>4.1700000000000001E-2</v>
      </c>
      <c r="J177" s="734"/>
      <c r="K177" s="733"/>
      <c r="L177" s="733"/>
      <c r="M177" s="664">
        <f>SUM(J177:L177)</f>
        <v>0</v>
      </c>
      <c r="N177" s="734"/>
      <c r="O177" s="733"/>
      <c r="P177" s="733"/>
      <c r="Q177" s="664">
        <f>SUM(N177:P177)</f>
        <v>0</v>
      </c>
      <c r="R177" s="663">
        <f t="shared" si="20"/>
        <v>2.3199999999999998E-2</v>
      </c>
      <c r="S177" s="555">
        <f t="shared" si="20"/>
        <v>1.41E-2</v>
      </c>
      <c r="T177" s="555">
        <f t="shared" si="20"/>
        <v>4.4000000000000003E-3</v>
      </c>
      <c r="U177" s="664">
        <f>SUM(R177:T177)</f>
        <v>4.1700000000000001E-2</v>
      </c>
    </row>
    <row r="178" spans="1:21" outlineLevel="1" x14ac:dyDescent="0.25">
      <c r="B178" s="546"/>
      <c r="C178" s="547" t="s">
        <v>563</v>
      </c>
      <c r="D178" s="547"/>
      <c r="E178" s="547" t="s">
        <v>288</v>
      </c>
      <c r="F178" s="738">
        <f>'DUoS (t)'!$K$72</f>
        <v>1.4500000000000001E-2</v>
      </c>
      <c r="G178" s="739">
        <f>'TUoS (t)'!$K$72</f>
        <v>8.8000000000000005E-3</v>
      </c>
      <c r="H178" s="739">
        <f>'JSO (t)'!$K$72</f>
        <v>2.8E-3</v>
      </c>
      <c r="I178" s="740">
        <f>SUM(F178:H178)</f>
        <v>2.6100000000000002E-2</v>
      </c>
      <c r="J178" s="560"/>
      <c r="K178" s="561"/>
      <c r="L178" s="561"/>
      <c r="M178" s="558">
        <f>SUM(J178:L178)</f>
        <v>0</v>
      </c>
      <c r="N178" s="560"/>
      <c r="O178" s="561"/>
      <c r="P178" s="561"/>
      <c r="Q178" s="558">
        <f>SUM(N178:P178)</f>
        <v>0</v>
      </c>
      <c r="R178" s="556">
        <f t="shared" si="20"/>
        <v>1.4500000000000001E-2</v>
      </c>
      <c r="S178" s="557">
        <f t="shared" si="20"/>
        <v>8.8000000000000005E-3</v>
      </c>
      <c r="T178" s="557">
        <f t="shared" si="20"/>
        <v>2.8E-3</v>
      </c>
      <c r="U178" s="558">
        <f>SUM(R178:T178)</f>
        <v>2.6100000000000002E-2</v>
      </c>
    </row>
    <row r="179" spans="1:21" outlineLevel="1" x14ac:dyDescent="0.25">
      <c r="F179" s="741"/>
      <c r="G179" s="741"/>
      <c r="H179" s="741"/>
      <c r="I179" s="741"/>
    </row>
    <row r="180" spans="1:21" outlineLevel="1" x14ac:dyDescent="0.25">
      <c r="A180" s="559" t="s">
        <v>558</v>
      </c>
      <c r="F180" s="742"/>
      <c r="G180" s="742"/>
      <c r="H180" s="742"/>
      <c r="I180" s="742"/>
      <c r="J180" s="746"/>
      <c r="K180" s="746"/>
      <c r="L180" s="746"/>
      <c r="M180" s="746"/>
      <c r="N180" s="746"/>
      <c r="O180" s="746"/>
      <c r="P180" s="746"/>
      <c r="Q180" s="746"/>
      <c r="R180" s="746"/>
      <c r="S180" s="746"/>
      <c r="T180" s="746"/>
      <c r="U180" s="746"/>
    </row>
    <row r="181" spans="1:21" outlineLevel="1" x14ac:dyDescent="0.25">
      <c r="B181" s="542"/>
      <c r="C181" s="543"/>
      <c r="D181" s="543"/>
      <c r="E181" s="543" t="s">
        <v>315</v>
      </c>
      <c r="F181" s="743"/>
      <c r="G181" s="744"/>
      <c r="H181" s="744"/>
      <c r="I181" s="745"/>
      <c r="J181" s="552"/>
      <c r="K181" s="553"/>
      <c r="L181" s="553"/>
      <c r="M181" s="554"/>
      <c r="N181" s="552"/>
      <c r="O181" s="553"/>
      <c r="P181" s="553"/>
      <c r="Q181" s="554"/>
      <c r="R181" s="552"/>
      <c r="S181" s="553"/>
      <c r="T181" s="553"/>
      <c r="U181" s="554"/>
    </row>
    <row r="182" spans="1:21" outlineLevel="1" x14ac:dyDescent="0.25">
      <c r="B182" s="544"/>
      <c r="C182" s="545" t="s">
        <v>374</v>
      </c>
      <c r="D182" s="545"/>
      <c r="E182" s="545" t="s">
        <v>287</v>
      </c>
      <c r="F182" s="735">
        <f>'DUoS (t)'!$G$72*1</f>
        <v>39.962600000000002</v>
      </c>
      <c r="G182" s="736">
        <f>'TUoS (t)'!$G$72*1</f>
        <v>0</v>
      </c>
      <c r="H182" s="736">
        <f>'JSO (t)'!$G$72*1</f>
        <v>0</v>
      </c>
      <c r="I182" s="737">
        <f>SUM(F182:H182)</f>
        <v>39.962600000000002</v>
      </c>
      <c r="J182" s="734"/>
      <c r="K182" s="733">
        <f>-G182</f>
        <v>0</v>
      </c>
      <c r="L182" s="733"/>
      <c r="M182" s="664">
        <f>SUM(J182:L182)</f>
        <v>0</v>
      </c>
      <c r="N182" s="734"/>
      <c r="O182" s="733">
        <f>'[18]6.1 Inghams Edinburgh'!$I$44</f>
        <v>100.46850000000001</v>
      </c>
      <c r="P182" s="733"/>
      <c r="Q182" s="664">
        <f>SUM(N182:P182)</f>
        <v>100.46850000000001</v>
      </c>
      <c r="R182" s="663">
        <f t="shared" ref="R182:T186" si="21">SUM(F182,J182,N182)</f>
        <v>39.962600000000002</v>
      </c>
      <c r="S182" s="555">
        <f t="shared" si="21"/>
        <v>100.46850000000001</v>
      </c>
      <c r="T182" s="555">
        <f t="shared" si="21"/>
        <v>0</v>
      </c>
      <c r="U182" s="664">
        <f>SUM(R182:T182)</f>
        <v>140.43110000000001</v>
      </c>
    </row>
    <row r="183" spans="1:21" outlineLevel="1" x14ac:dyDescent="0.25">
      <c r="B183" s="544"/>
      <c r="C183" s="545" t="s">
        <v>375</v>
      </c>
      <c r="D183" s="545">
        <v>4</v>
      </c>
      <c r="E183" s="545" t="s">
        <v>294</v>
      </c>
      <c r="F183" s="735">
        <f>'DUoS (t)'!$S$72</f>
        <v>0.1036</v>
      </c>
      <c r="G183" s="736">
        <f>'TUoS (t)'!$S$72</f>
        <v>0.1162</v>
      </c>
      <c r="H183" s="736">
        <f>'JSO (t)'!$S$72</f>
        <v>0</v>
      </c>
      <c r="I183" s="737">
        <f>SUM(F183:H183)</f>
        <v>0.2198</v>
      </c>
      <c r="J183" s="734"/>
      <c r="K183" s="733">
        <f>-G183</f>
        <v>-0.1162</v>
      </c>
      <c r="L183" s="733"/>
      <c r="M183" s="664">
        <f>SUM(J183:L183)</f>
        <v>-0.1162</v>
      </c>
      <c r="N183" s="734"/>
      <c r="O183" s="733">
        <f>'[18]6.1 Inghams Edinburgh'!$I$45</f>
        <v>0.17349999999999999</v>
      </c>
      <c r="P183" s="733"/>
      <c r="Q183" s="664">
        <f>SUM(N183:P183)</f>
        <v>0.17349999999999999</v>
      </c>
      <c r="R183" s="663">
        <f t="shared" si="21"/>
        <v>0.1036</v>
      </c>
      <c r="S183" s="555">
        <f t="shared" si="21"/>
        <v>0.17349999999999999</v>
      </c>
      <c r="T183" s="555">
        <f t="shared" si="21"/>
        <v>0</v>
      </c>
      <c r="U183" s="664">
        <f>SUM(R183:T183)</f>
        <v>0.27710000000000001</v>
      </c>
    </row>
    <row r="184" spans="1:21" outlineLevel="1" x14ac:dyDescent="0.25">
      <c r="B184" s="544"/>
      <c r="C184" s="545" t="s">
        <v>376</v>
      </c>
      <c r="D184" s="545">
        <v>4</v>
      </c>
      <c r="E184" s="545" t="s">
        <v>294</v>
      </c>
      <c r="F184" s="735">
        <f>'DUoS (t)'!$T$72</f>
        <v>0.1007</v>
      </c>
      <c r="G184" s="736">
        <f>'TUoS (t)'!$T$72</f>
        <v>0</v>
      </c>
      <c r="H184" s="736">
        <f>'JSO (t)'!$T$72</f>
        <v>0</v>
      </c>
      <c r="I184" s="737">
        <f>SUM(F184:H184)</f>
        <v>0.1007</v>
      </c>
      <c r="J184" s="734"/>
      <c r="K184" s="733">
        <f>-G184</f>
        <v>0</v>
      </c>
      <c r="L184" s="733"/>
      <c r="M184" s="664">
        <f>SUM(J184:L184)</f>
        <v>0</v>
      </c>
      <c r="N184" s="734"/>
      <c r="O184" s="733"/>
      <c r="P184" s="733"/>
      <c r="Q184" s="664">
        <f>SUM(N184:P184)</f>
        <v>0</v>
      </c>
      <c r="R184" s="663">
        <f t="shared" si="21"/>
        <v>0.1007</v>
      </c>
      <c r="S184" s="555">
        <f t="shared" si="21"/>
        <v>0</v>
      </c>
      <c r="T184" s="555">
        <f t="shared" si="21"/>
        <v>0</v>
      </c>
      <c r="U184" s="664">
        <f>SUM(R184:T184)</f>
        <v>0.1007</v>
      </c>
    </row>
    <row r="185" spans="1:21" outlineLevel="1" x14ac:dyDescent="0.25">
      <c r="B185" s="544"/>
      <c r="C185" s="545" t="s">
        <v>562</v>
      </c>
      <c r="D185" s="545"/>
      <c r="E185" s="545" t="s">
        <v>288</v>
      </c>
      <c r="F185" s="735">
        <f>'DUoS (t)'!$I$72</f>
        <v>2.3199999999999998E-2</v>
      </c>
      <c r="G185" s="736">
        <f>'TUoS (t)'!$I$72</f>
        <v>1.41E-2</v>
      </c>
      <c r="H185" s="736">
        <f>'JSO (t)'!$I$72</f>
        <v>4.4000000000000003E-3</v>
      </c>
      <c r="I185" s="737">
        <f>SUM(F185:H185)</f>
        <v>4.1700000000000001E-2</v>
      </c>
      <c r="J185" s="734"/>
      <c r="K185" s="733">
        <f>-G185</f>
        <v>-1.41E-2</v>
      </c>
      <c r="L185" s="733"/>
      <c r="M185" s="664">
        <f>SUM(J185:L185)</f>
        <v>-1.41E-2</v>
      </c>
      <c r="N185" s="734"/>
      <c r="O185" s="733">
        <f>'[18]6.1 Inghams Edinburgh'!$I$46</f>
        <v>0</v>
      </c>
      <c r="P185" s="733"/>
      <c r="Q185" s="664">
        <f>SUM(N185:P185)</f>
        <v>0</v>
      </c>
      <c r="R185" s="663">
        <f t="shared" si="21"/>
        <v>2.3199999999999998E-2</v>
      </c>
      <c r="S185" s="555">
        <f t="shared" si="21"/>
        <v>0</v>
      </c>
      <c r="T185" s="555">
        <f t="shared" si="21"/>
        <v>4.4000000000000003E-3</v>
      </c>
      <c r="U185" s="664">
        <f>SUM(R185:T185)</f>
        <v>2.76E-2</v>
      </c>
    </row>
    <row r="186" spans="1:21" outlineLevel="1" x14ac:dyDescent="0.25">
      <c r="B186" s="546"/>
      <c r="C186" s="547" t="s">
        <v>563</v>
      </c>
      <c r="D186" s="547"/>
      <c r="E186" s="547" t="s">
        <v>288</v>
      </c>
      <c r="F186" s="738">
        <f>'DUoS (t)'!$K$72</f>
        <v>1.4500000000000001E-2</v>
      </c>
      <c r="G186" s="739">
        <f>'TUoS (t)'!$K$72</f>
        <v>8.8000000000000005E-3</v>
      </c>
      <c r="H186" s="739">
        <f>'JSO (t)'!$K$72</f>
        <v>2.8E-3</v>
      </c>
      <c r="I186" s="740">
        <f>SUM(F186:H186)</f>
        <v>2.6100000000000002E-2</v>
      </c>
      <c r="J186" s="560"/>
      <c r="K186" s="561">
        <f>-G186</f>
        <v>-8.8000000000000005E-3</v>
      </c>
      <c r="L186" s="561"/>
      <c r="M186" s="558">
        <f>SUM(J186:L186)</f>
        <v>-8.8000000000000005E-3</v>
      </c>
      <c r="N186" s="560"/>
      <c r="O186" s="561">
        <f>'[18]6.1 Inghams Edinburgh'!$I$46</f>
        <v>0</v>
      </c>
      <c r="P186" s="561"/>
      <c r="Q186" s="558">
        <f>SUM(N186:P186)</f>
        <v>0</v>
      </c>
      <c r="R186" s="556">
        <f t="shared" si="21"/>
        <v>1.4500000000000001E-2</v>
      </c>
      <c r="S186" s="557">
        <f t="shared" si="21"/>
        <v>0</v>
      </c>
      <c r="T186" s="557">
        <f t="shared" si="21"/>
        <v>2.8E-3</v>
      </c>
      <c r="U186" s="558">
        <f>SUM(R186:T186)</f>
        <v>1.7299999999999999E-2</v>
      </c>
    </row>
    <row r="187" spans="1:21" outlineLevel="1" x14ac:dyDescent="0.25">
      <c r="B187" s="562"/>
      <c r="C187" s="562"/>
      <c r="D187" s="562"/>
      <c r="E187" s="562"/>
      <c r="F187" s="736"/>
      <c r="G187" s="736"/>
      <c r="H187" s="736"/>
      <c r="I187" s="736"/>
      <c r="J187" s="555"/>
      <c r="K187" s="555"/>
      <c r="L187" s="555"/>
      <c r="M187" s="555"/>
      <c r="N187" s="555"/>
      <c r="O187" s="555"/>
      <c r="P187" s="555"/>
      <c r="Q187" s="555"/>
      <c r="R187" s="555"/>
      <c r="S187" s="555"/>
      <c r="T187" s="555"/>
      <c r="U187" s="555"/>
    </row>
    <row r="188" spans="1:21" outlineLevel="1" x14ac:dyDescent="0.25">
      <c r="A188" s="559" t="s">
        <v>631</v>
      </c>
      <c r="F188" s="742"/>
      <c r="G188" s="742"/>
      <c r="H188" s="742"/>
      <c r="I188" s="742"/>
      <c r="J188" s="746"/>
      <c r="K188" s="746"/>
      <c r="L188" s="746"/>
      <c r="M188" s="746"/>
      <c r="N188" s="746"/>
      <c r="O188" s="746"/>
      <c r="P188" s="746"/>
      <c r="Q188" s="746"/>
      <c r="R188" s="746"/>
      <c r="S188" s="746"/>
      <c r="T188" s="746"/>
      <c r="U188" s="746"/>
    </row>
    <row r="189" spans="1:21" outlineLevel="1" x14ac:dyDescent="0.25">
      <c r="B189" s="542"/>
      <c r="C189" s="543"/>
      <c r="D189" s="543"/>
      <c r="E189" s="543" t="s">
        <v>315</v>
      </c>
      <c r="F189" s="743"/>
      <c r="G189" s="744"/>
      <c r="H189" s="744"/>
      <c r="I189" s="745"/>
      <c r="J189" s="552"/>
      <c r="K189" s="553"/>
      <c r="L189" s="553"/>
      <c r="M189" s="554"/>
      <c r="N189" s="552"/>
      <c r="O189" s="553"/>
      <c r="P189" s="553"/>
      <c r="Q189" s="554"/>
      <c r="R189" s="552"/>
      <c r="S189" s="553"/>
      <c r="T189" s="553"/>
      <c r="U189" s="554"/>
    </row>
    <row r="190" spans="1:21" outlineLevel="1" x14ac:dyDescent="0.25">
      <c r="B190" s="544"/>
      <c r="C190" s="545" t="s">
        <v>374</v>
      </c>
      <c r="D190" s="545"/>
      <c r="E190" s="545" t="s">
        <v>287</v>
      </c>
      <c r="F190" s="735">
        <f>'DUoS (t)'!$G$72*1</f>
        <v>39.962600000000002</v>
      </c>
      <c r="G190" s="736">
        <f>'TUoS (t)'!$G$72*1</f>
        <v>0</v>
      </c>
      <c r="H190" s="736">
        <f>'JSO (t)'!$G$72*1</f>
        <v>0</v>
      </c>
      <c r="I190" s="737">
        <f>SUM(F190:H190)</f>
        <v>39.962600000000002</v>
      </c>
      <c r="J190" s="734"/>
      <c r="K190" s="733"/>
      <c r="L190" s="733"/>
      <c r="M190" s="664">
        <f>SUM(J190:L190)</f>
        <v>0</v>
      </c>
      <c r="N190" s="734">
        <f>ROUND(128935/365,4)</f>
        <v>353.2466</v>
      </c>
      <c r="O190" s="733"/>
      <c r="P190" s="733"/>
      <c r="Q190" s="664">
        <f>SUM(N190:P190)</f>
        <v>353.2466</v>
      </c>
      <c r="R190" s="663">
        <f t="shared" ref="R190:T194" si="22">SUM(F190,J190,N190)</f>
        <v>393.20920000000001</v>
      </c>
      <c r="S190" s="555">
        <f t="shared" si="22"/>
        <v>0</v>
      </c>
      <c r="T190" s="555">
        <f t="shared" si="22"/>
        <v>0</v>
      </c>
      <c r="U190" s="664">
        <f>SUM(R190:T190)</f>
        <v>393.20920000000001</v>
      </c>
    </row>
    <row r="191" spans="1:21" outlineLevel="1" x14ac:dyDescent="0.25">
      <c r="B191" s="544"/>
      <c r="C191" s="545" t="s">
        <v>375</v>
      </c>
      <c r="D191" s="545">
        <v>4</v>
      </c>
      <c r="E191" s="545" t="s">
        <v>294</v>
      </c>
      <c r="F191" s="735">
        <f>'DUoS (t)'!$S$72</f>
        <v>0.1036</v>
      </c>
      <c r="G191" s="736">
        <f>'TUoS (t)'!$S$72</f>
        <v>0.1162</v>
      </c>
      <c r="H191" s="736">
        <f>'JSO (t)'!$S$72</f>
        <v>0</v>
      </c>
      <c r="I191" s="737">
        <f>SUM(F191:H191)</f>
        <v>0.2198</v>
      </c>
      <c r="J191" s="734"/>
      <c r="K191" s="733"/>
      <c r="L191" s="733"/>
      <c r="M191" s="664">
        <f>SUM(J191:L191)</f>
        <v>0</v>
      </c>
      <c r="N191" s="734"/>
      <c r="O191" s="733"/>
      <c r="P191" s="733"/>
      <c r="Q191" s="664">
        <f>SUM(N191:P191)</f>
        <v>0</v>
      </c>
      <c r="R191" s="663">
        <f t="shared" si="22"/>
        <v>0.1036</v>
      </c>
      <c r="S191" s="555">
        <f t="shared" si="22"/>
        <v>0.1162</v>
      </c>
      <c r="T191" s="555">
        <f t="shared" si="22"/>
        <v>0</v>
      </c>
      <c r="U191" s="664">
        <f>SUM(R191:T191)</f>
        <v>0.2198</v>
      </c>
    </row>
    <row r="192" spans="1:21" outlineLevel="1" x14ac:dyDescent="0.25">
      <c r="B192" s="544"/>
      <c r="C192" s="545" t="s">
        <v>376</v>
      </c>
      <c r="D192" s="545">
        <v>4</v>
      </c>
      <c r="E192" s="545" t="s">
        <v>294</v>
      </c>
      <c r="F192" s="735">
        <f>'DUoS (t)'!$T$72</f>
        <v>0.1007</v>
      </c>
      <c r="G192" s="736">
        <f>'TUoS (t)'!$T$72</f>
        <v>0</v>
      </c>
      <c r="H192" s="736">
        <f>'JSO (t)'!$T$72</f>
        <v>0</v>
      </c>
      <c r="I192" s="737">
        <f>SUM(F192:H192)</f>
        <v>0.1007</v>
      </c>
      <c r="J192" s="734"/>
      <c r="K192" s="733"/>
      <c r="L192" s="733"/>
      <c r="M192" s="664">
        <f>SUM(J192:L192)</f>
        <v>0</v>
      </c>
      <c r="N192" s="734"/>
      <c r="O192" s="733"/>
      <c r="P192" s="733"/>
      <c r="Q192" s="664">
        <f>SUM(N192:P192)</f>
        <v>0</v>
      </c>
      <c r="R192" s="663">
        <f t="shared" si="22"/>
        <v>0.1007</v>
      </c>
      <c r="S192" s="555">
        <f t="shared" si="22"/>
        <v>0</v>
      </c>
      <c r="T192" s="555">
        <f t="shared" si="22"/>
        <v>0</v>
      </c>
      <c r="U192" s="664">
        <f>SUM(R192:T192)</f>
        <v>0.1007</v>
      </c>
    </row>
    <row r="193" spans="1:21" outlineLevel="1" x14ac:dyDescent="0.25">
      <c r="B193" s="544"/>
      <c r="C193" s="545" t="s">
        <v>562</v>
      </c>
      <c r="D193" s="545"/>
      <c r="E193" s="545" t="s">
        <v>288</v>
      </c>
      <c r="F193" s="735">
        <f>'DUoS (t)'!$I$72</f>
        <v>2.3199999999999998E-2</v>
      </c>
      <c r="G193" s="736">
        <f>'TUoS (t)'!$I$72</f>
        <v>1.41E-2</v>
      </c>
      <c r="H193" s="736">
        <f>'JSO (t)'!$I$72</f>
        <v>4.4000000000000003E-3</v>
      </c>
      <c r="I193" s="737">
        <f>SUM(F193:H193)</f>
        <v>4.1700000000000001E-2</v>
      </c>
      <c r="J193" s="734"/>
      <c r="K193" s="733"/>
      <c r="L193" s="733"/>
      <c r="M193" s="664">
        <f>SUM(J193:L193)</f>
        <v>0</v>
      </c>
      <c r="N193" s="734"/>
      <c r="O193" s="733"/>
      <c r="P193" s="733"/>
      <c r="Q193" s="664">
        <f>SUM(N193:P193)</f>
        <v>0</v>
      </c>
      <c r="R193" s="663">
        <f t="shared" si="22"/>
        <v>2.3199999999999998E-2</v>
      </c>
      <c r="S193" s="555">
        <f t="shared" si="22"/>
        <v>1.41E-2</v>
      </c>
      <c r="T193" s="555">
        <f t="shared" si="22"/>
        <v>4.4000000000000003E-3</v>
      </c>
      <c r="U193" s="664">
        <f>SUM(R193:T193)</f>
        <v>4.1700000000000001E-2</v>
      </c>
    </row>
    <row r="194" spans="1:21" outlineLevel="1" x14ac:dyDescent="0.25">
      <c r="B194" s="546"/>
      <c r="C194" s="547" t="s">
        <v>563</v>
      </c>
      <c r="D194" s="547"/>
      <c r="E194" s="547" t="s">
        <v>288</v>
      </c>
      <c r="F194" s="738">
        <f>'DUoS (t)'!$K$72</f>
        <v>1.4500000000000001E-2</v>
      </c>
      <c r="G194" s="739">
        <f>'TUoS (t)'!$K$72</f>
        <v>8.8000000000000005E-3</v>
      </c>
      <c r="H194" s="739">
        <f>'JSO (t)'!$K$72</f>
        <v>2.8E-3</v>
      </c>
      <c r="I194" s="740">
        <f>SUM(F194:H194)</f>
        <v>2.6100000000000002E-2</v>
      </c>
      <c r="J194" s="560"/>
      <c r="K194" s="561"/>
      <c r="L194" s="561"/>
      <c r="M194" s="558">
        <f>SUM(J194:L194)</f>
        <v>0</v>
      </c>
      <c r="N194" s="560"/>
      <c r="O194" s="561"/>
      <c r="P194" s="561"/>
      <c r="Q194" s="558">
        <f>SUM(N194:P194)</f>
        <v>0</v>
      </c>
      <c r="R194" s="556">
        <f t="shared" si="22"/>
        <v>1.4500000000000001E-2</v>
      </c>
      <c r="S194" s="557">
        <f t="shared" si="22"/>
        <v>8.8000000000000005E-3</v>
      </c>
      <c r="T194" s="557">
        <f t="shared" si="22"/>
        <v>2.8E-3</v>
      </c>
      <c r="U194" s="558">
        <f>SUM(R194:T194)</f>
        <v>2.6100000000000002E-2</v>
      </c>
    </row>
    <row r="195" spans="1:21" outlineLevel="1" x14ac:dyDescent="0.25">
      <c r="B195" s="562"/>
      <c r="C195" s="562"/>
      <c r="D195" s="562"/>
      <c r="E195" s="562"/>
      <c r="F195" s="736"/>
      <c r="G195" s="736"/>
      <c r="H195" s="736"/>
      <c r="I195" s="736"/>
      <c r="J195" s="555"/>
      <c r="K195" s="555"/>
      <c r="L195" s="555"/>
      <c r="M195" s="555"/>
      <c r="N195" s="555"/>
      <c r="O195" s="555"/>
      <c r="P195" s="555"/>
      <c r="Q195" s="555"/>
      <c r="R195" s="555"/>
      <c r="S195" s="555"/>
      <c r="T195" s="555"/>
      <c r="U195" s="555"/>
    </row>
    <row r="196" spans="1:21" outlineLevel="1" x14ac:dyDescent="0.25">
      <c r="A196" s="831" t="s">
        <v>559</v>
      </c>
      <c r="F196" s="742"/>
      <c r="G196" s="742"/>
      <c r="H196" s="742"/>
      <c r="I196" s="742"/>
      <c r="J196" s="746"/>
      <c r="K196" s="746"/>
      <c r="L196" s="746"/>
      <c r="M196" s="746"/>
      <c r="N196" s="746"/>
      <c r="O196" s="746"/>
      <c r="P196" s="746"/>
      <c r="Q196" s="746"/>
      <c r="R196" s="746"/>
      <c r="S196" s="746"/>
      <c r="T196" s="746"/>
      <c r="U196" s="746"/>
    </row>
    <row r="197" spans="1:21" outlineLevel="1" x14ac:dyDescent="0.25">
      <c r="B197" s="542"/>
      <c r="C197" s="543"/>
      <c r="D197" s="543"/>
      <c r="E197" s="543" t="s">
        <v>315</v>
      </c>
      <c r="F197" s="743"/>
      <c r="G197" s="744"/>
      <c r="H197" s="744"/>
      <c r="I197" s="745"/>
      <c r="J197" s="552"/>
      <c r="K197" s="553"/>
      <c r="L197" s="553"/>
      <c r="M197" s="554"/>
      <c r="N197" s="552"/>
      <c r="O197" s="553"/>
      <c r="P197" s="553"/>
      <c r="Q197" s="554"/>
      <c r="R197" s="552"/>
      <c r="S197" s="553"/>
      <c r="T197" s="553"/>
      <c r="U197" s="554"/>
    </row>
    <row r="198" spans="1:21" outlineLevel="1" x14ac:dyDescent="0.25">
      <c r="B198" s="544"/>
      <c r="C198" s="545" t="s">
        <v>374</v>
      </c>
      <c r="D198" s="545"/>
      <c r="E198" s="545" t="s">
        <v>287</v>
      </c>
      <c r="F198" s="735">
        <f>'DUoS (t)'!$G$72*1</f>
        <v>39.962600000000002</v>
      </c>
      <c r="G198" s="736">
        <f>'TUoS (t)'!$G$72*1</f>
        <v>0</v>
      </c>
      <c r="H198" s="736">
        <f>'JSO (t)'!$G$72*1</f>
        <v>0</v>
      </c>
      <c r="I198" s="737">
        <f>SUM(F198:H198)</f>
        <v>39.962600000000002</v>
      </c>
      <c r="J198" s="734"/>
      <c r="K198" s="733"/>
      <c r="L198" s="733"/>
      <c r="M198" s="664">
        <f>SUM(J198:L198)</f>
        <v>0</v>
      </c>
      <c r="N198" s="734"/>
      <c r="O198" s="733"/>
      <c r="P198" s="733"/>
      <c r="Q198" s="664">
        <f>SUM(N198:P198)</f>
        <v>0</v>
      </c>
      <c r="R198" s="663">
        <f t="shared" ref="R198:T202" si="23">SUM(F198,J198,N198)</f>
        <v>39.962600000000002</v>
      </c>
      <c r="S198" s="555">
        <f t="shared" si="23"/>
        <v>0</v>
      </c>
      <c r="T198" s="555">
        <f t="shared" si="23"/>
        <v>0</v>
      </c>
      <c r="U198" s="664">
        <f>SUM(R198:T198)</f>
        <v>39.962600000000002</v>
      </c>
    </row>
    <row r="199" spans="1:21" outlineLevel="1" x14ac:dyDescent="0.25">
      <c r="B199" s="544"/>
      <c r="C199" s="545" t="s">
        <v>375</v>
      </c>
      <c r="D199" s="545">
        <v>4</v>
      </c>
      <c r="E199" s="545" t="s">
        <v>294</v>
      </c>
      <c r="F199" s="735">
        <f>'DUoS (t)'!$S$72</f>
        <v>0.1036</v>
      </c>
      <c r="G199" s="736">
        <f>'TUoS (t)'!$S$72</f>
        <v>0.1162</v>
      </c>
      <c r="H199" s="736">
        <f>'JSO (t)'!$S$72</f>
        <v>0</v>
      </c>
      <c r="I199" s="737">
        <f>SUM(F199:H199)</f>
        <v>0.2198</v>
      </c>
      <c r="J199" s="734"/>
      <c r="K199" s="733"/>
      <c r="L199" s="733"/>
      <c r="M199" s="664">
        <f>SUM(J199:L199)</f>
        <v>0</v>
      </c>
      <c r="N199" s="734"/>
      <c r="O199" s="733"/>
      <c r="P199" s="733"/>
      <c r="Q199" s="664">
        <f>SUM(N199:P199)</f>
        <v>0</v>
      </c>
      <c r="R199" s="663">
        <f t="shared" si="23"/>
        <v>0.1036</v>
      </c>
      <c r="S199" s="555">
        <f t="shared" si="23"/>
        <v>0.1162</v>
      </c>
      <c r="T199" s="555">
        <f t="shared" si="23"/>
        <v>0</v>
      </c>
      <c r="U199" s="664">
        <f>SUM(R199:T199)</f>
        <v>0.2198</v>
      </c>
    </row>
    <row r="200" spans="1:21" outlineLevel="1" x14ac:dyDescent="0.25">
      <c r="B200" s="544"/>
      <c r="C200" s="545" t="s">
        <v>376</v>
      </c>
      <c r="D200" s="545">
        <v>4</v>
      </c>
      <c r="E200" s="545" t="s">
        <v>294</v>
      </c>
      <c r="F200" s="735">
        <f>'DUoS (t)'!$T$72</f>
        <v>0.1007</v>
      </c>
      <c r="G200" s="736">
        <f>'TUoS (t)'!$T$72</f>
        <v>0</v>
      </c>
      <c r="H200" s="736">
        <f>'JSO (t)'!$T$72</f>
        <v>0</v>
      </c>
      <c r="I200" s="737">
        <f>SUM(F200:H200)</f>
        <v>0.1007</v>
      </c>
      <c r="J200" s="734"/>
      <c r="K200" s="733"/>
      <c r="L200" s="733"/>
      <c r="M200" s="664">
        <f>SUM(J200:L200)</f>
        <v>0</v>
      </c>
      <c r="N200" s="734"/>
      <c r="O200" s="733"/>
      <c r="P200" s="733"/>
      <c r="Q200" s="664">
        <f>SUM(N200:P200)</f>
        <v>0</v>
      </c>
      <c r="R200" s="663">
        <f t="shared" si="23"/>
        <v>0.1007</v>
      </c>
      <c r="S200" s="555">
        <f t="shared" si="23"/>
        <v>0</v>
      </c>
      <c r="T200" s="555">
        <f t="shared" si="23"/>
        <v>0</v>
      </c>
      <c r="U200" s="664">
        <f>SUM(R200:T200)</f>
        <v>0.1007</v>
      </c>
    </row>
    <row r="201" spans="1:21" outlineLevel="1" x14ac:dyDescent="0.25">
      <c r="B201" s="544"/>
      <c r="C201" s="545" t="s">
        <v>562</v>
      </c>
      <c r="D201" s="545"/>
      <c r="E201" s="545" t="s">
        <v>288</v>
      </c>
      <c r="F201" s="735">
        <f>'DUoS (t)'!$I$72</f>
        <v>2.3199999999999998E-2</v>
      </c>
      <c r="G201" s="736">
        <f>'TUoS (t)'!$I$72</f>
        <v>1.41E-2</v>
      </c>
      <c r="H201" s="736">
        <f>'JSO (t)'!$I$72</f>
        <v>4.4000000000000003E-3</v>
      </c>
      <c r="I201" s="737">
        <f>SUM(F201:H201)</f>
        <v>4.1700000000000001E-2</v>
      </c>
      <c r="J201" s="734"/>
      <c r="K201" s="733"/>
      <c r="L201" s="733"/>
      <c r="M201" s="664">
        <f>SUM(J201:L201)</f>
        <v>0</v>
      </c>
      <c r="N201" s="734"/>
      <c r="O201" s="733"/>
      <c r="P201" s="733"/>
      <c r="Q201" s="664">
        <f>SUM(N201:P201)</f>
        <v>0</v>
      </c>
      <c r="R201" s="663">
        <f t="shared" si="23"/>
        <v>2.3199999999999998E-2</v>
      </c>
      <c r="S201" s="555">
        <f t="shared" si="23"/>
        <v>1.41E-2</v>
      </c>
      <c r="T201" s="555">
        <f t="shared" si="23"/>
        <v>4.4000000000000003E-3</v>
      </c>
      <c r="U201" s="664">
        <f>SUM(R201:T201)</f>
        <v>4.1700000000000001E-2</v>
      </c>
    </row>
    <row r="202" spans="1:21" outlineLevel="1" x14ac:dyDescent="0.25">
      <c r="B202" s="546"/>
      <c r="C202" s="547" t="s">
        <v>563</v>
      </c>
      <c r="D202" s="547"/>
      <c r="E202" s="547" t="s">
        <v>288</v>
      </c>
      <c r="F202" s="738">
        <f>'DUoS (t)'!$K$72</f>
        <v>1.4500000000000001E-2</v>
      </c>
      <c r="G202" s="739">
        <f>'TUoS (t)'!$K$72</f>
        <v>8.8000000000000005E-3</v>
      </c>
      <c r="H202" s="739">
        <f>'JSO (t)'!$K$72</f>
        <v>2.8E-3</v>
      </c>
      <c r="I202" s="740">
        <f>SUM(F202:H202)</f>
        <v>2.6100000000000002E-2</v>
      </c>
      <c r="J202" s="560"/>
      <c r="K202" s="561"/>
      <c r="L202" s="561"/>
      <c r="M202" s="558">
        <f>SUM(J202:L202)</f>
        <v>0</v>
      </c>
      <c r="N202" s="560"/>
      <c r="O202" s="561"/>
      <c r="P202" s="561"/>
      <c r="Q202" s="558">
        <f>SUM(N202:P202)</f>
        <v>0</v>
      </c>
      <c r="R202" s="556">
        <f t="shared" si="23"/>
        <v>1.4500000000000001E-2</v>
      </c>
      <c r="S202" s="557">
        <f t="shared" si="23"/>
        <v>8.8000000000000005E-3</v>
      </c>
      <c r="T202" s="557">
        <f t="shared" si="23"/>
        <v>2.8E-3</v>
      </c>
      <c r="U202" s="558">
        <f>SUM(R202:T202)</f>
        <v>2.6100000000000002E-2</v>
      </c>
    </row>
    <row r="203" spans="1:21" outlineLevel="1" x14ac:dyDescent="0.25">
      <c r="B203" s="562"/>
      <c r="C203" s="562"/>
      <c r="D203" s="562"/>
      <c r="E203" s="562"/>
      <c r="F203" s="555"/>
      <c r="G203" s="555"/>
      <c r="H203" s="555"/>
      <c r="I203" s="555"/>
      <c r="J203" s="555"/>
      <c r="K203" s="555"/>
      <c r="L203" s="555"/>
      <c r="M203" s="555"/>
      <c r="N203" s="555"/>
      <c r="O203" s="555"/>
      <c r="P203" s="555"/>
      <c r="Q203" s="555"/>
      <c r="R203" s="555"/>
      <c r="S203" s="555"/>
      <c r="T203" s="555"/>
      <c r="U203" s="555"/>
    </row>
    <row r="204" spans="1:21" x14ac:dyDescent="0.25">
      <c r="A204" s="563" t="s">
        <v>383</v>
      </c>
    </row>
    <row r="205" spans="1:21" ht="16.5" thickBot="1" x14ac:dyDescent="0.3">
      <c r="A205" s="441" t="s">
        <v>114</v>
      </c>
    </row>
    <row r="206" spans="1:21" outlineLevel="1" x14ac:dyDescent="0.25">
      <c r="F206" s="921" t="s">
        <v>377</v>
      </c>
      <c r="G206" s="922"/>
      <c r="H206" s="922"/>
      <c r="I206" s="923"/>
      <c r="J206" s="924" t="s">
        <v>379</v>
      </c>
      <c r="K206" s="925"/>
      <c r="L206" s="925"/>
      <c r="M206" s="926"/>
      <c r="N206" s="924" t="s">
        <v>380</v>
      </c>
      <c r="O206" s="925"/>
      <c r="P206" s="925"/>
      <c r="Q206" s="926"/>
      <c r="R206" s="924" t="s">
        <v>378</v>
      </c>
      <c r="S206" s="925"/>
      <c r="T206" s="925"/>
      <c r="U206" s="926"/>
    </row>
    <row r="207" spans="1:21" ht="15.75" outlineLevel="1" thickBot="1" x14ac:dyDescent="0.3">
      <c r="F207" s="548" t="s">
        <v>282</v>
      </c>
      <c r="G207" s="549" t="s">
        <v>283</v>
      </c>
      <c r="H207" s="549" t="s">
        <v>284</v>
      </c>
      <c r="I207" s="550" t="s">
        <v>285</v>
      </c>
      <c r="J207" s="748" t="s">
        <v>282</v>
      </c>
      <c r="K207" s="749" t="s">
        <v>283</v>
      </c>
      <c r="L207" s="749" t="s">
        <v>284</v>
      </c>
      <c r="M207" s="750" t="s">
        <v>285</v>
      </c>
      <c r="N207" s="748" t="s">
        <v>282</v>
      </c>
      <c r="O207" s="749" t="s">
        <v>283</v>
      </c>
      <c r="P207" s="749" t="s">
        <v>284</v>
      </c>
      <c r="Q207" s="750" t="s">
        <v>285</v>
      </c>
      <c r="R207" s="748" t="s">
        <v>282</v>
      </c>
      <c r="S207" s="749" t="s">
        <v>283</v>
      </c>
      <c r="T207" s="749" t="s">
        <v>284</v>
      </c>
      <c r="U207" s="750" t="s">
        <v>285</v>
      </c>
    </row>
    <row r="208" spans="1:21" outlineLevel="1" x14ac:dyDescent="0.25">
      <c r="A208" s="559" t="s">
        <v>117</v>
      </c>
      <c r="F208" s="551"/>
      <c r="G208" s="551"/>
      <c r="H208" s="551"/>
      <c r="I208" s="551"/>
      <c r="J208" s="746"/>
      <c r="K208" s="746"/>
      <c r="L208" s="746"/>
      <c r="M208" s="746"/>
      <c r="N208" s="746"/>
      <c r="O208" s="746"/>
      <c r="P208" s="746"/>
      <c r="Q208" s="746"/>
      <c r="R208" s="746"/>
      <c r="S208" s="746"/>
      <c r="T208" s="746"/>
      <c r="U208" s="746"/>
    </row>
    <row r="209" spans="1:21" outlineLevel="1" x14ac:dyDescent="0.25">
      <c r="B209" s="542"/>
      <c r="C209" s="543"/>
      <c r="D209" s="543"/>
      <c r="E209" s="543" t="s">
        <v>315</v>
      </c>
      <c r="F209" s="552"/>
      <c r="G209" s="553"/>
      <c r="H209" s="553"/>
      <c r="I209" s="554"/>
      <c r="J209" s="552"/>
      <c r="K209" s="553"/>
      <c r="L209" s="553"/>
      <c r="M209" s="554"/>
      <c r="N209" s="552"/>
      <c r="O209" s="553"/>
      <c r="P209" s="553"/>
      <c r="Q209" s="554"/>
      <c r="R209" s="552"/>
      <c r="S209" s="553"/>
      <c r="T209" s="553"/>
      <c r="U209" s="554"/>
    </row>
    <row r="210" spans="1:21" outlineLevel="1" x14ac:dyDescent="0.25">
      <c r="B210" s="544"/>
      <c r="C210" s="545" t="s">
        <v>374</v>
      </c>
      <c r="D210" s="545"/>
      <c r="E210" s="545" t="s">
        <v>287</v>
      </c>
      <c r="F210" s="735">
        <f>'DUoS (t)'!$G$96*1</f>
        <v>0</v>
      </c>
      <c r="G210" s="736">
        <f>'TUoS (t)'!$G$96*1</f>
        <v>0</v>
      </c>
      <c r="H210" s="736">
        <f>'JSO (t)'!$G$96*1</f>
        <v>0</v>
      </c>
      <c r="I210" s="737">
        <f>SUM(F210:H210)</f>
        <v>0</v>
      </c>
      <c r="J210" s="734"/>
      <c r="K210" s="733"/>
      <c r="L210" s="733"/>
      <c r="M210" s="664">
        <f>SUM(J210:L210)</f>
        <v>0</v>
      </c>
      <c r="N210" s="734"/>
      <c r="O210" s="733"/>
      <c r="P210" s="733"/>
      <c r="Q210" s="664">
        <f>SUM(N210:P210)</f>
        <v>0</v>
      </c>
      <c r="R210" s="663">
        <f t="shared" ref="R210:T213" si="24">SUM(F210,J210,N210)</f>
        <v>0</v>
      </c>
      <c r="S210" s="555">
        <f t="shared" si="24"/>
        <v>0</v>
      </c>
      <c r="T210" s="555">
        <f t="shared" si="24"/>
        <v>0</v>
      </c>
      <c r="U210" s="664">
        <f>SUM(R210:T210)</f>
        <v>0</v>
      </c>
    </row>
    <row r="211" spans="1:21" outlineLevel="1" x14ac:dyDescent="0.25">
      <c r="B211" s="544"/>
      <c r="C211" s="545" t="s">
        <v>375</v>
      </c>
      <c r="D211" s="545">
        <v>4</v>
      </c>
      <c r="E211" s="545" t="s">
        <v>294</v>
      </c>
      <c r="F211" s="735">
        <f>'DUoS (t)'!$S$96</f>
        <v>4.07E-2</v>
      </c>
      <c r="G211" s="736">
        <f>'TUoS (t)'!$S$96</f>
        <v>0.1162</v>
      </c>
      <c r="H211" s="736">
        <f>'JSO (t)'!$S$96</f>
        <v>0</v>
      </c>
      <c r="I211" s="737">
        <f>SUM(F211:H211)</f>
        <v>0.15689999999999998</v>
      </c>
      <c r="J211" s="734"/>
      <c r="K211" s="733"/>
      <c r="L211" s="733"/>
      <c r="M211" s="664">
        <f>SUM(J211:L211)</f>
        <v>0</v>
      </c>
      <c r="N211" s="734"/>
      <c r="O211" s="733"/>
      <c r="P211" s="733"/>
      <c r="Q211" s="664">
        <f>SUM(N211:P211)</f>
        <v>0</v>
      </c>
      <c r="R211" s="663">
        <f t="shared" si="24"/>
        <v>4.07E-2</v>
      </c>
      <c r="S211" s="555">
        <f t="shared" si="24"/>
        <v>0.1162</v>
      </c>
      <c r="T211" s="555">
        <f t="shared" si="24"/>
        <v>0</v>
      </c>
      <c r="U211" s="664">
        <f>SUM(R211:T211)</f>
        <v>0.15689999999999998</v>
      </c>
    </row>
    <row r="212" spans="1:21" outlineLevel="1" x14ac:dyDescent="0.25">
      <c r="B212" s="544"/>
      <c r="C212" s="545" t="s">
        <v>376</v>
      </c>
      <c r="D212" s="545">
        <v>4</v>
      </c>
      <c r="E212" s="545" t="s">
        <v>294</v>
      </c>
      <c r="F212" s="735">
        <f>'DUoS (t)'!$T$96</f>
        <v>7.2700000000000001E-2</v>
      </c>
      <c r="G212" s="736">
        <f>'TUoS (t)'!$T$96</f>
        <v>0</v>
      </c>
      <c r="H212" s="736">
        <f>'JSO (t)'!$T$96</f>
        <v>0</v>
      </c>
      <c r="I212" s="737">
        <f>SUM(F212:H212)</f>
        <v>7.2700000000000001E-2</v>
      </c>
      <c r="J212" s="734"/>
      <c r="K212" s="733"/>
      <c r="L212" s="733"/>
      <c r="M212" s="664">
        <f>SUM(J212:L212)</f>
        <v>0</v>
      </c>
      <c r="N212" s="734"/>
      <c r="O212" s="733"/>
      <c r="P212" s="733"/>
      <c r="Q212" s="664">
        <f>SUM(N212:P212)</f>
        <v>0</v>
      </c>
      <c r="R212" s="663">
        <f t="shared" si="24"/>
        <v>7.2700000000000001E-2</v>
      </c>
      <c r="S212" s="555">
        <f t="shared" si="24"/>
        <v>0</v>
      </c>
      <c r="T212" s="555">
        <f t="shared" si="24"/>
        <v>0</v>
      </c>
      <c r="U212" s="664">
        <f>SUM(R212:T212)</f>
        <v>7.2700000000000001E-2</v>
      </c>
    </row>
    <row r="213" spans="1:21" outlineLevel="1" x14ac:dyDescent="0.25">
      <c r="B213" s="546"/>
      <c r="C213" s="547" t="s">
        <v>293</v>
      </c>
      <c r="D213" s="547"/>
      <c r="E213" s="547" t="s">
        <v>288</v>
      </c>
      <c r="F213" s="738">
        <f>'DUoS (t)'!$H$96</f>
        <v>4.3E-3</v>
      </c>
      <c r="G213" s="739">
        <f>'TUoS (t)'!$H$96</f>
        <v>8.8000000000000005E-3</v>
      </c>
      <c r="H213" s="739">
        <f>'JSO (t)'!$H$96</f>
        <v>8.9999999999999998E-4</v>
      </c>
      <c r="I213" s="740">
        <f>SUM(F213:H213)</f>
        <v>1.4E-2</v>
      </c>
      <c r="J213" s="560"/>
      <c r="K213" s="561"/>
      <c r="L213" s="561"/>
      <c r="M213" s="558">
        <f>SUM(J213:L213)</f>
        <v>0</v>
      </c>
      <c r="N213" s="560"/>
      <c r="O213" s="561"/>
      <c r="P213" s="561"/>
      <c r="Q213" s="558">
        <f>SUM(N213:P213)</f>
        <v>0</v>
      </c>
      <c r="R213" s="556">
        <f t="shared" si="24"/>
        <v>4.3E-3</v>
      </c>
      <c r="S213" s="557">
        <f t="shared" si="24"/>
        <v>8.8000000000000005E-3</v>
      </c>
      <c r="T213" s="557">
        <f t="shared" si="24"/>
        <v>8.9999999999999998E-4</v>
      </c>
      <c r="U213" s="558">
        <f>SUM(R213:T213)</f>
        <v>1.4E-2</v>
      </c>
    </row>
    <row r="214" spans="1:21" outlineLevel="1" x14ac:dyDescent="0.25">
      <c r="F214" s="741"/>
      <c r="G214" s="741"/>
      <c r="H214" s="741"/>
      <c r="I214" s="741"/>
    </row>
    <row r="215" spans="1:21" outlineLevel="1" x14ac:dyDescent="0.25">
      <c r="A215" s="559" t="s">
        <v>122</v>
      </c>
      <c r="F215" s="742"/>
      <c r="G215" s="742"/>
      <c r="H215" s="742"/>
      <c r="I215" s="742"/>
      <c r="J215" s="746"/>
      <c r="K215" s="746"/>
      <c r="L215" s="746"/>
      <c r="M215" s="746"/>
      <c r="N215" s="746"/>
      <c r="O215" s="746"/>
      <c r="P215" s="746"/>
      <c r="Q215" s="746"/>
      <c r="R215" s="746"/>
      <c r="S215" s="746"/>
      <c r="T215" s="746"/>
      <c r="U215" s="746"/>
    </row>
    <row r="216" spans="1:21" outlineLevel="1" x14ac:dyDescent="0.25">
      <c r="B216" s="542"/>
      <c r="C216" s="543"/>
      <c r="D216" s="543"/>
      <c r="E216" s="543" t="s">
        <v>315</v>
      </c>
      <c r="F216" s="743"/>
      <c r="G216" s="744"/>
      <c r="H216" s="744"/>
      <c r="I216" s="745"/>
      <c r="J216" s="552"/>
      <c r="K216" s="553"/>
      <c r="L216" s="553"/>
      <c r="M216" s="554"/>
      <c r="N216" s="552"/>
      <c r="O216" s="553"/>
      <c r="P216" s="553"/>
      <c r="Q216" s="554"/>
      <c r="R216" s="552"/>
      <c r="S216" s="553"/>
      <c r="T216" s="553"/>
      <c r="U216" s="554"/>
    </row>
    <row r="217" spans="1:21" outlineLevel="1" x14ac:dyDescent="0.25">
      <c r="B217" s="544"/>
      <c r="C217" s="545" t="s">
        <v>374</v>
      </c>
      <c r="D217" s="545"/>
      <c r="E217" s="545" t="s">
        <v>287</v>
      </c>
      <c r="F217" s="735">
        <f>'DUoS (t)'!$G$96*1</f>
        <v>0</v>
      </c>
      <c r="G217" s="736">
        <f>'TUoS (t)'!$G$96*1</f>
        <v>0</v>
      </c>
      <c r="H217" s="736">
        <f>'JSO (t)'!$G$96*1</f>
        <v>0</v>
      </c>
      <c r="I217" s="737">
        <f>SUM(F217:H217)</f>
        <v>0</v>
      </c>
      <c r="J217" s="734"/>
      <c r="K217" s="733"/>
      <c r="L217" s="733"/>
      <c r="M217" s="664">
        <f>SUM(J217:L217)</f>
        <v>0</v>
      </c>
      <c r="N217" s="734">
        <f>ROUND(217557/365,4)</f>
        <v>596.04660000000001</v>
      </c>
      <c r="O217" s="733"/>
      <c r="P217" s="733"/>
      <c r="Q217" s="664">
        <f>SUM(N217:P217)</f>
        <v>596.04660000000001</v>
      </c>
      <c r="R217" s="663">
        <f t="shared" ref="R217:T220" si="25">SUM(F217,J217,N217)</f>
        <v>596.04660000000001</v>
      </c>
      <c r="S217" s="555">
        <f t="shared" si="25"/>
        <v>0</v>
      </c>
      <c r="T217" s="555">
        <f t="shared" si="25"/>
        <v>0</v>
      </c>
      <c r="U217" s="664">
        <f>SUM(R217:T217)</f>
        <v>596.04660000000001</v>
      </c>
    </row>
    <row r="218" spans="1:21" outlineLevel="1" x14ac:dyDescent="0.25">
      <c r="B218" s="544"/>
      <c r="C218" s="545" t="s">
        <v>375</v>
      </c>
      <c r="D218" s="545">
        <v>4</v>
      </c>
      <c r="E218" s="545" t="s">
        <v>294</v>
      </c>
      <c r="F218" s="735">
        <f>'DUoS (t)'!$S$96</f>
        <v>4.07E-2</v>
      </c>
      <c r="G218" s="736">
        <f>'TUoS (t)'!$S$96</f>
        <v>0.1162</v>
      </c>
      <c r="H218" s="736">
        <f>'JSO (t)'!$S$96</f>
        <v>0</v>
      </c>
      <c r="I218" s="737">
        <f>SUM(F218:H218)</f>
        <v>0.15689999999999998</v>
      </c>
      <c r="J218" s="734"/>
      <c r="K218" s="733"/>
      <c r="L218" s="733"/>
      <c r="M218" s="664">
        <f>SUM(J218:L218)</f>
        <v>0</v>
      </c>
      <c r="N218" s="734"/>
      <c r="O218" s="733"/>
      <c r="P218" s="733"/>
      <c r="Q218" s="664">
        <f>SUM(N218:P218)</f>
        <v>0</v>
      </c>
      <c r="R218" s="663">
        <f t="shared" si="25"/>
        <v>4.07E-2</v>
      </c>
      <c r="S218" s="555">
        <f t="shared" si="25"/>
        <v>0.1162</v>
      </c>
      <c r="T218" s="555">
        <f t="shared" si="25"/>
        <v>0</v>
      </c>
      <c r="U218" s="664">
        <f>SUM(R218:T218)</f>
        <v>0.15689999999999998</v>
      </c>
    </row>
    <row r="219" spans="1:21" outlineLevel="1" x14ac:dyDescent="0.25">
      <c r="B219" s="544"/>
      <c r="C219" s="545" t="s">
        <v>376</v>
      </c>
      <c r="D219" s="545">
        <v>4</v>
      </c>
      <c r="E219" s="545" t="s">
        <v>294</v>
      </c>
      <c r="F219" s="735">
        <f>'DUoS (t)'!$T$96</f>
        <v>7.2700000000000001E-2</v>
      </c>
      <c r="G219" s="736">
        <f>'TUoS (t)'!$T$96</f>
        <v>0</v>
      </c>
      <c r="H219" s="736">
        <f>'JSO (t)'!$T$96</f>
        <v>0</v>
      </c>
      <c r="I219" s="737">
        <f>SUM(F219:H219)</f>
        <v>7.2700000000000001E-2</v>
      </c>
      <c r="J219" s="734"/>
      <c r="K219" s="733"/>
      <c r="L219" s="733"/>
      <c r="M219" s="664">
        <f>SUM(J219:L219)</f>
        <v>0</v>
      </c>
      <c r="N219" s="734"/>
      <c r="O219" s="733"/>
      <c r="P219" s="733"/>
      <c r="Q219" s="664">
        <f>SUM(N219:P219)</f>
        <v>0</v>
      </c>
      <c r="R219" s="663">
        <f t="shared" si="25"/>
        <v>7.2700000000000001E-2</v>
      </c>
      <c r="S219" s="555">
        <f t="shared" si="25"/>
        <v>0</v>
      </c>
      <c r="T219" s="555">
        <f t="shared" si="25"/>
        <v>0</v>
      </c>
      <c r="U219" s="664">
        <f>SUM(R219:T219)</f>
        <v>7.2700000000000001E-2</v>
      </c>
    </row>
    <row r="220" spans="1:21" outlineLevel="1" x14ac:dyDescent="0.25">
      <c r="B220" s="546"/>
      <c r="C220" s="547" t="s">
        <v>293</v>
      </c>
      <c r="D220" s="547"/>
      <c r="E220" s="547" t="s">
        <v>288</v>
      </c>
      <c r="F220" s="738">
        <f>'DUoS (t)'!$H$96</f>
        <v>4.3E-3</v>
      </c>
      <c r="G220" s="739">
        <f>'TUoS (t)'!$H$96</f>
        <v>8.8000000000000005E-3</v>
      </c>
      <c r="H220" s="739">
        <f>'JSO (t)'!$H$96</f>
        <v>8.9999999999999998E-4</v>
      </c>
      <c r="I220" s="740">
        <f>SUM(F220:H220)</f>
        <v>1.4E-2</v>
      </c>
      <c r="J220" s="560"/>
      <c r="K220" s="561"/>
      <c r="L220" s="561"/>
      <c r="M220" s="558">
        <f>SUM(J220:L220)</f>
        <v>0</v>
      </c>
      <c r="N220" s="560"/>
      <c r="O220" s="561"/>
      <c r="P220" s="561"/>
      <c r="Q220" s="558">
        <f>SUM(N220:P220)</f>
        <v>0</v>
      </c>
      <c r="R220" s="556">
        <f t="shared" si="25"/>
        <v>4.3E-3</v>
      </c>
      <c r="S220" s="557">
        <f t="shared" si="25"/>
        <v>8.8000000000000005E-3</v>
      </c>
      <c r="T220" s="557">
        <f t="shared" si="25"/>
        <v>8.9999999999999998E-4</v>
      </c>
      <c r="U220" s="558">
        <f>SUM(R220:T220)</f>
        <v>1.4E-2</v>
      </c>
    </row>
    <row r="221" spans="1:21" outlineLevel="1" x14ac:dyDescent="0.25">
      <c r="F221" s="741"/>
      <c r="G221" s="741"/>
      <c r="H221" s="741"/>
      <c r="I221" s="741"/>
    </row>
    <row r="222" spans="1:21" outlineLevel="1" x14ac:dyDescent="0.25">
      <c r="A222" s="559" t="s">
        <v>123</v>
      </c>
      <c r="F222" s="742"/>
      <c r="G222" s="742"/>
      <c r="H222" s="742"/>
      <c r="I222" s="742"/>
      <c r="J222" s="746"/>
      <c r="K222" s="746"/>
      <c r="L222" s="746"/>
      <c r="M222" s="746"/>
      <c r="N222" s="746"/>
      <c r="O222" s="746"/>
      <c r="P222" s="746"/>
      <c r="Q222" s="746"/>
      <c r="R222" s="746"/>
      <c r="S222" s="746"/>
      <c r="T222" s="746"/>
      <c r="U222" s="746"/>
    </row>
    <row r="223" spans="1:21" outlineLevel="1" x14ac:dyDescent="0.25">
      <c r="B223" s="542"/>
      <c r="C223" s="543"/>
      <c r="D223" s="543"/>
      <c r="E223" s="543" t="s">
        <v>315</v>
      </c>
      <c r="F223" s="743"/>
      <c r="G223" s="744"/>
      <c r="H223" s="744"/>
      <c r="I223" s="745"/>
      <c r="J223" s="552"/>
      <c r="K223" s="553"/>
      <c r="L223" s="553"/>
      <c r="M223" s="554"/>
      <c r="N223" s="552"/>
      <c r="O223" s="553"/>
      <c r="P223" s="553"/>
      <c r="Q223" s="554"/>
      <c r="R223" s="552"/>
      <c r="S223" s="553"/>
      <c r="T223" s="553"/>
      <c r="U223" s="554"/>
    </row>
    <row r="224" spans="1:21" outlineLevel="1" x14ac:dyDescent="0.25">
      <c r="B224" s="544"/>
      <c r="C224" s="545" t="s">
        <v>374</v>
      </c>
      <c r="D224" s="545"/>
      <c r="E224" s="545" t="s">
        <v>287</v>
      </c>
      <c r="F224" s="735">
        <f>'DUoS (t)'!$G$96*1</f>
        <v>0</v>
      </c>
      <c r="G224" s="736">
        <f>'TUoS (t)'!$G$96*1</f>
        <v>0</v>
      </c>
      <c r="H224" s="736">
        <f>'JSO (t)'!$G$96*1</f>
        <v>0</v>
      </c>
      <c r="I224" s="737">
        <f>SUM(F224:H224)</f>
        <v>0</v>
      </c>
      <c r="J224" s="734"/>
      <c r="K224" s="733"/>
      <c r="L224" s="733"/>
      <c r="M224" s="664">
        <f>SUM(J224:L224)</f>
        <v>0</v>
      </c>
      <c r="N224" s="734"/>
      <c r="O224" s="733"/>
      <c r="P224" s="733"/>
      <c r="Q224" s="664">
        <f>SUM(N224:P224)</f>
        <v>0</v>
      </c>
      <c r="R224" s="663">
        <f t="shared" ref="R224:T227" si="26">SUM(F224,J224,N224)</f>
        <v>0</v>
      </c>
      <c r="S224" s="555">
        <f t="shared" si="26"/>
        <v>0</v>
      </c>
      <c r="T224" s="555">
        <f t="shared" si="26"/>
        <v>0</v>
      </c>
      <c r="U224" s="664">
        <f>SUM(R224:T224)</f>
        <v>0</v>
      </c>
    </row>
    <row r="225" spans="1:21" outlineLevel="1" x14ac:dyDescent="0.25">
      <c r="B225" s="544"/>
      <c r="C225" s="545" t="s">
        <v>375</v>
      </c>
      <c r="D225" s="545">
        <v>4</v>
      </c>
      <c r="E225" s="545" t="s">
        <v>294</v>
      </c>
      <c r="F225" s="735">
        <f>'DUoS (t)'!$S$96</f>
        <v>4.07E-2</v>
      </c>
      <c r="G225" s="736">
        <f>'TUoS (t)'!$S$96</f>
        <v>0.1162</v>
      </c>
      <c r="H225" s="736">
        <f>'JSO (t)'!$S$96</f>
        <v>0</v>
      </c>
      <c r="I225" s="737">
        <f>SUM(F225:H225)</f>
        <v>0.15689999999999998</v>
      </c>
      <c r="J225" s="734"/>
      <c r="K225" s="733"/>
      <c r="L225" s="733"/>
      <c r="M225" s="664">
        <f>SUM(J225:L225)</f>
        <v>0</v>
      </c>
      <c r="N225" s="734"/>
      <c r="O225" s="733"/>
      <c r="P225" s="733"/>
      <c r="Q225" s="664">
        <f>SUM(N225:P225)</f>
        <v>0</v>
      </c>
      <c r="R225" s="663">
        <f t="shared" si="26"/>
        <v>4.07E-2</v>
      </c>
      <c r="S225" s="555">
        <f t="shared" si="26"/>
        <v>0.1162</v>
      </c>
      <c r="T225" s="555">
        <f t="shared" si="26"/>
        <v>0</v>
      </c>
      <c r="U225" s="664">
        <f>SUM(R225:T225)</f>
        <v>0.15689999999999998</v>
      </c>
    </row>
    <row r="226" spans="1:21" outlineLevel="1" x14ac:dyDescent="0.25">
      <c r="B226" s="544"/>
      <c r="C226" s="545" t="s">
        <v>376</v>
      </c>
      <c r="D226" s="545">
        <v>4</v>
      </c>
      <c r="E226" s="545" t="s">
        <v>294</v>
      </c>
      <c r="F226" s="735">
        <f>'DUoS (t)'!$T$96</f>
        <v>7.2700000000000001E-2</v>
      </c>
      <c r="G226" s="736">
        <f>'TUoS (t)'!$T$96</f>
        <v>0</v>
      </c>
      <c r="H226" s="736">
        <f>'JSO (t)'!$T$96</f>
        <v>0</v>
      </c>
      <c r="I226" s="737">
        <f>SUM(F226:H226)</f>
        <v>7.2700000000000001E-2</v>
      </c>
      <c r="J226" s="734"/>
      <c r="K226" s="733"/>
      <c r="L226" s="733"/>
      <c r="M226" s="664">
        <f>SUM(J226:L226)</f>
        <v>0</v>
      </c>
      <c r="N226" s="734"/>
      <c r="O226" s="733"/>
      <c r="P226" s="733"/>
      <c r="Q226" s="664">
        <f>SUM(N226:P226)</f>
        <v>0</v>
      </c>
      <c r="R226" s="663">
        <f t="shared" si="26"/>
        <v>7.2700000000000001E-2</v>
      </c>
      <c r="S226" s="555">
        <f t="shared" si="26"/>
        <v>0</v>
      </c>
      <c r="T226" s="555">
        <f t="shared" si="26"/>
        <v>0</v>
      </c>
      <c r="U226" s="664">
        <f>SUM(R226:T226)</f>
        <v>7.2700000000000001E-2</v>
      </c>
    </row>
    <row r="227" spans="1:21" outlineLevel="1" x14ac:dyDescent="0.25">
      <c r="B227" s="546"/>
      <c r="C227" s="547" t="s">
        <v>293</v>
      </c>
      <c r="D227" s="547"/>
      <c r="E227" s="547" t="s">
        <v>288</v>
      </c>
      <c r="F227" s="738">
        <f>'DUoS (t)'!$H$96</f>
        <v>4.3E-3</v>
      </c>
      <c r="G227" s="739">
        <f>'TUoS (t)'!$H$96</f>
        <v>8.8000000000000005E-3</v>
      </c>
      <c r="H227" s="739">
        <f>'JSO (t)'!$H$96</f>
        <v>8.9999999999999998E-4</v>
      </c>
      <c r="I227" s="740">
        <f>SUM(F227:H227)</f>
        <v>1.4E-2</v>
      </c>
      <c r="J227" s="560"/>
      <c r="K227" s="561"/>
      <c r="L227" s="561"/>
      <c r="M227" s="558">
        <f>SUM(J227:L227)</f>
        <v>0</v>
      </c>
      <c r="N227" s="560"/>
      <c r="O227" s="561"/>
      <c r="P227" s="561"/>
      <c r="Q227" s="558">
        <f>SUM(N227:P227)</f>
        <v>0</v>
      </c>
      <c r="R227" s="556">
        <f t="shared" si="26"/>
        <v>4.3E-3</v>
      </c>
      <c r="S227" s="557">
        <f t="shared" si="26"/>
        <v>8.8000000000000005E-3</v>
      </c>
      <c r="T227" s="557">
        <f t="shared" si="26"/>
        <v>8.9999999999999998E-4</v>
      </c>
      <c r="U227" s="558">
        <f>SUM(R227:T227)</f>
        <v>1.4E-2</v>
      </c>
    </row>
    <row r="228" spans="1:21" outlineLevel="1" x14ac:dyDescent="0.25">
      <c r="F228" s="741"/>
      <c r="G228" s="741"/>
      <c r="H228" s="741"/>
      <c r="I228" s="741"/>
    </row>
    <row r="229" spans="1:21" outlineLevel="1" x14ac:dyDescent="0.25">
      <c r="A229" s="559" t="s">
        <v>119</v>
      </c>
      <c r="F229" s="742"/>
      <c r="G229" s="742"/>
      <c r="H229" s="742"/>
      <c r="I229" s="742"/>
      <c r="J229" s="746"/>
      <c r="K229" s="746"/>
      <c r="L229" s="746"/>
      <c r="M229" s="746"/>
      <c r="N229" s="746"/>
      <c r="O229" s="746"/>
      <c r="P229" s="746"/>
      <c r="Q229" s="746"/>
      <c r="R229" s="746"/>
      <c r="S229" s="746"/>
      <c r="T229" s="746"/>
      <c r="U229" s="746"/>
    </row>
    <row r="230" spans="1:21" outlineLevel="1" x14ac:dyDescent="0.25">
      <c r="B230" s="542"/>
      <c r="C230" s="543"/>
      <c r="D230" s="543"/>
      <c r="E230" s="543" t="s">
        <v>315</v>
      </c>
      <c r="F230" s="743"/>
      <c r="G230" s="744"/>
      <c r="H230" s="744"/>
      <c r="I230" s="745"/>
      <c r="J230" s="552"/>
      <c r="K230" s="553"/>
      <c r="L230" s="553"/>
      <c r="M230" s="554"/>
      <c r="N230" s="552"/>
      <c r="O230" s="553"/>
      <c r="P230" s="553"/>
      <c r="Q230" s="554"/>
      <c r="R230" s="552"/>
      <c r="S230" s="553"/>
      <c r="T230" s="553"/>
      <c r="U230" s="554"/>
    </row>
    <row r="231" spans="1:21" outlineLevel="1" x14ac:dyDescent="0.25">
      <c r="B231" s="544"/>
      <c r="C231" s="545" t="s">
        <v>374</v>
      </c>
      <c r="D231" s="545"/>
      <c r="E231" s="545" t="s">
        <v>287</v>
      </c>
      <c r="F231" s="735">
        <f>'DUoS (t)'!$G$96*1</f>
        <v>0</v>
      </c>
      <c r="G231" s="736">
        <f>'TUoS (t)'!$G$96*1</f>
        <v>0</v>
      </c>
      <c r="H231" s="736">
        <f>'JSO (t)'!$G$96*1</f>
        <v>0</v>
      </c>
      <c r="I231" s="737">
        <f>SUM(F231:H231)</f>
        <v>0</v>
      </c>
      <c r="J231" s="734"/>
      <c r="K231" s="733"/>
      <c r="L231" s="733"/>
      <c r="M231" s="664">
        <f>SUM(J231:L231)</f>
        <v>0</v>
      </c>
      <c r="N231" s="734">
        <f>(348575/365)+0</f>
        <v>955</v>
      </c>
      <c r="O231" s="733"/>
      <c r="P231" s="733"/>
      <c r="Q231" s="664">
        <f>SUM(N231:P231)</f>
        <v>955</v>
      </c>
      <c r="R231" s="663">
        <f t="shared" ref="R231:T234" si="27">SUM(F231,J231,N231)</f>
        <v>955</v>
      </c>
      <c r="S231" s="555">
        <f t="shared" si="27"/>
        <v>0</v>
      </c>
      <c r="T231" s="555">
        <f t="shared" si="27"/>
        <v>0</v>
      </c>
      <c r="U231" s="664">
        <f>SUM(R231:T231)</f>
        <v>955</v>
      </c>
    </row>
    <row r="232" spans="1:21" outlineLevel="1" x14ac:dyDescent="0.25">
      <c r="B232" s="544"/>
      <c r="C232" s="545" t="s">
        <v>375</v>
      </c>
      <c r="D232" s="545">
        <v>4</v>
      </c>
      <c r="E232" s="545" t="s">
        <v>294</v>
      </c>
      <c r="F232" s="735">
        <f>'DUoS (t)'!$S$96</f>
        <v>4.07E-2</v>
      </c>
      <c r="G232" s="736">
        <f>'TUoS (t)'!$S$96</f>
        <v>0.1162</v>
      </c>
      <c r="H232" s="736">
        <f>'JSO (t)'!$S$96</f>
        <v>0</v>
      </c>
      <c r="I232" s="737">
        <f>SUM(F232:H232)</f>
        <v>0.15689999999999998</v>
      </c>
      <c r="J232" s="734"/>
      <c r="K232" s="733"/>
      <c r="L232" s="733"/>
      <c r="M232" s="664">
        <f>SUM(J232:L232)</f>
        <v>0</v>
      </c>
      <c r="N232" s="734"/>
      <c r="O232" s="733"/>
      <c r="P232" s="733"/>
      <c r="Q232" s="664">
        <f>SUM(N232:P232)</f>
        <v>0</v>
      </c>
      <c r="R232" s="663">
        <f t="shared" si="27"/>
        <v>4.07E-2</v>
      </c>
      <c r="S232" s="555">
        <f t="shared" si="27"/>
        <v>0.1162</v>
      </c>
      <c r="T232" s="555">
        <f t="shared" si="27"/>
        <v>0</v>
      </c>
      <c r="U232" s="664">
        <f>SUM(R232:T232)</f>
        <v>0.15689999999999998</v>
      </c>
    </row>
    <row r="233" spans="1:21" outlineLevel="1" x14ac:dyDescent="0.25">
      <c r="B233" s="544"/>
      <c r="C233" s="545" t="s">
        <v>376</v>
      </c>
      <c r="D233" s="545">
        <v>4</v>
      </c>
      <c r="E233" s="545" t="s">
        <v>294</v>
      </c>
      <c r="F233" s="735">
        <f>'DUoS (t)'!$T$96</f>
        <v>7.2700000000000001E-2</v>
      </c>
      <c r="G233" s="736">
        <f>'TUoS (t)'!$T$96</f>
        <v>0</v>
      </c>
      <c r="H233" s="736">
        <f>'JSO (t)'!$T$96</f>
        <v>0</v>
      </c>
      <c r="I233" s="737">
        <f>SUM(F233:H233)</f>
        <v>7.2700000000000001E-2</v>
      </c>
      <c r="J233" s="734"/>
      <c r="K233" s="733"/>
      <c r="L233" s="733"/>
      <c r="M233" s="664">
        <f>SUM(J233:L233)</f>
        <v>0</v>
      </c>
      <c r="N233" s="734"/>
      <c r="O233" s="733"/>
      <c r="P233" s="733"/>
      <c r="Q233" s="664">
        <f>SUM(N233:P233)</f>
        <v>0</v>
      </c>
      <c r="R233" s="663">
        <f t="shared" si="27"/>
        <v>7.2700000000000001E-2</v>
      </c>
      <c r="S233" s="555">
        <f t="shared" si="27"/>
        <v>0</v>
      </c>
      <c r="T233" s="555">
        <f t="shared" si="27"/>
        <v>0</v>
      </c>
      <c r="U233" s="664">
        <f>SUM(R233:T233)</f>
        <v>7.2700000000000001E-2</v>
      </c>
    </row>
    <row r="234" spans="1:21" outlineLevel="1" x14ac:dyDescent="0.25">
      <c r="B234" s="546"/>
      <c r="C234" s="547" t="s">
        <v>293</v>
      </c>
      <c r="D234" s="547"/>
      <c r="E234" s="547" t="s">
        <v>288</v>
      </c>
      <c r="F234" s="738">
        <f>'DUoS (t)'!$H$96</f>
        <v>4.3E-3</v>
      </c>
      <c r="G234" s="739">
        <f>'TUoS (t)'!$H$96</f>
        <v>8.8000000000000005E-3</v>
      </c>
      <c r="H234" s="739">
        <f>'JSO (t)'!$H$96</f>
        <v>8.9999999999999998E-4</v>
      </c>
      <c r="I234" s="740">
        <f>SUM(F234:H234)</f>
        <v>1.4E-2</v>
      </c>
      <c r="J234" s="560"/>
      <c r="K234" s="561"/>
      <c r="L234" s="561"/>
      <c r="M234" s="558">
        <f>SUM(J234:L234)</f>
        <v>0</v>
      </c>
      <c r="N234" s="560"/>
      <c r="O234" s="561"/>
      <c r="P234" s="561"/>
      <c r="Q234" s="558">
        <f>SUM(N234:P234)</f>
        <v>0</v>
      </c>
      <c r="R234" s="556">
        <f t="shared" si="27"/>
        <v>4.3E-3</v>
      </c>
      <c r="S234" s="557">
        <f t="shared" si="27"/>
        <v>8.8000000000000005E-3</v>
      </c>
      <c r="T234" s="557">
        <f t="shared" si="27"/>
        <v>8.9999999999999998E-4</v>
      </c>
      <c r="U234" s="558">
        <f>SUM(R234:T234)</f>
        <v>1.4E-2</v>
      </c>
    </row>
    <row r="235" spans="1:21" outlineLevel="1" x14ac:dyDescent="0.25">
      <c r="F235" s="741"/>
      <c r="G235" s="741"/>
      <c r="H235" s="741"/>
      <c r="I235" s="741"/>
    </row>
    <row r="236" spans="1:21" outlineLevel="1" x14ac:dyDescent="0.25">
      <c r="A236" s="559" t="s">
        <v>708</v>
      </c>
      <c r="F236" s="742"/>
      <c r="G236" s="742"/>
      <c r="H236" s="742"/>
      <c r="I236" s="742"/>
      <c r="J236" s="746"/>
      <c r="K236" s="746"/>
      <c r="L236" s="746"/>
      <c r="M236" s="746"/>
      <c r="N236" s="746"/>
      <c r="O236" s="746"/>
      <c r="P236" s="746"/>
      <c r="Q236" s="746"/>
      <c r="R236" s="746"/>
      <c r="S236" s="746"/>
      <c r="T236" s="746"/>
      <c r="U236" s="746"/>
    </row>
    <row r="237" spans="1:21" outlineLevel="1" x14ac:dyDescent="0.25">
      <c r="B237" s="542"/>
      <c r="C237" s="543"/>
      <c r="D237" s="543"/>
      <c r="E237" s="543" t="s">
        <v>315</v>
      </c>
      <c r="F237" s="743"/>
      <c r="G237" s="744"/>
      <c r="H237" s="744"/>
      <c r="I237" s="745"/>
      <c r="J237" s="552"/>
      <c r="K237" s="553"/>
      <c r="L237" s="553"/>
      <c r="M237" s="554"/>
      <c r="N237" s="552"/>
      <c r="O237" s="553"/>
      <c r="P237" s="553"/>
      <c r="Q237" s="554"/>
      <c r="R237" s="552"/>
      <c r="S237" s="553"/>
      <c r="T237" s="553"/>
      <c r="U237" s="554"/>
    </row>
    <row r="238" spans="1:21" outlineLevel="1" x14ac:dyDescent="0.25">
      <c r="B238" s="544"/>
      <c r="C238" s="545" t="s">
        <v>374</v>
      </c>
      <c r="D238" s="545"/>
      <c r="E238" s="545" t="s">
        <v>287</v>
      </c>
      <c r="F238" s="735">
        <f>'DUoS (t)'!$G$96*1</f>
        <v>0</v>
      </c>
      <c r="G238" s="736">
        <f>'TUoS (t)'!$G$96*1</f>
        <v>0</v>
      </c>
      <c r="H238" s="736">
        <f>'JSO (t)'!$G$96*1</f>
        <v>0</v>
      </c>
      <c r="I238" s="737">
        <f>SUM(F238:H238)</f>
        <v>0</v>
      </c>
      <c r="J238" s="734"/>
      <c r="K238" s="733"/>
      <c r="L238" s="733"/>
      <c r="M238" s="664">
        <f>SUM(J238:L238)</f>
        <v>0</v>
      </c>
      <c r="N238" s="734">
        <f>(200000/365)+(0)</f>
        <v>547.94520547945206</v>
      </c>
      <c r="O238" s="733"/>
      <c r="P238" s="733"/>
      <c r="Q238" s="664">
        <f>SUM(N238:P238)</f>
        <v>547.94520547945206</v>
      </c>
      <c r="R238" s="663">
        <f t="shared" ref="R238:T241" si="28">SUM(F238,J238,N238)</f>
        <v>547.94520547945206</v>
      </c>
      <c r="S238" s="555">
        <f t="shared" si="28"/>
        <v>0</v>
      </c>
      <c r="T238" s="555">
        <f t="shared" si="28"/>
        <v>0</v>
      </c>
      <c r="U238" s="664">
        <f>SUM(R238:T238)</f>
        <v>547.94520547945206</v>
      </c>
    </row>
    <row r="239" spans="1:21" outlineLevel="1" x14ac:dyDescent="0.25">
      <c r="B239" s="544"/>
      <c r="C239" s="545" t="s">
        <v>375</v>
      </c>
      <c r="D239" s="545">
        <v>4</v>
      </c>
      <c r="E239" s="545" t="s">
        <v>294</v>
      </c>
      <c r="F239" s="735">
        <f>'DUoS (t)'!$S$96</f>
        <v>4.07E-2</v>
      </c>
      <c r="G239" s="736">
        <f>'TUoS (t)'!$S$96</f>
        <v>0.1162</v>
      </c>
      <c r="H239" s="736">
        <f>'JSO (t)'!$S$96</f>
        <v>0</v>
      </c>
      <c r="I239" s="737">
        <f>SUM(F239:H239)</f>
        <v>0.15689999999999998</v>
      </c>
      <c r="J239" s="734"/>
      <c r="K239" s="733"/>
      <c r="L239" s="733"/>
      <c r="M239" s="664">
        <f>SUM(J239:L239)</f>
        <v>0</v>
      </c>
      <c r="N239" s="734"/>
      <c r="O239" s="733"/>
      <c r="P239" s="733"/>
      <c r="Q239" s="664">
        <f>SUM(N239:P239)</f>
        <v>0</v>
      </c>
      <c r="R239" s="663">
        <f t="shared" si="28"/>
        <v>4.07E-2</v>
      </c>
      <c r="S239" s="555">
        <f t="shared" si="28"/>
        <v>0.1162</v>
      </c>
      <c r="T239" s="555">
        <f t="shared" si="28"/>
        <v>0</v>
      </c>
      <c r="U239" s="664">
        <f>SUM(R239:T239)</f>
        <v>0.15689999999999998</v>
      </c>
    </row>
    <row r="240" spans="1:21" outlineLevel="1" x14ac:dyDescent="0.25">
      <c r="B240" s="544"/>
      <c r="C240" s="545" t="s">
        <v>376</v>
      </c>
      <c r="D240" s="545">
        <v>4</v>
      </c>
      <c r="E240" s="545" t="s">
        <v>294</v>
      </c>
      <c r="F240" s="735">
        <f>'DUoS (t)'!$T$96</f>
        <v>7.2700000000000001E-2</v>
      </c>
      <c r="G240" s="736">
        <f>'TUoS (t)'!$T$96</f>
        <v>0</v>
      </c>
      <c r="H240" s="736">
        <f>'JSO (t)'!$T$96</f>
        <v>0</v>
      </c>
      <c r="I240" s="737">
        <f>SUM(F240:H240)</f>
        <v>7.2700000000000001E-2</v>
      </c>
      <c r="J240" s="734"/>
      <c r="K240" s="733"/>
      <c r="L240" s="733"/>
      <c r="M240" s="664">
        <f>SUM(J240:L240)</f>
        <v>0</v>
      </c>
      <c r="N240" s="734"/>
      <c r="O240" s="733"/>
      <c r="P240" s="733"/>
      <c r="Q240" s="664">
        <f>SUM(N240:P240)</f>
        <v>0</v>
      </c>
      <c r="R240" s="663">
        <f t="shared" si="28"/>
        <v>7.2700000000000001E-2</v>
      </c>
      <c r="S240" s="555">
        <f t="shared" si="28"/>
        <v>0</v>
      </c>
      <c r="T240" s="555">
        <f t="shared" si="28"/>
        <v>0</v>
      </c>
      <c r="U240" s="664">
        <f>SUM(R240:T240)</f>
        <v>7.2700000000000001E-2</v>
      </c>
    </row>
    <row r="241" spans="1:21" outlineLevel="1" x14ac:dyDescent="0.25">
      <c r="B241" s="546"/>
      <c r="C241" s="547" t="s">
        <v>293</v>
      </c>
      <c r="D241" s="547"/>
      <c r="E241" s="547" t="s">
        <v>288</v>
      </c>
      <c r="F241" s="738">
        <f>'DUoS (t)'!$H$96</f>
        <v>4.3E-3</v>
      </c>
      <c r="G241" s="739">
        <f>'TUoS (t)'!$H$96</f>
        <v>8.8000000000000005E-3</v>
      </c>
      <c r="H241" s="739">
        <f>'JSO (t)'!$H$96</f>
        <v>8.9999999999999998E-4</v>
      </c>
      <c r="I241" s="740">
        <f>SUM(F241:H241)</f>
        <v>1.4E-2</v>
      </c>
      <c r="J241" s="560"/>
      <c r="K241" s="561"/>
      <c r="L241" s="561"/>
      <c r="M241" s="558">
        <f>SUM(J241:L241)</f>
        <v>0</v>
      </c>
      <c r="N241" s="560"/>
      <c r="O241" s="561"/>
      <c r="P241" s="561"/>
      <c r="Q241" s="558">
        <f>SUM(N241:P241)</f>
        <v>0</v>
      </c>
      <c r="R241" s="556">
        <f t="shared" si="28"/>
        <v>4.3E-3</v>
      </c>
      <c r="S241" s="557">
        <f t="shared" si="28"/>
        <v>8.8000000000000005E-3</v>
      </c>
      <c r="T241" s="557">
        <f t="shared" si="28"/>
        <v>8.9999999999999998E-4</v>
      </c>
      <c r="U241" s="558">
        <f>SUM(R241:T241)</f>
        <v>1.4E-2</v>
      </c>
    </row>
    <row r="242" spans="1:21" outlineLevel="1" x14ac:dyDescent="0.25">
      <c r="F242" s="741"/>
      <c r="G242" s="741"/>
      <c r="H242" s="741"/>
      <c r="I242" s="741"/>
    </row>
    <row r="243" spans="1:21" outlineLevel="1" x14ac:dyDescent="0.25">
      <c r="A243" s="559" t="s">
        <v>120</v>
      </c>
      <c r="F243" s="742"/>
      <c r="G243" s="742"/>
      <c r="H243" s="742"/>
      <c r="I243" s="742"/>
      <c r="J243" s="746"/>
      <c r="K243" s="746"/>
      <c r="L243" s="746"/>
      <c r="M243" s="746"/>
      <c r="N243" s="746"/>
      <c r="O243" s="746"/>
      <c r="P243" s="746"/>
      <c r="Q243" s="746"/>
      <c r="R243" s="746"/>
      <c r="S243" s="746"/>
      <c r="T243" s="746"/>
      <c r="U243" s="746"/>
    </row>
    <row r="244" spans="1:21" outlineLevel="1" x14ac:dyDescent="0.25">
      <c r="B244" s="542"/>
      <c r="C244" s="543"/>
      <c r="D244" s="543"/>
      <c r="E244" s="543" t="s">
        <v>315</v>
      </c>
      <c r="F244" s="743"/>
      <c r="G244" s="744"/>
      <c r="H244" s="744"/>
      <c r="I244" s="745"/>
      <c r="J244" s="552"/>
      <c r="K244" s="553"/>
      <c r="L244" s="553"/>
      <c r="M244" s="554"/>
      <c r="N244" s="552"/>
      <c r="O244" s="553"/>
      <c r="P244" s="553"/>
      <c r="Q244" s="554"/>
      <c r="R244" s="552"/>
      <c r="S244" s="553"/>
      <c r="T244" s="553"/>
      <c r="U244" s="554"/>
    </row>
    <row r="245" spans="1:21" outlineLevel="1" x14ac:dyDescent="0.25">
      <c r="B245" s="544"/>
      <c r="C245" s="545" t="s">
        <v>374</v>
      </c>
      <c r="D245" s="545"/>
      <c r="E245" s="545" t="s">
        <v>287</v>
      </c>
      <c r="F245" s="735">
        <f>'DUoS (t)'!$G$96*1</f>
        <v>0</v>
      </c>
      <c r="G245" s="736">
        <f>'TUoS (t)'!$G$96*1</f>
        <v>0</v>
      </c>
      <c r="H245" s="736">
        <f>'JSO (t)'!$G$96*1</f>
        <v>0</v>
      </c>
      <c r="I245" s="737">
        <f>SUM(F245:H245)</f>
        <v>0</v>
      </c>
      <c r="J245" s="734"/>
      <c r="K245" s="733"/>
      <c r="L245" s="733"/>
      <c r="M245" s="664">
        <f>SUM(J245:L245)</f>
        <v>0</v>
      </c>
      <c r="N245" s="734"/>
      <c r="O245" s="733"/>
      <c r="P245" s="733"/>
      <c r="Q245" s="664">
        <f>SUM(N245:P245)</f>
        <v>0</v>
      </c>
      <c r="R245" s="663">
        <f t="shared" ref="R245:T248" si="29">SUM(F245,J245,N245)</f>
        <v>0</v>
      </c>
      <c r="S245" s="555">
        <f t="shared" si="29"/>
        <v>0</v>
      </c>
      <c r="T245" s="555">
        <f t="shared" si="29"/>
        <v>0</v>
      </c>
      <c r="U245" s="664">
        <f>SUM(R245:T245)</f>
        <v>0</v>
      </c>
    </row>
    <row r="246" spans="1:21" outlineLevel="1" x14ac:dyDescent="0.25">
      <c r="B246" s="544"/>
      <c r="C246" s="545" t="s">
        <v>375</v>
      </c>
      <c r="D246" s="545">
        <v>4</v>
      </c>
      <c r="E246" s="545" t="s">
        <v>294</v>
      </c>
      <c r="F246" s="735">
        <f>'DUoS (t)'!$S$96</f>
        <v>4.07E-2</v>
      </c>
      <c r="G246" s="736">
        <f>'TUoS (t)'!$S$96</f>
        <v>0.1162</v>
      </c>
      <c r="H246" s="736">
        <f>'JSO (t)'!$S$96</f>
        <v>0</v>
      </c>
      <c r="I246" s="737">
        <f>SUM(F246:H246)</f>
        <v>0.15689999999999998</v>
      </c>
      <c r="J246" s="734"/>
      <c r="K246" s="733"/>
      <c r="L246" s="733"/>
      <c r="M246" s="664">
        <f>SUM(J246:L246)</f>
        <v>0</v>
      </c>
      <c r="N246" s="734"/>
      <c r="O246" s="733"/>
      <c r="P246" s="733"/>
      <c r="Q246" s="664">
        <f>SUM(N246:P246)</f>
        <v>0</v>
      </c>
      <c r="R246" s="663">
        <f t="shared" si="29"/>
        <v>4.07E-2</v>
      </c>
      <c r="S246" s="555">
        <f t="shared" si="29"/>
        <v>0.1162</v>
      </c>
      <c r="T246" s="555">
        <f t="shared" si="29"/>
        <v>0</v>
      </c>
      <c r="U246" s="664">
        <f>SUM(R246:T246)</f>
        <v>0.15689999999999998</v>
      </c>
    </row>
    <row r="247" spans="1:21" outlineLevel="1" x14ac:dyDescent="0.25">
      <c r="B247" s="544"/>
      <c r="C247" s="545" t="s">
        <v>376</v>
      </c>
      <c r="D247" s="545">
        <v>4</v>
      </c>
      <c r="E247" s="545" t="s">
        <v>294</v>
      </c>
      <c r="F247" s="735">
        <f>'DUoS (t)'!$T$96</f>
        <v>7.2700000000000001E-2</v>
      </c>
      <c r="G247" s="736">
        <f>'TUoS (t)'!$T$96</f>
        <v>0</v>
      </c>
      <c r="H247" s="736">
        <f>'JSO (t)'!$T$96</f>
        <v>0</v>
      </c>
      <c r="I247" s="737">
        <f>SUM(F247:H247)</f>
        <v>7.2700000000000001E-2</v>
      </c>
      <c r="J247" s="734"/>
      <c r="K247" s="733"/>
      <c r="L247" s="733"/>
      <c r="M247" s="664">
        <f>SUM(J247:L247)</f>
        <v>0</v>
      </c>
      <c r="N247" s="734"/>
      <c r="O247" s="733"/>
      <c r="P247" s="733"/>
      <c r="Q247" s="664">
        <f>SUM(N247:P247)</f>
        <v>0</v>
      </c>
      <c r="R247" s="663">
        <f t="shared" si="29"/>
        <v>7.2700000000000001E-2</v>
      </c>
      <c r="S247" s="555">
        <f t="shared" si="29"/>
        <v>0</v>
      </c>
      <c r="T247" s="555">
        <f t="shared" si="29"/>
        <v>0</v>
      </c>
      <c r="U247" s="664">
        <f>SUM(R247:T247)</f>
        <v>7.2700000000000001E-2</v>
      </c>
    </row>
    <row r="248" spans="1:21" outlineLevel="1" x14ac:dyDescent="0.25">
      <c r="B248" s="546"/>
      <c r="C248" s="547" t="s">
        <v>293</v>
      </c>
      <c r="D248" s="547"/>
      <c r="E248" s="547" t="s">
        <v>288</v>
      </c>
      <c r="F248" s="738">
        <f>'DUoS (t)'!$H$96</f>
        <v>4.3E-3</v>
      </c>
      <c r="G248" s="739">
        <f>'TUoS (t)'!$H$96</f>
        <v>8.8000000000000005E-3</v>
      </c>
      <c r="H248" s="739">
        <f>'JSO (t)'!$H$96</f>
        <v>8.9999999999999998E-4</v>
      </c>
      <c r="I248" s="740">
        <f>SUM(F248:H248)</f>
        <v>1.4E-2</v>
      </c>
      <c r="J248" s="560"/>
      <c r="K248" s="561"/>
      <c r="L248" s="561"/>
      <c r="M248" s="558">
        <f>SUM(J248:L248)</f>
        <v>0</v>
      </c>
      <c r="N248" s="560"/>
      <c r="O248" s="561"/>
      <c r="P248" s="561"/>
      <c r="Q248" s="558">
        <f>SUM(N248:P248)</f>
        <v>0</v>
      </c>
      <c r="R248" s="556">
        <f t="shared" si="29"/>
        <v>4.3E-3</v>
      </c>
      <c r="S248" s="557">
        <f t="shared" si="29"/>
        <v>8.8000000000000005E-3</v>
      </c>
      <c r="T248" s="557">
        <f t="shared" si="29"/>
        <v>8.9999999999999998E-4</v>
      </c>
      <c r="U248" s="558">
        <f>SUM(R248:T248)</f>
        <v>1.4E-2</v>
      </c>
    </row>
    <row r="249" spans="1:21" outlineLevel="1" x14ac:dyDescent="0.25">
      <c r="F249" s="741"/>
      <c r="G249" s="741"/>
      <c r="H249" s="741"/>
      <c r="I249" s="741"/>
    </row>
    <row r="250" spans="1:21" outlineLevel="1" x14ac:dyDescent="0.25">
      <c r="A250" s="559" t="s">
        <v>121</v>
      </c>
      <c r="F250" s="742"/>
      <c r="G250" s="742"/>
      <c r="H250" s="742"/>
      <c r="I250" s="742"/>
      <c r="J250" s="746"/>
      <c r="K250" s="746"/>
      <c r="L250" s="746"/>
      <c r="M250" s="746"/>
      <c r="N250" s="746"/>
      <c r="O250" s="746"/>
      <c r="P250" s="746"/>
      <c r="Q250" s="746"/>
      <c r="R250" s="746"/>
      <c r="S250" s="746"/>
      <c r="T250" s="746"/>
      <c r="U250" s="746"/>
    </row>
    <row r="251" spans="1:21" outlineLevel="1" x14ac:dyDescent="0.25">
      <c r="B251" s="542"/>
      <c r="C251" s="543"/>
      <c r="D251" s="543"/>
      <c r="E251" s="543" t="s">
        <v>315</v>
      </c>
      <c r="F251" s="743"/>
      <c r="G251" s="744"/>
      <c r="H251" s="744"/>
      <c r="I251" s="745"/>
      <c r="J251" s="552"/>
      <c r="K251" s="553"/>
      <c r="L251" s="553"/>
      <c r="M251" s="554"/>
      <c r="N251" s="552"/>
      <c r="O251" s="553"/>
      <c r="P251" s="553"/>
      <c r="Q251" s="554"/>
      <c r="R251" s="552"/>
      <c r="S251" s="553"/>
      <c r="T251" s="553"/>
      <c r="U251" s="554"/>
    </row>
    <row r="252" spans="1:21" outlineLevel="1" x14ac:dyDescent="0.25">
      <c r="B252" s="544"/>
      <c r="C252" s="545" t="s">
        <v>374</v>
      </c>
      <c r="D252" s="545"/>
      <c r="E252" s="545" t="s">
        <v>287</v>
      </c>
      <c r="F252" s="735">
        <f>'DUoS (t)'!$G$96*1</f>
        <v>0</v>
      </c>
      <c r="G252" s="736">
        <f>'TUoS (t)'!$G$96*1</f>
        <v>0</v>
      </c>
      <c r="H252" s="736">
        <f>'JSO (t)'!$G$96*1</f>
        <v>0</v>
      </c>
      <c r="I252" s="737">
        <f>SUM(F252:H252)</f>
        <v>0</v>
      </c>
      <c r="J252" s="734"/>
      <c r="K252" s="733">
        <f>-G252</f>
        <v>0</v>
      </c>
      <c r="L252" s="733"/>
      <c r="M252" s="664">
        <f>SUM(J252:L252)</f>
        <v>0</v>
      </c>
      <c r="N252" s="734">
        <f>ROUND(108691/365,4)</f>
        <v>297.78359999999998</v>
      </c>
      <c r="O252" s="733">
        <f>'[18]6.2 Inghams Burton'!$I$44</f>
        <v>107.417</v>
      </c>
      <c r="P252" s="733"/>
      <c r="Q252" s="664">
        <f>SUM(N252:P252)</f>
        <v>405.20060000000001</v>
      </c>
      <c r="R252" s="663">
        <f t="shared" ref="R252:T255" si="30">SUM(F252,J252,N252)</f>
        <v>297.78359999999998</v>
      </c>
      <c r="S252" s="555">
        <f t="shared" si="30"/>
        <v>107.417</v>
      </c>
      <c r="T252" s="555">
        <f t="shared" si="30"/>
        <v>0</v>
      </c>
      <c r="U252" s="664">
        <f>SUM(R252:T252)</f>
        <v>405.20060000000001</v>
      </c>
    </row>
    <row r="253" spans="1:21" outlineLevel="1" x14ac:dyDescent="0.25">
      <c r="B253" s="544"/>
      <c r="C253" s="545" t="s">
        <v>375</v>
      </c>
      <c r="D253" s="545">
        <v>4</v>
      </c>
      <c r="E253" s="545" t="s">
        <v>294</v>
      </c>
      <c r="F253" s="735">
        <f>'DUoS (t)'!$S$96</f>
        <v>4.07E-2</v>
      </c>
      <c r="G253" s="736">
        <f>'TUoS (t)'!$S$96</f>
        <v>0.1162</v>
      </c>
      <c r="H253" s="736">
        <f>'JSO (t)'!$S$96</f>
        <v>0</v>
      </c>
      <c r="I253" s="737">
        <f>SUM(F253:H253)</f>
        <v>0.15689999999999998</v>
      </c>
      <c r="J253" s="734"/>
      <c r="K253" s="733">
        <f>-G253</f>
        <v>-0.1162</v>
      </c>
      <c r="L253" s="733"/>
      <c r="M253" s="664">
        <f>SUM(J253:L253)</f>
        <v>-0.1162</v>
      </c>
      <c r="N253" s="734"/>
      <c r="O253" s="733">
        <f>'[18]6.2 Inghams Burton'!$I$45</f>
        <v>0.17349999999999999</v>
      </c>
      <c r="P253" s="733"/>
      <c r="Q253" s="664">
        <f>SUM(N253:P253)</f>
        <v>0.17349999999999999</v>
      </c>
      <c r="R253" s="663">
        <f t="shared" si="30"/>
        <v>4.07E-2</v>
      </c>
      <c r="S253" s="555">
        <f t="shared" si="30"/>
        <v>0.17349999999999999</v>
      </c>
      <c r="T253" s="555">
        <f t="shared" si="30"/>
        <v>0</v>
      </c>
      <c r="U253" s="664">
        <f>SUM(R253:T253)</f>
        <v>0.2142</v>
      </c>
    </row>
    <row r="254" spans="1:21" outlineLevel="1" x14ac:dyDescent="0.25">
      <c r="B254" s="544"/>
      <c r="C254" s="545" t="s">
        <v>376</v>
      </c>
      <c r="D254" s="545">
        <v>4</v>
      </c>
      <c r="E254" s="545" t="s">
        <v>294</v>
      </c>
      <c r="F254" s="735">
        <f>'DUoS (t)'!$T$96</f>
        <v>7.2700000000000001E-2</v>
      </c>
      <c r="G254" s="736">
        <f>'TUoS (t)'!$T$96</f>
        <v>0</v>
      </c>
      <c r="H254" s="736">
        <f>'JSO (t)'!$T$96</f>
        <v>0</v>
      </c>
      <c r="I254" s="737">
        <f>SUM(F254:H254)</f>
        <v>7.2700000000000001E-2</v>
      </c>
      <c r="J254" s="734"/>
      <c r="K254" s="733">
        <f>-G254</f>
        <v>0</v>
      </c>
      <c r="L254" s="733"/>
      <c r="M254" s="664">
        <f>SUM(J254:L254)</f>
        <v>0</v>
      </c>
      <c r="N254" s="734"/>
      <c r="O254" s="733"/>
      <c r="P254" s="733"/>
      <c r="Q254" s="664">
        <f>SUM(N254:P254)</f>
        <v>0</v>
      </c>
      <c r="R254" s="663">
        <f t="shared" si="30"/>
        <v>7.2700000000000001E-2</v>
      </c>
      <c r="S254" s="555">
        <f t="shared" si="30"/>
        <v>0</v>
      </c>
      <c r="T254" s="555">
        <f t="shared" si="30"/>
        <v>0</v>
      </c>
      <c r="U254" s="664">
        <f>SUM(R254:T254)</f>
        <v>7.2700000000000001E-2</v>
      </c>
    </row>
    <row r="255" spans="1:21" outlineLevel="1" x14ac:dyDescent="0.25">
      <c r="B255" s="546"/>
      <c r="C255" s="547" t="s">
        <v>293</v>
      </c>
      <c r="D255" s="547"/>
      <c r="E255" s="547" t="s">
        <v>288</v>
      </c>
      <c r="F255" s="738">
        <f>'DUoS (t)'!$H$96</f>
        <v>4.3E-3</v>
      </c>
      <c r="G255" s="739">
        <f>'TUoS (t)'!$H$96</f>
        <v>8.8000000000000005E-3</v>
      </c>
      <c r="H255" s="739">
        <f>'JSO (t)'!$H$96</f>
        <v>8.9999999999999998E-4</v>
      </c>
      <c r="I255" s="740">
        <f>SUM(F255:H255)</f>
        <v>1.4E-2</v>
      </c>
      <c r="J255" s="560"/>
      <c r="K255" s="561">
        <f>-G255</f>
        <v>-8.8000000000000005E-3</v>
      </c>
      <c r="L255" s="561"/>
      <c r="M255" s="558">
        <f>SUM(J255:L255)</f>
        <v>-8.8000000000000005E-3</v>
      </c>
      <c r="N255" s="560"/>
      <c r="O255" s="561">
        <f>'[18]6.1 Inghams Edinburgh'!$I$46</f>
        <v>0</v>
      </c>
      <c r="P255" s="561"/>
      <c r="Q255" s="558">
        <f>SUM(N255:P255)</f>
        <v>0</v>
      </c>
      <c r="R255" s="556">
        <f t="shared" si="30"/>
        <v>4.3E-3</v>
      </c>
      <c r="S255" s="557">
        <f t="shared" si="30"/>
        <v>0</v>
      </c>
      <c r="T255" s="557">
        <f t="shared" si="30"/>
        <v>8.9999999999999998E-4</v>
      </c>
      <c r="U255" s="558">
        <f>SUM(R255:T255)</f>
        <v>5.1999999999999998E-3</v>
      </c>
    </row>
    <row r="256" spans="1:21" outlineLevel="1" x14ac:dyDescent="0.25"/>
    <row r="257" spans="1:21" x14ac:dyDescent="0.25">
      <c r="A257" s="563" t="s">
        <v>383</v>
      </c>
    </row>
    <row r="258" spans="1:21" ht="16.5" thickBot="1" x14ac:dyDescent="0.3">
      <c r="A258" s="441" t="s">
        <v>124</v>
      </c>
    </row>
    <row r="259" spans="1:21" outlineLevel="1" x14ac:dyDescent="0.25">
      <c r="F259" s="921" t="s">
        <v>377</v>
      </c>
      <c r="G259" s="922"/>
      <c r="H259" s="922"/>
      <c r="I259" s="923"/>
      <c r="J259" s="924" t="s">
        <v>379</v>
      </c>
      <c r="K259" s="925"/>
      <c r="L259" s="925"/>
      <c r="M259" s="926"/>
      <c r="N259" s="924" t="s">
        <v>380</v>
      </c>
      <c r="O259" s="925"/>
      <c r="P259" s="925"/>
      <c r="Q259" s="926"/>
      <c r="R259" s="924" t="s">
        <v>378</v>
      </c>
      <c r="S259" s="925"/>
      <c r="T259" s="925"/>
      <c r="U259" s="926"/>
    </row>
    <row r="260" spans="1:21" ht="15.75" outlineLevel="1" thickBot="1" x14ac:dyDescent="0.3">
      <c r="F260" s="548" t="s">
        <v>282</v>
      </c>
      <c r="G260" s="549" t="s">
        <v>283</v>
      </c>
      <c r="H260" s="549" t="s">
        <v>284</v>
      </c>
      <c r="I260" s="550" t="s">
        <v>285</v>
      </c>
      <c r="J260" s="748" t="s">
        <v>282</v>
      </c>
      <c r="K260" s="749" t="s">
        <v>283</v>
      </c>
      <c r="L260" s="749" t="s">
        <v>284</v>
      </c>
      <c r="M260" s="750" t="s">
        <v>285</v>
      </c>
      <c r="N260" s="748" t="s">
        <v>282</v>
      </c>
      <c r="O260" s="749" t="s">
        <v>283</v>
      </c>
      <c r="P260" s="749" t="s">
        <v>284</v>
      </c>
      <c r="Q260" s="750" t="s">
        <v>285</v>
      </c>
      <c r="R260" s="748" t="s">
        <v>282</v>
      </c>
      <c r="S260" s="749" t="s">
        <v>283</v>
      </c>
      <c r="T260" s="749" t="s">
        <v>284</v>
      </c>
      <c r="U260" s="750" t="s">
        <v>285</v>
      </c>
    </row>
    <row r="261" spans="1:21" outlineLevel="1" x14ac:dyDescent="0.25">
      <c r="A261" s="559" t="s">
        <v>125</v>
      </c>
      <c r="F261" s="551"/>
      <c r="G261" s="551"/>
      <c r="H261" s="551"/>
      <c r="I261" s="551"/>
      <c r="J261" s="746"/>
      <c r="K261" s="746"/>
      <c r="L261" s="746"/>
      <c r="M261" s="746"/>
      <c r="N261" s="746"/>
      <c r="O261" s="746"/>
      <c r="P261" s="746"/>
      <c r="Q261" s="746"/>
      <c r="R261" s="746"/>
      <c r="S261" s="746"/>
      <c r="T261" s="746"/>
      <c r="U261" s="746"/>
    </row>
    <row r="262" spans="1:21" outlineLevel="1" x14ac:dyDescent="0.25">
      <c r="B262" s="542"/>
      <c r="C262" s="543"/>
      <c r="D262" s="543"/>
      <c r="E262" s="543" t="s">
        <v>315</v>
      </c>
      <c r="F262" s="552"/>
      <c r="G262" s="553"/>
      <c r="H262" s="553"/>
      <c r="I262" s="554"/>
      <c r="J262" s="552"/>
      <c r="K262" s="553"/>
      <c r="L262" s="553"/>
      <c r="M262" s="554"/>
      <c r="N262" s="552"/>
      <c r="O262" s="553"/>
      <c r="P262" s="553"/>
      <c r="Q262" s="554"/>
      <c r="R262" s="552"/>
      <c r="S262" s="553"/>
      <c r="T262" s="553"/>
      <c r="U262" s="554"/>
    </row>
    <row r="263" spans="1:21" outlineLevel="1" x14ac:dyDescent="0.25">
      <c r="B263" s="544"/>
      <c r="C263" s="545" t="s">
        <v>374</v>
      </c>
      <c r="D263" s="545"/>
      <c r="E263" s="545" t="s">
        <v>287</v>
      </c>
      <c r="F263" s="663">
        <f>'DUoS (t)'!$G$96*1</f>
        <v>0</v>
      </c>
      <c r="G263" s="555">
        <f>'TUoS (t)'!$G$96*1</f>
        <v>0</v>
      </c>
      <c r="H263" s="555">
        <f>'JSO (t)'!$G$96*1</f>
        <v>0</v>
      </c>
      <c r="I263" s="664">
        <f>SUM(F263:H263)</f>
        <v>0</v>
      </c>
      <c r="J263" s="734"/>
      <c r="K263" s="733">
        <f>-G263</f>
        <v>0</v>
      </c>
      <c r="L263" s="733"/>
      <c r="M263" s="664">
        <f>SUM(J263:L263)</f>
        <v>0</v>
      </c>
      <c r="N263" s="734"/>
      <c r="O263" s="733">
        <f>'[18]3.2 Nyrstar ZSStn'!$I$44</f>
        <v>392.8306</v>
      </c>
      <c r="P263" s="733"/>
      <c r="Q263" s="664">
        <f>SUM(N263:P263)</f>
        <v>392.8306</v>
      </c>
      <c r="R263" s="663">
        <f t="shared" ref="R263:T266" si="31">SUM(F263,J263,N263)</f>
        <v>0</v>
      </c>
      <c r="S263" s="555">
        <f t="shared" si="31"/>
        <v>392.8306</v>
      </c>
      <c r="T263" s="555">
        <f t="shared" si="31"/>
        <v>0</v>
      </c>
      <c r="U263" s="664">
        <f>SUM(R263:T263)</f>
        <v>392.8306</v>
      </c>
    </row>
    <row r="264" spans="1:21" outlineLevel="1" x14ac:dyDescent="0.25">
      <c r="B264" s="544"/>
      <c r="C264" s="545" t="s">
        <v>375</v>
      </c>
      <c r="D264" s="545">
        <v>4</v>
      </c>
      <c r="E264" s="545" t="s">
        <v>294</v>
      </c>
      <c r="F264" s="663">
        <f>'DUoS (t)'!$S$96</f>
        <v>4.07E-2</v>
      </c>
      <c r="G264" s="555">
        <f>'TUoS (t)'!$S$96</f>
        <v>0.1162</v>
      </c>
      <c r="H264" s="555">
        <f>'JSO (t)'!$S$96</f>
        <v>0</v>
      </c>
      <c r="I264" s="664">
        <f>SUM(F264:H264)</f>
        <v>0.15689999999999998</v>
      </c>
      <c r="J264" s="734"/>
      <c r="K264" s="733">
        <f>-G264</f>
        <v>-0.1162</v>
      </c>
      <c r="L264" s="733"/>
      <c r="M264" s="664">
        <f>SUM(J264:L264)</f>
        <v>-0.1162</v>
      </c>
      <c r="N264" s="734"/>
      <c r="O264" s="733">
        <f>'[18]3.2 Nyrstar ZSStn'!$I$45</f>
        <v>0.21640000000000001</v>
      </c>
      <c r="P264" s="733"/>
      <c r="Q264" s="664">
        <f>SUM(N264:P264)</f>
        <v>0.21640000000000001</v>
      </c>
      <c r="R264" s="663">
        <f t="shared" si="31"/>
        <v>4.07E-2</v>
      </c>
      <c r="S264" s="555">
        <f t="shared" si="31"/>
        <v>0.21640000000000001</v>
      </c>
      <c r="T264" s="555">
        <f t="shared" si="31"/>
        <v>0</v>
      </c>
      <c r="U264" s="664">
        <f>SUM(R264:T264)</f>
        <v>0.2571</v>
      </c>
    </row>
    <row r="265" spans="1:21" outlineLevel="1" x14ac:dyDescent="0.25">
      <c r="B265" s="544"/>
      <c r="C265" s="545" t="s">
        <v>376</v>
      </c>
      <c r="D265" s="545">
        <v>4</v>
      </c>
      <c r="E265" s="545" t="s">
        <v>294</v>
      </c>
      <c r="F265" s="663">
        <f>'DUoS (t)'!$T$96</f>
        <v>7.2700000000000001E-2</v>
      </c>
      <c r="G265" s="555">
        <f>'TUoS (t)'!$T$96</f>
        <v>0</v>
      </c>
      <c r="H265" s="555">
        <f>'JSO (t)'!$T$96</f>
        <v>0</v>
      </c>
      <c r="I265" s="664">
        <f>SUM(F265:H265)</f>
        <v>7.2700000000000001E-2</v>
      </c>
      <c r="J265" s="734"/>
      <c r="K265" s="733">
        <f>-G265</f>
        <v>0</v>
      </c>
      <c r="L265" s="733"/>
      <c r="M265" s="664">
        <f>SUM(J265:L265)</f>
        <v>0</v>
      </c>
      <c r="N265" s="734"/>
      <c r="O265" s="733"/>
      <c r="P265" s="733"/>
      <c r="Q265" s="664">
        <f>SUM(N265:P265)</f>
        <v>0</v>
      </c>
      <c r="R265" s="663">
        <f t="shared" si="31"/>
        <v>7.2700000000000001E-2</v>
      </c>
      <c r="S265" s="555">
        <f t="shared" si="31"/>
        <v>0</v>
      </c>
      <c r="T265" s="555">
        <f t="shared" si="31"/>
        <v>0</v>
      </c>
      <c r="U265" s="664">
        <f>SUM(R265:T265)</f>
        <v>7.2700000000000001E-2</v>
      </c>
    </row>
    <row r="266" spans="1:21" outlineLevel="1" x14ac:dyDescent="0.25">
      <c r="B266" s="546"/>
      <c r="C266" s="547" t="s">
        <v>293</v>
      </c>
      <c r="D266" s="547"/>
      <c r="E266" s="547" t="s">
        <v>288</v>
      </c>
      <c r="F266" s="556">
        <f>'DUoS (t)'!$H$96</f>
        <v>4.3E-3</v>
      </c>
      <c r="G266" s="557">
        <f>'TUoS (t)'!$H$96</f>
        <v>8.8000000000000005E-3</v>
      </c>
      <c r="H266" s="557">
        <f>'JSO (t)'!$H$96</f>
        <v>8.9999999999999998E-4</v>
      </c>
      <c r="I266" s="558">
        <f>SUM(F266:H266)</f>
        <v>1.4E-2</v>
      </c>
      <c r="J266" s="560"/>
      <c r="K266" s="561">
        <f>-G266</f>
        <v>-8.8000000000000005E-3</v>
      </c>
      <c r="L266" s="561"/>
      <c r="M266" s="558">
        <f>SUM(J266:L266)</f>
        <v>-8.8000000000000005E-3</v>
      </c>
      <c r="N266" s="560"/>
      <c r="O266" s="561">
        <f>'[18]3.2 Nyrstar ZSStn'!$I$46</f>
        <v>0</v>
      </c>
      <c r="P266" s="561"/>
      <c r="Q266" s="558">
        <f>SUM(N266:P266)</f>
        <v>0</v>
      </c>
      <c r="R266" s="556">
        <f t="shared" si="31"/>
        <v>4.3E-3</v>
      </c>
      <c r="S266" s="557">
        <f t="shared" si="31"/>
        <v>0</v>
      </c>
      <c r="T266" s="557">
        <f t="shared" si="31"/>
        <v>8.9999999999999998E-4</v>
      </c>
      <c r="U266" s="558">
        <f>SUM(R266:T266)</f>
        <v>5.1999999999999998E-3</v>
      </c>
    </row>
    <row r="267" spans="1:21" outlineLevel="1" x14ac:dyDescent="0.25">
      <c r="F267" s="414"/>
      <c r="G267" s="414"/>
      <c r="H267" s="414"/>
      <c r="I267" s="414"/>
    </row>
    <row r="268" spans="1:21" outlineLevel="1" x14ac:dyDescent="0.25">
      <c r="A268" s="559" t="s">
        <v>127</v>
      </c>
      <c r="F268" s="746"/>
      <c r="G268" s="746"/>
      <c r="H268" s="746"/>
      <c r="I268" s="746"/>
      <c r="J268" s="746"/>
      <c r="K268" s="746"/>
      <c r="L268" s="746"/>
      <c r="M268" s="746"/>
      <c r="N268" s="746"/>
      <c r="O268" s="746"/>
      <c r="P268" s="746"/>
      <c r="Q268" s="746"/>
      <c r="R268" s="746"/>
      <c r="S268" s="746"/>
      <c r="T268" s="746"/>
      <c r="U268" s="746"/>
    </row>
    <row r="269" spans="1:21" outlineLevel="1" x14ac:dyDescent="0.25">
      <c r="B269" s="542"/>
      <c r="C269" s="543"/>
      <c r="D269" s="543"/>
      <c r="E269" s="543" t="s">
        <v>315</v>
      </c>
      <c r="F269" s="552"/>
      <c r="G269" s="553"/>
      <c r="H269" s="553"/>
      <c r="I269" s="554"/>
      <c r="J269" s="552"/>
      <c r="K269" s="553"/>
      <c r="L269" s="553"/>
      <c r="M269" s="554"/>
      <c r="N269" s="552"/>
      <c r="O269" s="553"/>
      <c r="P269" s="553"/>
      <c r="Q269" s="554"/>
      <c r="R269" s="552"/>
      <c r="S269" s="553"/>
      <c r="T269" s="553"/>
      <c r="U269" s="554"/>
    </row>
    <row r="270" spans="1:21" outlineLevel="1" x14ac:dyDescent="0.25">
      <c r="B270" s="544"/>
      <c r="C270" s="545" t="s">
        <v>374</v>
      </c>
      <c r="D270" s="545"/>
      <c r="E270" s="545" t="s">
        <v>287</v>
      </c>
      <c r="F270" s="663">
        <f>'DUoS (t)'!$G$96*1</f>
        <v>0</v>
      </c>
      <c r="G270" s="555">
        <f>'TUoS (t)'!$G$96*1</f>
        <v>0</v>
      </c>
      <c r="H270" s="555">
        <f>'JSO (t)'!$G$96*1</f>
        <v>0</v>
      </c>
      <c r="I270" s="664">
        <f>SUM(F270:H270)</f>
        <v>0</v>
      </c>
      <c r="J270" s="734"/>
      <c r="K270" s="733">
        <f>-G270</f>
        <v>0</v>
      </c>
      <c r="L270" s="733"/>
      <c r="M270" s="664">
        <f>SUM(J270:L270)</f>
        <v>0</v>
      </c>
      <c r="N270" s="734"/>
      <c r="O270" s="733">
        <f>'[18]7.17 Ad Bri'!$I$44</f>
        <v>133.51089999999999</v>
      </c>
      <c r="P270" s="733"/>
      <c r="Q270" s="664">
        <f>SUM(N270:P270)</f>
        <v>133.51089999999999</v>
      </c>
      <c r="R270" s="663">
        <f t="shared" ref="R270:T273" si="32">SUM(F270,J270,N270)</f>
        <v>0</v>
      </c>
      <c r="S270" s="555">
        <f t="shared" si="32"/>
        <v>133.51089999999999</v>
      </c>
      <c r="T270" s="555">
        <f t="shared" si="32"/>
        <v>0</v>
      </c>
      <c r="U270" s="664">
        <f>SUM(R270:T270)</f>
        <v>133.51089999999999</v>
      </c>
    </row>
    <row r="271" spans="1:21" outlineLevel="1" x14ac:dyDescent="0.25">
      <c r="B271" s="544"/>
      <c r="C271" s="545" t="s">
        <v>375</v>
      </c>
      <c r="D271" s="545">
        <v>4</v>
      </c>
      <c r="E271" s="545" t="s">
        <v>294</v>
      </c>
      <c r="F271" s="663">
        <f>'DUoS (t)'!$S$96</f>
        <v>4.07E-2</v>
      </c>
      <c r="G271" s="555">
        <f>'TUoS (t)'!$S$96</f>
        <v>0.1162</v>
      </c>
      <c r="H271" s="555">
        <f>'JSO (t)'!$S$96</f>
        <v>0</v>
      </c>
      <c r="I271" s="664">
        <f>SUM(F271:H271)</f>
        <v>0.15689999999999998</v>
      </c>
      <c r="J271" s="734"/>
      <c r="K271" s="733">
        <f>-G271</f>
        <v>-0.1162</v>
      </c>
      <c r="L271" s="733"/>
      <c r="M271" s="664">
        <f>SUM(J271:L271)</f>
        <v>-0.1162</v>
      </c>
      <c r="N271" s="734"/>
      <c r="O271" s="733">
        <f>'[18]7.17 Ad Bri'!$I$45</f>
        <v>0.17860000000000001</v>
      </c>
      <c r="P271" s="733"/>
      <c r="Q271" s="664">
        <f>SUM(N271:P271)</f>
        <v>0.17860000000000001</v>
      </c>
      <c r="R271" s="663">
        <f t="shared" si="32"/>
        <v>4.07E-2</v>
      </c>
      <c r="S271" s="555">
        <f t="shared" si="32"/>
        <v>0.17860000000000001</v>
      </c>
      <c r="T271" s="555">
        <f t="shared" si="32"/>
        <v>0</v>
      </c>
      <c r="U271" s="664">
        <f>SUM(R271:T271)</f>
        <v>0.21929999999999999</v>
      </c>
    </row>
    <row r="272" spans="1:21" outlineLevel="1" x14ac:dyDescent="0.25">
      <c r="B272" s="544"/>
      <c r="C272" s="545" t="s">
        <v>376</v>
      </c>
      <c r="D272" s="545">
        <v>4</v>
      </c>
      <c r="E272" s="545" t="s">
        <v>294</v>
      </c>
      <c r="F272" s="663">
        <f>'DUoS (t)'!$T$96</f>
        <v>7.2700000000000001E-2</v>
      </c>
      <c r="G272" s="555">
        <f>'TUoS (t)'!$T$96</f>
        <v>0</v>
      </c>
      <c r="H272" s="555">
        <f>'JSO (t)'!$T$96</f>
        <v>0</v>
      </c>
      <c r="I272" s="664">
        <f>SUM(F272:H272)</f>
        <v>7.2700000000000001E-2</v>
      </c>
      <c r="J272" s="734"/>
      <c r="K272" s="733">
        <f>-G272</f>
        <v>0</v>
      </c>
      <c r="L272" s="733"/>
      <c r="M272" s="664">
        <f>SUM(J272:L272)</f>
        <v>0</v>
      </c>
      <c r="N272" s="734"/>
      <c r="O272" s="733"/>
      <c r="P272" s="733"/>
      <c r="Q272" s="664">
        <f>SUM(N272:P272)</f>
        <v>0</v>
      </c>
      <c r="R272" s="663">
        <f t="shared" si="32"/>
        <v>7.2700000000000001E-2</v>
      </c>
      <c r="S272" s="555">
        <f t="shared" si="32"/>
        <v>0</v>
      </c>
      <c r="T272" s="555">
        <f t="shared" si="32"/>
        <v>0</v>
      </c>
      <c r="U272" s="664">
        <f>SUM(R272:T272)</f>
        <v>7.2700000000000001E-2</v>
      </c>
    </row>
    <row r="273" spans="1:21" outlineLevel="1" x14ac:dyDescent="0.25">
      <c r="B273" s="546"/>
      <c r="C273" s="547" t="s">
        <v>293</v>
      </c>
      <c r="D273" s="547"/>
      <c r="E273" s="547" t="s">
        <v>288</v>
      </c>
      <c r="F273" s="556">
        <f>'DUoS (t)'!$H$96</f>
        <v>4.3E-3</v>
      </c>
      <c r="G273" s="557">
        <f>'TUoS (t)'!$H$96</f>
        <v>8.8000000000000005E-3</v>
      </c>
      <c r="H273" s="557">
        <f>'JSO (t)'!$H$96</f>
        <v>8.9999999999999998E-4</v>
      </c>
      <c r="I273" s="558">
        <f>SUM(F273:H273)</f>
        <v>1.4E-2</v>
      </c>
      <c r="J273" s="560"/>
      <c r="K273" s="561">
        <f>-G273</f>
        <v>-8.8000000000000005E-3</v>
      </c>
      <c r="L273" s="561"/>
      <c r="M273" s="558">
        <f>SUM(J273:L273)</f>
        <v>-8.8000000000000005E-3</v>
      </c>
      <c r="N273" s="560"/>
      <c r="O273" s="561">
        <f>'[18]7.17 Ad Bri'!$I$46</f>
        <v>0</v>
      </c>
      <c r="P273" s="561"/>
      <c r="Q273" s="558">
        <f>SUM(N273:P273)</f>
        <v>0</v>
      </c>
      <c r="R273" s="556">
        <f t="shared" si="32"/>
        <v>4.3E-3</v>
      </c>
      <c r="S273" s="557">
        <f t="shared" si="32"/>
        <v>0</v>
      </c>
      <c r="T273" s="557">
        <f t="shared" si="32"/>
        <v>8.9999999999999998E-4</v>
      </c>
      <c r="U273" s="558">
        <f>SUM(R273:T273)</f>
        <v>5.1999999999999998E-3</v>
      </c>
    </row>
    <row r="274" spans="1:21" outlineLevel="1" x14ac:dyDescent="0.25">
      <c r="F274" s="414"/>
      <c r="G274" s="414"/>
      <c r="H274" s="414"/>
      <c r="I274" s="414"/>
    </row>
    <row r="275" spans="1:21" outlineLevel="1" x14ac:dyDescent="0.25">
      <c r="A275" s="559" t="s">
        <v>128</v>
      </c>
      <c r="F275" s="746"/>
      <c r="G275" s="746"/>
      <c r="H275" s="746"/>
      <c r="I275" s="746"/>
      <c r="J275" s="746"/>
      <c r="K275" s="746"/>
      <c r="L275" s="746"/>
      <c r="M275" s="746"/>
      <c r="N275" s="746"/>
      <c r="O275" s="746"/>
      <c r="P275" s="746"/>
      <c r="Q275" s="746"/>
      <c r="R275" s="746"/>
      <c r="S275" s="746"/>
      <c r="T275" s="746"/>
      <c r="U275" s="746"/>
    </row>
    <row r="276" spans="1:21" outlineLevel="1" x14ac:dyDescent="0.25">
      <c r="B276" s="542"/>
      <c r="C276" s="543"/>
      <c r="D276" s="543"/>
      <c r="E276" s="543" t="s">
        <v>315</v>
      </c>
      <c r="F276" s="552"/>
      <c r="G276" s="553"/>
      <c r="H276" s="553"/>
      <c r="I276" s="554"/>
      <c r="J276" s="552"/>
      <c r="K276" s="553"/>
      <c r="L276" s="553"/>
      <c r="M276" s="554"/>
      <c r="N276" s="552"/>
      <c r="O276" s="553"/>
      <c r="P276" s="553"/>
      <c r="Q276" s="554"/>
      <c r="R276" s="552"/>
      <c r="S276" s="553"/>
      <c r="T276" s="553"/>
      <c r="U276" s="554"/>
    </row>
    <row r="277" spans="1:21" outlineLevel="1" x14ac:dyDescent="0.25">
      <c r="B277" s="544"/>
      <c r="C277" s="545" t="s">
        <v>374</v>
      </c>
      <c r="D277" s="545"/>
      <c r="E277" s="545" t="s">
        <v>287</v>
      </c>
      <c r="F277" s="663">
        <f>'DUoS (t)'!$G$96*1</f>
        <v>0</v>
      </c>
      <c r="G277" s="555">
        <f>'TUoS (t)'!$G$96*1</f>
        <v>0</v>
      </c>
      <c r="H277" s="555">
        <f>'JSO (t)'!$G$96*1</f>
        <v>0</v>
      </c>
      <c r="I277" s="664">
        <f>SUM(F277:H277)</f>
        <v>0</v>
      </c>
      <c r="J277" s="734"/>
      <c r="K277" s="733">
        <f>-G277</f>
        <v>0</v>
      </c>
      <c r="L277" s="733"/>
      <c r="M277" s="664">
        <f>SUM(J277:L277)</f>
        <v>0</v>
      </c>
      <c r="N277" s="734"/>
      <c r="O277" s="733">
        <f>'[18]5.1 Green Tri'!$I$44</f>
        <v>165.33070000000001</v>
      </c>
      <c r="P277" s="733"/>
      <c r="Q277" s="664">
        <f>SUM(N277:P277)</f>
        <v>165.33070000000001</v>
      </c>
      <c r="R277" s="663">
        <f t="shared" ref="R277:T280" si="33">SUM(F277,J277,N277)</f>
        <v>0</v>
      </c>
      <c r="S277" s="555">
        <f t="shared" si="33"/>
        <v>165.33070000000001</v>
      </c>
      <c r="T277" s="555">
        <f t="shared" si="33"/>
        <v>0</v>
      </c>
      <c r="U277" s="664">
        <f>SUM(R277:T277)</f>
        <v>165.33070000000001</v>
      </c>
    </row>
    <row r="278" spans="1:21" outlineLevel="1" x14ac:dyDescent="0.25">
      <c r="B278" s="544"/>
      <c r="C278" s="545" t="s">
        <v>375</v>
      </c>
      <c r="D278" s="545">
        <v>4</v>
      </c>
      <c r="E278" s="545" t="s">
        <v>294</v>
      </c>
      <c r="F278" s="663">
        <f>'DUoS (t)'!$S$96</f>
        <v>4.07E-2</v>
      </c>
      <c r="G278" s="555">
        <f>'TUoS (t)'!$S$96</f>
        <v>0.1162</v>
      </c>
      <c r="H278" s="555">
        <f>'JSO (t)'!$S$96</f>
        <v>0</v>
      </c>
      <c r="I278" s="664">
        <f>SUM(F278:H278)</f>
        <v>0.15689999999999998</v>
      </c>
      <c r="J278" s="734"/>
      <c r="K278" s="733">
        <f>-G278</f>
        <v>-0.1162</v>
      </c>
      <c r="L278" s="733"/>
      <c r="M278" s="664">
        <f>SUM(J278:L278)</f>
        <v>-0.1162</v>
      </c>
      <c r="N278" s="734"/>
      <c r="O278" s="733">
        <f>'[18]5.1 Green Tri'!$I$45</f>
        <v>0.219</v>
      </c>
      <c r="P278" s="733"/>
      <c r="Q278" s="664">
        <f>SUM(N278:P278)</f>
        <v>0.219</v>
      </c>
      <c r="R278" s="663">
        <f t="shared" si="33"/>
        <v>4.07E-2</v>
      </c>
      <c r="S278" s="555">
        <f t="shared" si="33"/>
        <v>0.219</v>
      </c>
      <c r="T278" s="555">
        <f t="shared" si="33"/>
        <v>0</v>
      </c>
      <c r="U278" s="664">
        <f>SUM(R278:T278)</f>
        <v>0.25969999999999999</v>
      </c>
    </row>
    <row r="279" spans="1:21" outlineLevel="1" x14ac:dyDescent="0.25">
      <c r="B279" s="544"/>
      <c r="C279" s="545" t="s">
        <v>376</v>
      </c>
      <c r="D279" s="545">
        <v>4</v>
      </c>
      <c r="E279" s="545" t="s">
        <v>294</v>
      </c>
      <c r="F279" s="663">
        <f>'DUoS (t)'!$T$96</f>
        <v>7.2700000000000001E-2</v>
      </c>
      <c r="G279" s="555">
        <f>'TUoS (t)'!$T$96</f>
        <v>0</v>
      </c>
      <c r="H279" s="555">
        <f>'JSO (t)'!$T$96</f>
        <v>0</v>
      </c>
      <c r="I279" s="664">
        <f>SUM(F279:H279)</f>
        <v>7.2700000000000001E-2</v>
      </c>
      <c r="J279" s="734"/>
      <c r="K279" s="733">
        <f>-G279</f>
        <v>0</v>
      </c>
      <c r="L279" s="733"/>
      <c r="M279" s="664">
        <f>SUM(J279:L279)</f>
        <v>0</v>
      </c>
      <c r="N279" s="734"/>
      <c r="O279" s="733"/>
      <c r="P279" s="733"/>
      <c r="Q279" s="664">
        <f>SUM(N279:P279)</f>
        <v>0</v>
      </c>
      <c r="R279" s="663">
        <f t="shared" si="33"/>
        <v>7.2700000000000001E-2</v>
      </c>
      <c r="S279" s="555">
        <f t="shared" si="33"/>
        <v>0</v>
      </c>
      <c r="T279" s="555">
        <f t="shared" si="33"/>
        <v>0</v>
      </c>
      <c r="U279" s="664">
        <f>SUM(R279:T279)</f>
        <v>7.2700000000000001E-2</v>
      </c>
    </row>
    <row r="280" spans="1:21" outlineLevel="1" x14ac:dyDescent="0.25">
      <c r="B280" s="546"/>
      <c r="C280" s="547" t="s">
        <v>293</v>
      </c>
      <c r="D280" s="547"/>
      <c r="E280" s="547" t="s">
        <v>288</v>
      </c>
      <c r="F280" s="556">
        <f>'DUoS (t)'!$H$96</f>
        <v>4.3E-3</v>
      </c>
      <c r="G280" s="557">
        <f>'TUoS (t)'!$H$96</f>
        <v>8.8000000000000005E-3</v>
      </c>
      <c r="H280" s="557">
        <f>'JSO (t)'!$H$96</f>
        <v>8.9999999999999998E-4</v>
      </c>
      <c r="I280" s="558">
        <f>SUM(F280:H280)</f>
        <v>1.4E-2</v>
      </c>
      <c r="J280" s="560"/>
      <c r="K280" s="561">
        <f>-G280</f>
        <v>-8.8000000000000005E-3</v>
      </c>
      <c r="L280" s="561"/>
      <c r="M280" s="558">
        <f>SUM(J280:L280)</f>
        <v>-8.8000000000000005E-3</v>
      </c>
      <c r="N280" s="560"/>
      <c r="O280" s="561">
        <f>'[18]5.1 Green Tri'!$I$46</f>
        <v>0</v>
      </c>
      <c r="P280" s="561"/>
      <c r="Q280" s="558">
        <f>SUM(N280:P280)</f>
        <v>0</v>
      </c>
      <c r="R280" s="556">
        <f t="shared" si="33"/>
        <v>4.3E-3</v>
      </c>
      <c r="S280" s="557">
        <f t="shared" si="33"/>
        <v>0</v>
      </c>
      <c r="T280" s="557">
        <f t="shared" si="33"/>
        <v>8.9999999999999998E-4</v>
      </c>
      <c r="U280" s="558">
        <f>SUM(R280:T280)</f>
        <v>5.1999999999999998E-3</v>
      </c>
    </row>
    <row r="281" spans="1:21" outlineLevel="1" x14ac:dyDescent="0.25">
      <c r="F281" s="414"/>
      <c r="G281" s="414"/>
      <c r="H281" s="414"/>
      <c r="I281" s="414"/>
    </row>
    <row r="282" spans="1:21" outlineLevel="1" x14ac:dyDescent="0.25">
      <c r="A282" s="559" t="s">
        <v>129</v>
      </c>
      <c r="F282" s="746"/>
      <c r="G282" s="746"/>
      <c r="H282" s="746"/>
      <c r="I282" s="746"/>
      <c r="J282" s="746"/>
      <c r="K282" s="746"/>
      <c r="L282" s="746"/>
      <c r="M282" s="746"/>
      <c r="N282" s="746"/>
      <c r="O282" s="746"/>
      <c r="P282" s="746"/>
      <c r="Q282" s="746"/>
      <c r="R282" s="746"/>
      <c r="S282" s="746"/>
      <c r="T282" s="746"/>
      <c r="U282" s="746"/>
    </row>
    <row r="283" spans="1:21" outlineLevel="1" x14ac:dyDescent="0.25">
      <c r="B283" s="542"/>
      <c r="C283" s="543"/>
      <c r="D283" s="543"/>
      <c r="E283" s="543" t="s">
        <v>315</v>
      </c>
      <c r="F283" s="552"/>
      <c r="G283" s="553"/>
      <c r="H283" s="553"/>
      <c r="I283" s="554"/>
      <c r="J283" s="552"/>
      <c r="K283" s="553"/>
      <c r="L283" s="553"/>
      <c r="M283" s="554"/>
      <c r="N283" s="552"/>
      <c r="O283" s="553"/>
      <c r="P283" s="553"/>
      <c r="Q283" s="554"/>
      <c r="R283" s="552"/>
      <c r="S283" s="553"/>
      <c r="T283" s="553"/>
      <c r="U283" s="554"/>
    </row>
    <row r="284" spans="1:21" outlineLevel="1" x14ac:dyDescent="0.25">
      <c r="B284" s="544"/>
      <c r="C284" s="545" t="s">
        <v>374</v>
      </c>
      <c r="D284" s="545"/>
      <c r="E284" s="545" t="s">
        <v>287</v>
      </c>
      <c r="F284" s="663">
        <f>'DUoS (t)'!$G$96*1</f>
        <v>0</v>
      </c>
      <c r="G284" s="555">
        <f>'TUoS (t)'!$G$96*1</f>
        <v>0</v>
      </c>
      <c r="H284" s="555">
        <f>'JSO (t)'!$G$96*1</f>
        <v>0</v>
      </c>
      <c r="I284" s="664">
        <f>SUM(F284:H284)</f>
        <v>0</v>
      </c>
      <c r="J284" s="734"/>
      <c r="K284" s="733">
        <f>-G284</f>
        <v>0</v>
      </c>
      <c r="L284" s="733"/>
      <c r="M284" s="664">
        <f>SUM(J284:L284)</f>
        <v>0</v>
      </c>
      <c r="N284" s="734"/>
      <c r="O284" s="733">
        <f>'[18]8.4 RA Hospital'!$I$44</f>
        <v>155.76759999999999</v>
      </c>
      <c r="P284" s="733"/>
      <c r="Q284" s="664">
        <f>SUM(N284:P284)</f>
        <v>155.76759999999999</v>
      </c>
      <c r="R284" s="663">
        <f t="shared" ref="R284:T287" si="34">SUM(F284,J284,N284)</f>
        <v>0</v>
      </c>
      <c r="S284" s="555">
        <f t="shared" si="34"/>
        <v>155.76759999999999</v>
      </c>
      <c r="T284" s="555">
        <f t="shared" si="34"/>
        <v>0</v>
      </c>
      <c r="U284" s="664">
        <f>SUM(R284:T284)</f>
        <v>155.76759999999999</v>
      </c>
    </row>
    <row r="285" spans="1:21" outlineLevel="1" x14ac:dyDescent="0.25">
      <c r="B285" s="544"/>
      <c r="C285" s="545" t="s">
        <v>375</v>
      </c>
      <c r="D285" s="545">
        <v>4</v>
      </c>
      <c r="E285" s="545" t="s">
        <v>294</v>
      </c>
      <c r="F285" s="663">
        <f>'DUoS (t)'!$S$96</f>
        <v>4.07E-2</v>
      </c>
      <c r="G285" s="555">
        <f>'TUoS (t)'!$S$96</f>
        <v>0.1162</v>
      </c>
      <c r="H285" s="555">
        <f>'JSO (t)'!$S$96</f>
        <v>0</v>
      </c>
      <c r="I285" s="664">
        <f>SUM(F285:H285)</f>
        <v>0.15689999999999998</v>
      </c>
      <c r="J285" s="734"/>
      <c r="K285" s="733">
        <f>-G285</f>
        <v>-0.1162</v>
      </c>
      <c r="L285" s="733"/>
      <c r="M285" s="664">
        <f>SUM(J285:L285)</f>
        <v>-0.1162</v>
      </c>
      <c r="N285" s="734"/>
      <c r="O285" s="733">
        <f>'[18]8.4 RA Hospital'!$I$45</f>
        <v>0.19700000000000001</v>
      </c>
      <c r="P285" s="733"/>
      <c r="Q285" s="664">
        <f>SUM(N285:P285)</f>
        <v>0.19700000000000001</v>
      </c>
      <c r="R285" s="663">
        <f t="shared" si="34"/>
        <v>4.07E-2</v>
      </c>
      <c r="S285" s="555">
        <f t="shared" si="34"/>
        <v>0.19700000000000001</v>
      </c>
      <c r="T285" s="555">
        <f t="shared" si="34"/>
        <v>0</v>
      </c>
      <c r="U285" s="664">
        <f>SUM(R285:T285)</f>
        <v>0.23770000000000002</v>
      </c>
    </row>
    <row r="286" spans="1:21" outlineLevel="1" x14ac:dyDescent="0.25">
      <c r="B286" s="544"/>
      <c r="C286" s="545" t="s">
        <v>376</v>
      </c>
      <c r="D286" s="545">
        <v>4</v>
      </c>
      <c r="E286" s="545" t="s">
        <v>294</v>
      </c>
      <c r="F286" s="663">
        <f>'DUoS (t)'!$T$96</f>
        <v>7.2700000000000001E-2</v>
      </c>
      <c r="G286" s="555">
        <f>'TUoS (t)'!$T$96</f>
        <v>0</v>
      </c>
      <c r="H286" s="555">
        <f>'JSO (t)'!$T$96</f>
        <v>0</v>
      </c>
      <c r="I286" s="664">
        <f>SUM(F286:H286)</f>
        <v>7.2700000000000001E-2</v>
      </c>
      <c r="J286" s="734"/>
      <c r="K286" s="733">
        <f>-G286</f>
        <v>0</v>
      </c>
      <c r="L286" s="733"/>
      <c r="M286" s="664">
        <f>SUM(J286:L286)</f>
        <v>0</v>
      </c>
      <c r="N286" s="734"/>
      <c r="O286" s="733"/>
      <c r="P286" s="733"/>
      <c r="Q286" s="664">
        <f>SUM(N286:P286)</f>
        <v>0</v>
      </c>
      <c r="R286" s="663">
        <f t="shared" si="34"/>
        <v>7.2700000000000001E-2</v>
      </c>
      <c r="S286" s="555">
        <f t="shared" si="34"/>
        <v>0</v>
      </c>
      <c r="T286" s="555">
        <f t="shared" si="34"/>
        <v>0</v>
      </c>
      <c r="U286" s="664">
        <f>SUM(R286:T286)</f>
        <v>7.2700000000000001E-2</v>
      </c>
    </row>
    <row r="287" spans="1:21" outlineLevel="1" x14ac:dyDescent="0.25">
      <c r="B287" s="546"/>
      <c r="C287" s="547" t="s">
        <v>293</v>
      </c>
      <c r="D287" s="547"/>
      <c r="E287" s="547" t="s">
        <v>288</v>
      </c>
      <c r="F287" s="556">
        <f>'DUoS (t)'!$H$96</f>
        <v>4.3E-3</v>
      </c>
      <c r="G287" s="557">
        <f>'TUoS (t)'!$H$96</f>
        <v>8.8000000000000005E-3</v>
      </c>
      <c r="H287" s="557">
        <f>'JSO (t)'!$H$96</f>
        <v>8.9999999999999998E-4</v>
      </c>
      <c r="I287" s="558">
        <f>SUM(F287:H287)</f>
        <v>1.4E-2</v>
      </c>
      <c r="J287" s="560"/>
      <c r="K287" s="561">
        <f>-G287</f>
        <v>-8.8000000000000005E-3</v>
      </c>
      <c r="L287" s="561"/>
      <c r="M287" s="558">
        <f>SUM(J287:L287)</f>
        <v>-8.8000000000000005E-3</v>
      </c>
      <c r="N287" s="560"/>
      <c r="O287" s="561">
        <f>'[18]8.4 RA Hospital'!$I$46</f>
        <v>0</v>
      </c>
      <c r="P287" s="561"/>
      <c r="Q287" s="558">
        <f>SUM(N287:P287)</f>
        <v>0</v>
      </c>
      <c r="R287" s="556">
        <f t="shared" si="34"/>
        <v>4.3E-3</v>
      </c>
      <c r="S287" s="557">
        <f t="shared" si="34"/>
        <v>0</v>
      </c>
      <c r="T287" s="557">
        <f t="shared" si="34"/>
        <v>8.9999999999999998E-4</v>
      </c>
      <c r="U287" s="558">
        <f>SUM(R287:T287)</f>
        <v>5.1999999999999998E-3</v>
      </c>
    </row>
    <row r="288" spans="1:21" outlineLevel="1" x14ac:dyDescent="0.25">
      <c r="B288" s="562"/>
      <c r="C288" s="562"/>
      <c r="D288" s="562"/>
      <c r="E288" s="562"/>
      <c r="F288" s="555"/>
      <c r="G288" s="555"/>
      <c r="H288" s="555"/>
      <c r="I288" s="555"/>
      <c r="J288" s="555"/>
      <c r="K288" s="555"/>
      <c r="L288" s="555"/>
      <c r="M288" s="555"/>
      <c r="N288" s="555"/>
      <c r="O288" s="555"/>
      <c r="P288" s="555"/>
      <c r="Q288" s="555"/>
      <c r="R288" s="555"/>
      <c r="S288" s="555"/>
      <c r="T288" s="555"/>
      <c r="U288" s="555"/>
    </row>
    <row r="289" spans="1:21" outlineLevel="1" x14ac:dyDescent="0.25">
      <c r="A289" s="559" t="s">
        <v>564</v>
      </c>
      <c r="F289" s="746"/>
      <c r="G289" s="746"/>
      <c r="H289" s="746"/>
      <c r="I289" s="746"/>
      <c r="J289" s="746"/>
      <c r="K289" s="746"/>
      <c r="L289" s="746"/>
      <c r="M289" s="746"/>
      <c r="N289" s="746"/>
      <c r="O289" s="746"/>
      <c r="P289" s="746"/>
      <c r="Q289" s="746"/>
      <c r="R289" s="746"/>
      <c r="S289" s="746"/>
      <c r="T289" s="746"/>
      <c r="U289" s="746"/>
    </row>
    <row r="290" spans="1:21" outlineLevel="1" x14ac:dyDescent="0.25">
      <c r="B290" s="542"/>
      <c r="C290" s="543"/>
      <c r="D290" s="543"/>
      <c r="E290" s="543" t="s">
        <v>315</v>
      </c>
      <c r="F290" s="552"/>
      <c r="G290" s="553"/>
      <c r="H290" s="553"/>
      <c r="I290" s="554"/>
      <c r="J290" s="552"/>
      <c r="K290" s="553"/>
      <c r="L290" s="553"/>
      <c r="M290" s="554"/>
      <c r="N290" s="552"/>
      <c r="O290" s="553"/>
      <c r="P290" s="553"/>
      <c r="Q290" s="554"/>
      <c r="R290" s="552"/>
      <c r="S290" s="553"/>
      <c r="T290" s="553"/>
      <c r="U290" s="554"/>
    </row>
    <row r="291" spans="1:21" outlineLevel="1" x14ac:dyDescent="0.25">
      <c r="B291" s="544"/>
      <c r="C291" s="545" t="s">
        <v>374</v>
      </c>
      <c r="D291" s="545"/>
      <c r="E291" s="545" t="s">
        <v>287</v>
      </c>
      <c r="F291" s="663">
        <f>'DUoS (t)'!$G$96*1</f>
        <v>0</v>
      </c>
      <c r="G291" s="555">
        <f>'TUoS (t)'!$G$96*1</f>
        <v>0</v>
      </c>
      <c r="H291" s="555">
        <f>'JSO (t)'!$G$96*1</f>
        <v>0</v>
      </c>
      <c r="I291" s="664">
        <f>SUM(F291:H291)</f>
        <v>0</v>
      </c>
      <c r="J291" s="734"/>
      <c r="K291" s="733"/>
      <c r="L291" s="733"/>
      <c r="M291" s="664">
        <f>SUM(J291:L291)</f>
        <v>0</v>
      </c>
      <c r="N291" s="734"/>
      <c r="O291" s="733"/>
      <c r="P291" s="733"/>
      <c r="Q291" s="664">
        <f>SUM(N291:P291)</f>
        <v>0</v>
      </c>
      <c r="R291" s="663">
        <f t="shared" ref="R291:T294" si="35">SUM(F291,J291,N291)</f>
        <v>0</v>
      </c>
      <c r="S291" s="555">
        <f t="shared" si="35"/>
        <v>0</v>
      </c>
      <c r="T291" s="555">
        <f t="shared" si="35"/>
        <v>0</v>
      </c>
      <c r="U291" s="664">
        <f>SUM(R291:T291)</f>
        <v>0</v>
      </c>
    </row>
    <row r="292" spans="1:21" outlineLevel="1" x14ac:dyDescent="0.25">
      <c r="B292" s="544"/>
      <c r="C292" s="545" t="s">
        <v>375</v>
      </c>
      <c r="D292" s="545">
        <v>4</v>
      </c>
      <c r="E292" s="545" t="s">
        <v>294</v>
      </c>
      <c r="F292" s="663">
        <f>'DUoS (t)'!$S$96</f>
        <v>4.07E-2</v>
      </c>
      <c r="G292" s="555">
        <f>'TUoS (t)'!$S$96</f>
        <v>0.1162</v>
      </c>
      <c r="H292" s="555">
        <f>'JSO (t)'!$S$96</f>
        <v>0</v>
      </c>
      <c r="I292" s="664">
        <f>SUM(F292:H292)</f>
        <v>0.15689999999999998</v>
      </c>
      <c r="J292" s="734"/>
      <c r="K292" s="733"/>
      <c r="L292" s="733"/>
      <c r="M292" s="664">
        <f>SUM(J292:L292)</f>
        <v>0</v>
      </c>
      <c r="N292" s="734"/>
      <c r="O292" s="733"/>
      <c r="P292" s="733"/>
      <c r="Q292" s="664">
        <f>SUM(N292:P292)</f>
        <v>0</v>
      </c>
      <c r="R292" s="663">
        <f t="shared" si="35"/>
        <v>4.07E-2</v>
      </c>
      <c r="S292" s="555">
        <f t="shared" si="35"/>
        <v>0.1162</v>
      </c>
      <c r="T292" s="555">
        <f t="shared" si="35"/>
        <v>0</v>
      </c>
      <c r="U292" s="664">
        <f>SUM(R292:T292)</f>
        <v>0.15689999999999998</v>
      </c>
    </row>
    <row r="293" spans="1:21" outlineLevel="1" x14ac:dyDescent="0.25">
      <c r="B293" s="544"/>
      <c r="C293" s="545" t="s">
        <v>376</v>
      </c>
      <c r="D293" s="545">
        <v>4</v>
      </c>
      <c r="E293" s="545" t="s">
        <v>294</v>
      </c>
      <c r="F293" s="663">
        <f>'DUoS (t)'!$T$96</f>
        <v>7.2700000000000001E-2</v>
      </c>
      <c r="G293" s="555">
        <f>'TUoS (t)'!$T$96</f>
        <v>0</v>
      </c>
      <c r="H293" s="555">
        <f>'JSO (t)'!$T$96</f>
        <v>0</v>
      </c>
      <c r="I293" s="664">
        <f>SUM(F293:H293)</f>
        <v>7.2700000000000001E-2</v>
      </c>
      <c r="J293" s="734"/>
      <c r="K293" s="733"/>
      <c r="L293" s="733"/>
      <c r="M293" s="664">
        <f>SUM(J293:L293)</f>
        <v>0</v>
      </c>
      <c r="N293" s="734"/>
      <c r="O293" s="733"/>
      <c r="P293" s="733"/>
      <c r="Q293" s="664">
        <f>SUM(N293:P293)</f>
        <v>0</v>
      </c>
      <c r="R293" s="663">
        <f t="shared" si="35"/>
        <v>7.2700000000000001E-2</v>
      </c>
      <c r="S293" s="555">
        <f t="shared" si="35"/>
        <v>0</v>
      </c>
      <c r="T293" s="555">
        <f t="shared" si="35"/>
        <v>0</v>
      </c>
      <c r="U293" s="664">
        <f>SUM(R293:T293)</f>
        <v>7.2700000000000001E-2</v>
      </c>
    </row>
    <row r="294" spans="1:21" outlineLevel="1" x14ac:dyDescent="0.25">
      <c r="B294" s="546"/>
      <c r="C294" s="547" t="s">
        <v>293</v>
      </c>
      <c r="D294" s="547"/>
      <c r="E294" s="547" t="s">
        <v>288</v>
      </c>
      <c r="F294" s="556">
        <f>'DUoS (t)'!$H$96</f>
        <v>4.3E-3</v>
      </c>
      <c r="G294" s="557">
        <f>'TUoS (t)'!$H$96</f>
        <v>8.8000000000000005E-3</v>
      </c>
      <c r="H294" s="557">
        <f>'JSO (t)'!$H$96</f>
        <v>8.9999999999999998E-4</v>
      </c>
      <c r="I294" s="558">
        <f>SUM(F294:H294)</f>
        <v>1.4E-2</v>
      </c>
      <c r="J294" s="560"/>
      <c r="K294" s="561"/>
      <c r="L294" s="561"/>
      <c r="M294" s="558">
        <f>SUM(J294:L294)</f>
        <v>0</v>
      </c>
      <c r="N294" s="560"/>
      <c r="O294" s="561"/>
      <c r="P294" s="561"/>
      <c r="Q294" s="558">
        <f>SUM(N294:P294)</f>
        <v>0</v>
      </c>
      <c r="R294" s="556">
        <f t="shared" si="35"/>
        <v>4.3E-3</v>
      </c>
      <c r="S294" s="557">
        <f t="shared" si="35"/>
        <v>8.8000000000000005E-3</v>
      </c>
      <c r="T294" s="557">
        <f t="shared" si="35"/>
        <v>8.9999999999999998E-4</v>
      </c>
      <c r="U294" s="558">
        <f>SUM(R294:T294)</f>
        <v>1.4E-2</v>
      </c>
    </row>
    <row r="295" spans="1:21" outlineLevel="1" x14ac:dyDescent="0.25">
      <c r="F295" s="414"/>
      <c r="G295" s="414"/>
      <c r="H295" s="414"/>
      <c r="I295" s="414"/>
    </row>
    <row r="296" spans="1:21" outlineLevel="1" x14ac:dyDescent="0.25">
      <c r="A296" s="559" t="s">
        <v>565</v>
      </c>
      <c r="F296" s="746"/>
      <c r="G296" s="746"/>
      <c r="H296" s="746"/>
      <c r="I296" s="746"/>
      <c r="J296" s="746"/>
      <c r="K296" s="746"/>
      <c r="L296" s="746"/>
      <c r="M296" s="746"/>
      <c r="N296" s="746"/>
      <c r="O296" s="746"/>
      <c r="P296" s="746"/>
      <c r="Q296" s="746"/>
      <c r="R296" s="746"/>
      <c r="S296" s="746"/>
      <c r="T296" s="746"/>
      <c r="U296" s="746"/>
    </row>
    <row r="297" spans="1:21" outlineLevel="1" x14ac:dyDescent="0.25">
      <c r="B297" s="542"/>
      <c r="C297" s="543"/>
      <c r="D297" s="543"/>
      <c r="E297" s="543" t="s">
        <v>315</v>
      </c>
      <c r="F297" s="552"/>
      <c r="G297" s="553"/>
      <c r="H297" s="553"/>
      <c r="I297" s="554"/>
      <c r="J297" s="552"/>
      <c r="K297" s="553"/>
      <c r="L297" s="553"/>
      <c r="M297" s="554"/>
      <c r="N297" s="552"/>
      <c r="O297" s="553"/>
      <c r="P297" s="553"/>
      <c r="Q297" s="554"/>
      <c r="R297" s="552"/>
      <c r="S297" s="553"/>
      <c r="T297" s="553"/>
      <c r="U297" s="554"/>
    </row>
    <row r="298" spans="1:21" outlineLevel="1" x14ac:dyDescent="0.25">
      <c r="B298" s="544"/>
      <c r="C298" s="545" t="s">
        <v>374</v>
      </c>
      <c r="D298" s="545"/>
      <c r="E298" s="545" t="s">
        <v>287</v>
      </c>
      <c r="F298" s="663">
        <f>'DUoS (t)'!$G$96*1</f>
        <v>0</v>
      </c>
      <c r="G298" s="555">
        <f>'TUoS (t)'!$G$96*1</f>
        <v>0</v>
      </c>
      <c r="H298" s="555">
        <f>'JSO (t)'!$G$96*1</f>
        <v>0</v>
      </c>
      <c r="I298" s="664">
        <f>SUM(F298:H298)</f>
        <v>0</v>
      </c>
      <c r="J298" s="734"/>
      <c r="K298" s="733"/>
      <c r="L298" s="733"/>
      <c r="M298" s="664">
        <f>SUM(J298:L298)</f>
        <v>0</v>
      </c>
      <c r="N298" s="734"/>
      <c r="O298" s="733"/>
      <c r="P298" s="733"/>
      <c r="Q298" s="664">
        <f>SUM(N298:P298)</f>
        <v>0</v>
      </c>
      <c r="R298" s="663">
        <f t="shared" ref="R298:T301" si="36">SUM(F298,J298,N298)</f>
        <v>0</v>
      </c>
      <c r="S298" s="555">
        <f t="shared" si="36"/>
        <v>0</v>
      </c>
      <c r="T298" s="555">
        <f t="shared" si="36"/>
        <v>0</v>
      </c>
      <c r="U298" s="664">
        <f>SUM(R298:T298)</f>
        <v>0</v>
      </c>
    </row>
    <row r="299" spans="1:21" outlineLevel="1" x14ac:dyDescent="0.25">
      <c r="B299" s="544"/>
      <c r="C299" s="545" t="s">
        <v>375</v>
      </c>
      <c r="D299" s="545">
        <v>4</v>
      </c>
      <c r="E299" s="545" t="s">
        <v>294</v>
      </c>
      <c r="F299" s="663">
        <f>'DUoS (t)'!$S$96</f>
        <v>4.07E-2</v>
      </c>
      <c r="G299" s="555">
        <f>'TUoS (t)'!$S$96</f>
        <v>0.1162</v>
      </c>
      <c r="H299" s="555">
        <f>'JSO (t)'!$S$96</f>
        <v>0</v>
      </c>
      <c r="I299" s="664">
        <f>SUM(F299:H299)</f>
        <v>0.15689999999999998</v>
      </c>
      <c r="J299" s="734"/>
      <c r="K299" s="733"/>
      <c r="L299" s="733"/>
      <c r="M299" s="664">
        <f>SUM(J299:L299)</f>
        <v>0</v>
      </c>
      <c r="N299" s="734"/>
      <c r="O299" s="733"/>
      <c r="P299" s="733"/>
      <c r="Q299" s="664">
        <f>SUM(N299:P299)</f>
        <v>0</v>
      </c>
      <c r="R299" s="663">
        <f t="shared" si="36"/>
        <v>4.07E-2</v>
      </c>
      <c r="S299" s="555">
        <f t="shared" si="36"/>
        <v>0.1162</v>
      </c>
      <c r="T299" s="555">
        <f t="shared" si="36"/>
        <v>0</v>
      </c>
      <c r="U299" s="664">
        <f>SUM(R299:T299)</f>
        <v>0.15689999999999998</v>
      </c>
    </row>
    <row r="300" spans="1:21" outlineLevel="1" x14ac:dyDescent="0.25">
      <c r="B300" s="544"/>
      <c r="C300" s="545" t="s">
        <v>376</v>
      </c>
      <c r="D300" s="545">
        <v>4</v>
      </c>
      <c r="E300" s="545" t="s">
        <v>294</v>
      </c>
      <c r="F300" s="663">
        <f>'DUoS (t)'!$T$96</f>
        <v>7.2700000000000001E-2</v>
      </c>
      <c r="G300" s="555">
        <f>'TUoS (t)'!$T$96</f>
        <v>0</v>
      </c>
      <c r="H300" s="555">
        <f>'JSO (t)'!$T$96</f>
        <v>0</v>
      </c>
      <c r="I300" s="664">
        <f>SUM(F300:H300)</f>
        <v>7.2700000000000001E-2</v>
      </c>
      <c r="J300" s="734"/>
      <c r="K300" s="733"/>
      <c r="L300" s="733"/>
      <c r="M300" s="664">
        <f>SUM(J300:L300)</f>
        <v>0</v>
      </c>
      <c r="N300" s="734"/>
      <c r="O300" s="733"/>
      <c r="P300" s="733"/>
      <c r="Q300" s="664">
        <f>SUM(N300:P300)</f>
        <v>0</v>
      </c>
      <c r="R300" s="663">
        <f t="shared" si="36"/>
        <v>7.2700000000000001E-2</v>
      </c>
      <c r="S300" s="555">
        <f t="shared" si="36"/>
        <v>0</v>
      </c>
      <c r="T300" s="555">
        <f t="shared" si="36"/>
        <v>0</v>
      </c>
      <c r="U300" s="664">
        <f>SUM(R300:T300)</f>
        <v>7.2700000000000001E-2</v>
      </c>
    </row>
    <row r="301" spans="1:21" outlineLevel="1" x14ac:dyDescent="0.25">
      <c r="B301" s="546"/>
      <c r="C301" s="547" t="s">
        <v>293</v>
      </c>
      <c r="D301" s="547"/>
      <c r="E301" s="547" t="s">
        <v>288</v>
      </c>
      <c r="F301" s="556">
        <f>'DUoS (t)'!$H$96</f>
        <v>4.3E-3</v>
      </c>
      <c r="G301" s="557">
        <f>'TUoS (t)'!$H$96</f>
        <v>8.8000000000000005E-3</v>
      </c>
      <c r="H301" s="557">
        <f>'JSO (t)'!$H$96</f>
        <v>8.9999999999999998E-4</v>
      </c>
      <c r="I301" s="558">
        <f>SUM(F301:H301)</f>
        <v>1.4E-2</v>
      </c>
      <c r="J301" s="560"/>
      <c r="K301" s="561"/>
      <c r="L301" s="561"/>
      <c r="M301" s="558">
        <f>SUM(J301:L301)</f>
        <v>0</v>
      </c>
      <c r="N301" s="560"/>
      <c r="O301" s="561"/>
      <c r="P301" s="561"/>
      <c r="Q301" s="558">
        <f>SUM(N301:P301)</f>
        <v>0</v>
      </c>
      <c r="R301" s="556">
        <f t="shared" si="36"/>
        <v>4.3E-3</v>
      </c>
      <c r="S301" s="557">
        <f t="shared" si="36"/>
        <v>8.8000000000000005E-3</v>
      </c>
      <c r="T301" s="557">
        <f t="shared" si="36"/>
        <v>8.9999999999999998E-4</v>
      </c>
      <c r="U301" s="558">
        <f>SUM(R301:T301)</f>
        <v>1.4E-2</v>
      </c>
    </row>
    <row r="302" spans="1:21" outlineLevel="1" x14ac:dyDescent="0.25">
      <c r="F302" s="414"/>
      <c r="G302" s="414"/>
      <c r="H302" s="414"/>
      <c r="I302" s="414"/>
    </row>
    <row r="303" spans="1:21" outlineLevel="1" x14ac:dyDescent="0.25">
      <c r="A303" s="559" t="s">
        <v>560</v>
      </c>
      <c r="F303" s="746"/>
      <c r="G303" s="746"/>
      <c r="H303" s="746"/>
      <c r="I303" s="746"/>
      <c r="J303" s="746"/>
      <c r="K303" s="746"/>
      <c r="L303" s="746"/>
      <c r="M303" s="746"/>
      <c r="N303" s="746"/>
      <c r="O303" s="746"/>
      <c r="P303" s="746"/>
      <c r="Q303" s="746"/>
      <c r="R303" s="746"/>
      <c r="S303" s="746"/>
      <c r="T303" s="746"/>
      <c r="U303" s="746"/>
    </row>
    <row r="304" spans="1:21" outlineLevel="1" x14ac:dyDescent="0.25">
      <c r="B304" s="542"/>
      <c r="C304" s="543"/>
      <c r="D304" s="543"/>
      <c r="E304" s="543" t="s">
        <v>315</v>
      </c>
      <c r="F304" s="552"/>
      <c r="G304" s="553"/>
      <c r="H304" s="553"/>
      <c r="I304" s="554"/>
      <c r="J304" s="552"/>
      <c r="K304" s="553"/>
      <c r="L304" s="553"/>
      <c r="M304" s="554"/>
      <c r="N304" s="552"/>
      <c r="O304" s="553"/>
      <c r="P304" s="553"/>
      <c r="Q304" s="554"/>
      <c r="R304" s="552"/>
      <c r="S304" s="553"/>
      <c r="T304" s="553"/>
      <c r="U304" s="554"/>
    </row>
    <row r="305" spans="1:21" outlineLevel="1" x14ac:dyDescent="0.25">
      <c r="B305" s="544"/>
      <c r="C305" s="545" t="s">
        <v>374</v>
      </c>
      <c r="D305" s="545"/>
      <c r="E305" s="545" t="s">
        <v>287</v>
      </c>
      <c r="F305" s="663">
        <f>'DUoS (t)'!$G$96*1</f>
        <v>0</v>
      </c>
      <c r="G305" s="555">
        <f>'TUoS (t)'!$G$96*1</f>
        <v>0</v>
      </c>
      <c r="H305" s="555">
        <f>'JSO (t)'!$G$96*1</f>
        <v>0</v>
      </c>
      <c r="I305" s="664">
        <f>SUM(F305:H305)</f>
        <v>0</v>
      </c>
      <c r="J305" s="734"/>
      <c r="K305" s="733"/>
      <c r="L305" s="733"/>
      <c r="M305" s="664">
        <f>SUM(J305:L305)</f>
        <v>0</v>
      </c>
      <c r="N305" s="734"/>
      <c r="O305" s="733"/>
      <c r="P305" s="733"/>
      <c r="Q305" s="664">
        <f>SUM(N305:P305)</f>
        <v>0</v>
      </c>
      <c r="R305" s="663">
        <f t="shared" ref="R305:T308" si="37">SUM(F305,J305,N305)</f>
        <v>0</v>
      </c>
      <c r="S305" s="555">
        <f t="shared" si="37"/>
        <v>0</v>
      </c>
      <c r="T305" s="555">
        <f t="shared" si="37"/>
        <v>0</v>
      </c>
      <c r="U305" s="664">
        <f>SUM(R305:T305)</f>
        <v>0</v>
      </c>
    </row>
    <row r="306" spans="1:21" outlineLevel="1" x14ac:dyDescent="0.25">
      <c r="B306" s="544"/>
      <c r="C306" s="545" t="s">
        <v>375</v>
      </c>
      <c r="D306" s="545">
        <v>4</v>
      </c>
      <c r="E306" s="545" t="s">
        <v>294</v>
      </c>
      <c r="F306" s="663">
        <f>'DUoS (t)'!$S$96</f>
        <v>4.07E-2</v>
      </c>
      <c r="G306" s="555">
        <f>'TUoS (t)'!$S$96</f>
        <v>0.1162</v>
      </c>
      <c r="H306" s="555">
        <f>'JSO (t)'!$S$96</f>
        <v>0</v>
      </c>
      <c r="I306" s="664">
        <f>SUM(F306:H306)</f>
        <v>0.15689999999999998</v>
      </c>
      <c r="J306" s="734"/>
      <c r="K306" s="733"/>
      <c r="L306" s="733"/>
      <c r="M306" s="664">
        <f>SUM(J306:L306)</f>
        <v>0</v>
      </c>
      <c r="N306" s="734"/>
      <c r="O306" s="733"/>
      <c r="P306" s="733"/>
      <c r="Q306" s="664">
        <f>SUM(N306:P306)</f>
        <v>0</v>
      </c>
      <c r="R306" s="663">
        <f t="shared" si="37"/>
        <v>4.07E-2</v>
      </c>
      <c r="S306" s="555">
        <f t="shared" si="37"/>
        <v>0.1162</v>
      </c>
      <c r="T306" s="555">
        <f t="shared" si="37"/>
        <v>0</v>
      </c>
      <c r="U306" s="664">
        <f>SUM(R306:T306)</f>
        <v>0.15689999999999998</v>
      </c>
    </row>
    <row r="307" spans="1:21" outlineLevel="1" x14ac:dyDescent="0.25">
      <c r="B307" s="544"/>
      <c r="C307" s="545" t="s">
        <v>376</v>
      </c>
      <c r="D307" s="545">
        <v>4</v>
      </c>
      <c r="E307" s="545" t="s">
        <v>294</v>
      </c>
      <c r="F307" s="663">
        <f>'DUoS (t)'!$T$96</f>
        <v>7.2700000000000001E-2</v>
      </c>
      <c r="G307" s="555">
        <f>'TUoS (t)'!$T$96</f>
        <v>0</v>
      </c>
      <c r="H307" s="555">
        <f>'JSO (t)'!$T$96</f>
        <v>0</v>
      </c>
      <c r="I307" s="664">
        <f>SUM(F307:H307)</f>
        <v>7.2700000000000001E-2</v>
      </c>
      <c r="J307" s="734"/>
      <c r="K307" s="733"/>
      <c r="L307" s="733"/>
      <c r="M307" s="664">
        <f>SUM(J307:L307)</f>
        <v>0</v>
      </c>
      <c r="N307" s="734"/>
      <c r="O307" s="733"/>
      <c r="P307" s="733"/>
      <c r="Q307" s="664">
        <f>SUM(N307:P307)</f>
        <v>0</v>
      </c>
      <c r="R307" s="663">
        <f t="shared" si="37"/>
        <v>7.2700000000000001E-2</v>
      </c>
      <c r="S307" s="555">
        <f t="shared" si="37"/>
        <v>0</v>
      </c>
      <c r="T307" s="555">
        <f t="shared" si="37"/>
        <v>0</v>
      </c>
      <c r="U307" s="664">
        <f>SUM(R307:T307)</f>
        <v>7.2700000000000001E-2</v>
      </c>
    </row>
    <row r="308" spans="1:21" outlineLevel="1" x14ac:dyDescent="0.25">
      <c r="B308" s="546"/>
      <c r="C308" s="547" t="s">
        <v>293</v>
      </c>
      <c r="D308" s="547"/>
      <c r="E308" s="547" t="s">
        <v>288</v>
      </c>
      <c r="F308" s="556">
        <f>'DUoS (t)'!$H$96</f>
        <v>4.3E-3</v>
      </c>
      <c r="G308" s="557">
        <f>'TUoS (t)'!$H$96</f>
        <v>8.8000000000000005E-3</v>
      </c>
      <c r="H308" s="557">
        <f>'JSO (t)'!$H$96</f>
        <v>8.9999999999999998E-4</v>
      </c>
      <c r="I308" s="558">
        <f>SUM(F308:H308)</f>
        <v>1.4E-2</v>
      </c>
      <c r="J308" s="560"/>
      <c r="K308" s="561"/>
      <c r="L308" s="561"/>
      <c r="M308" s="558">
        <f>SUM(J308:L308)</f>
        <v>0</v>
      </c>
      <c r="N308" s="560"/>
      <c r="O308" s="561"/>
      <c r="P308" s="561"/>
      <c r="Q308" s="558">
        <f>SUM(N308:P308)</f>
        <v>0</v>
      </c>
      <c r="R308" s="556">
        <f t="shared" si="37"/>
        <v>4.3E-3</v>
      </c>
      <c r="S308" s="557">
        <f t="shared" si="37"/>
        <v>8.8000000000000005E-3</v>
      </c>
      <c r="T308" s="557">
        <f t="shared" si="37"/>
        <v>8.9999999999999998E-4</v>
      </c>
      <c r="U308" s="558">
        <f>SUM(R308:T308)</f>
        <v>1.4E-2</v>
      </c>
    </row>
    <row r="309" spans="1:21" outlineLevel="1" x14ac:dyDescent="0.25">
      <c r="F309" s="414"/>
      <c r="G309" s="414"/>
      <c r="H309" s="414"/>
      <c r="I309" s="414"/>
    </row>
    <row r="310" spans="1:21" outlineLevel="1" x14ac:dyDescent="0.25">
      <c r="A310" s="559" t="s">
        <v>130</v>
      </c>
      <c r="F310" s="746"/>
      <c r="G310" s="746"/>
      <c r="H310" s="746"/>
      <c r="I310" s="746"/>
      <c r="J310" s="746"/>
      <c r="K310" s="746"/>
      <c r="L310" s="746"/>
      <c r="M310" s="746"/>
      <c r="N310" s="746"/>
      <c r="O310" s="746"/>
      <c r="P310" s="746"/>
      <c r="Q310" s="746"/>
      <c r="R310" s="746"/>
      <c r="S310" s="746"/>
      <c r="T310" s="746"/>
      <c r="U310" s="746"/>
    </row>
    <row r="311" spans="1:21" outlineLevel="1" x14ac:dyDescent="0.25">
      <c r="B311" s="542"/>
      <c r="C311" s="543"/>
      <c r="D311" s="543"/>
      <c r="E311" s="543" t="s">
        <v>315</v>
      </c>
      <c r="F311" s="552"/>
      <c r="G311" s="553"/>
      <c r="H311" s="553"/>
      <c r="I311" s="554"/>
      <c r="J311" s="552"/>
      <c r="K311" s="553"/>
      <c r="L311" s="553"/>
      <c r="M311" s="554"/>
      <c r="N311" s="552"/>
      <c r="O311" s="553"/>
      <c r="P311" s="553"/>
      <c r="Q311" s="554"/>
      <c r="R311" s="552"/>
      <c r="S311" s="553"/>
      <c r="T311" s="553"/>
      <c r="U311" s="554"/>
    </row>
    <row r="312" spans="1:21" outlineLevel="1" x14ac:dyDescent="0.25">
      <c r="B312" s="544"/>
      <c r="C312" s="545" t="s">
        <v>374</v>
      </c>
      <c r="D312" s="545"/>
      <c r="E312" s="545" t="s">
        <v>287</v>
      </c>
      <c r="F312" s="663">
        <f>'DUoS (t)'!$G$96*1</f>
        <v>0</v>
      </c>
      <c r="G312" s="555">
        <f>'TUoS (t)'!$G$96*1</f>
        <v>0</v>
      </c>
      <c r="H312" s="555">
        <f>'JSO (t)'!$G$96*1</f>
        <v>0</v>
      </c>
      <c r="I312" s="664">
        <f>SUM(F312:H312)</f>
        <v>0</v>
      </c>
      <c r="J312" s="734"/>
      <c r="K312" s="733">
        <f>-G312</f>
        <v>0</v>
      </c>
      <c r="L312" s="733"/>
      <c r="M312" s="664">
        <f>SUM(J312:L312)</f>
        <v>0</v>
      </c>
      <c r="N312" s="734"/>
      <c r="O312" s="733">
        <f>'[18]7.14 Int &amp; Forge'!$I$44</f>
        <v>65.730699999999999</v>
      </c>
      <c r="P312" s="733"/>
      <c r="Q312" s="664">
        <f>SUM(N312:P312)</f>
        <v>65.730699999999999</v>
      </c>
      <c r="R312" s="663">
        <f t="shared" ref="R312:T315" si="38">SUM(F312,J312,N312)</f>
        <v>0</v>
      </c>
      <c r="S312" s="555">
        <f t="shared" si="38"/>
        <v>65.730699999999999</v>
      </c>
      <c r="T312" s="555">
        <f t="shared" si="38"/>
        <v>0</v>
      </c>
      <c r="U312" s="664">
        <f>SUM(R312:T312)</f>
        <v>65.730699999999999</v>
      </c>
    </row>
    <row r="313" spans="1:21" outlineLevel="1" x14ac:dyDescent="0.25">
      <c r="B313" s="544"/>
      <c r="C313" s="545" t="s">
        <v>375</v>
      </c>
      <c r="D313" s="545">
        <v>4</v>
      </c>
      <c r="E313" s="545" t="s">
        <v>294</v>
      </c>
      <c r="F313" s="663">
        <f>'DUoS (t)'!$S$96</f>
        <v>4.07E-2</v>
      </c>
      <c r="G313" s="555">
        <f>'TUoS (t)'!$S$96</f>
        <v>0.1162</v>
      </c>
      <c r="H313" s="555">
        <f>'JSO (t)'!$S$96</f>
        <v>0</v>
      </c>
      <c r="I313" s="664">
        <f>SUM(F313:H313)</f>
        <v>0.15689999999999998</v>
      </c>
      <c r="J313" s="734"/>
      <c r="K313" s="733">
        <f>-G313</f>
        <v>-0.1162</v>
      </c>
      <c r="L313" s="733"/>
      <c r="M313" s="664">
        <f>SUM(J313:L313)</f>
        <v>-0.1162</v>
      </c>
      <c r="N313" s="734"/>
      <c r="O313" s="733">
        <f>'[18]7.14 Int &amp; Forge'!$I$45</f>
        <v>0.17860000000000001</v>
      </c>
      <c r="P313" s="733"/>
      <c r="Q313" s="664">
        <f>SUM(N313:P313)</f>
        <v>0.17860000000000001</v>
      </c>
      <c r="R313" s="663">
        <f t="shared" si="38"/>
        <v>4.07E-2</v>
      </c>
      <c r="S313" s="555">
        <f t="shared" si="38"/>
        <v>0.17860000000000001</v>
      </c>
      <c r="T313" s="555">
        <f t="shared" si="38"/>
        <v>0</v>
      </c>
      <c r="U313" s="664">
        <f>SUM(R313:T313)</f>
        <v>0.21929999999999999</v>
      </c>
    </row>
    <row r="314" spans="1:21" outlineLevel="1" x14ac:dyDescent="0.25">
      <c r="B314" s="544"/>
      <c r="C314" s="545" t="s">
        <v>376</v>
      </c>
      <c r="D314" s="545">
        <v>4</v>
      </c>
      <c r="E314" s="545" t="s">
        <v>294</v>
      </c>
      <c r="F314" s="663">
        <f>'DUoS (t)'!$T$96</f>
        <v>7.2700000000000001E-2</v>
      </c>
      <c r="G314" s="555">
        <f>'TUoS (t)'!$T$96</f>
        <v>0</v>
      </c>
      <c r="H314" s="555">
        <f>'JSO (t)'!$T$96</f>
        <v>0</v>
      </c>
      <c r="I314" s="664">
        <f>SUM(F314:H314)</f>
        <v>7.2700000000000001E-2</v>
      </c>
      <c r="J314" s="734"/>
      <c r="K314" s="733">
        <f>-G314</f>
        <v>0</v>
      </c>
      <c r="L314" s="733"/>
      <c r="M314" s="664">
        <f>SUM(J314:L314)</f>
        <v>0</v>
      </c>
      <c r="N314" s="734"/>
      <c r="O314" s="733"/>
      <c r="P314" s="733"/>
      <c r="Q314" s="664">
        <f>SUM(N314:P314)</f>
        <v>0</v>
      </c>
      <c r="R314" s="663">
        <f t="shared" si="38"/>
        <v>7.2700000000000001E-2</v>
      </c>
      <c r="S314" s="555">
        <f t="shared" si="38"/>
        <v>0</v>
      </c>
      <c r="T314" s="555">
        <f t="shared" si="38"/>
        <v>0</v>
      </c>
      <c r="U314" s="664">
        <f>SUM(R314:T314)</f>
        <v>7.2700000000000001E-2</v>
      </c>
    </row>
    <row r="315" spans="1:21" outlineLevel="1" x14ac:dyDescent="0.25">
      <c r="B315" s="546"/>
      <c r="C315" s="547" t="s">
        <v>293</v>
      </c>
      <c r="D315" s="547"/>
      <c r="E315" s="547" t="s">
        <v>288</v>
      </c>
      <c r="F315" s="556">
        <f>'DUoS (t)'!$H$96</f>
        <v>4.3E-3</v>
      </c>
      <c r="G315" s="557">
        <f>'TUoS (t)'!$H$96</f>
        <v>8.8000000000000005E-3</v>
      </c>
      <c r="H315" s="557">
        <f>'JSO (t)'!$H$96</f>
        <v>8.9999999999999998E-4</v>
      </c>
      <c r="I315" s="558">
        <f>SUM(F315:H315)</f>
        <v>1.4E-2</v>
      </c>
      <c r="J315" s="560"/>
      <c r="K315" s="561">
        <f>-G315</f>
        <v>-8.8000000000000005E-3</v>
      </c>
      <c r="L315" s="561"/>
      <c r="M315" s="558">
        <f>SUM(J315:L315)</f>
        <v>-8.8000000000000005E-3</v>
      </c>
      <c r="N315" s="560"/>
      <c r="O315" s="561">
        <f>'[18]7.14 Int &amp; Forge'!$I$46</f>
        <v>0</v>
      </c>
      <c r="P315" s="561"/>
      <c r="Q315" s="558">
        <f>SUM(N315:P315)</f>
        <v>0</v>
      </c>
      <c r="R315" s="556">
        <f t="shared" si="38"/>
        <v>4.3E-3</v>
      </c>
      <c r="S315" s="557">
        <f t="shared" si="38"/>
        <v>0</v>
      </c>
      <c r="T315" s="557">
        <f t="shared" si="38"/>
        <v>8.9999999999999998E-4</v>
      </c>
      <c r="U315" s="558">
        <f>SUM(R315:T315)</f>
        <v>5.1999999999999998E-3</v>
      </c>
    </row>
    <row r="316" spans="1:21" outlineLevel="1" x14ac:dyDescent="0.25">
      <c r="F316" s="414"/>
      <c r="G316" s="414"/>
      <c r="H316" s="414"/>
      <c r="I316" s="414"/>
    </row>
    <row r="317" spans="1:21" outlineLevel="1" x14ac:dyDescent="0.25">
      <c r="A317" s="559" t="s">
        <v>131</v>
      </c>
      <c r="F317" s="746"/>
      <c r="G317" s="746"/>
      <c r="H317" s="746"/>
      <c r="I317" s="746"/>
      <c r="J317" s="746"/>
      <c r="K317" s="746"/>
      <c r="L317" s="746"/>
      <c r="M317" s="746"/>
      <c r="N317" s="746"/>
      <c r="O317" s="746"/>
      <c r="P317" s="746"/>
      <c r="Q317" s="746"/>
      <c r="R317" s="746"/>
      <c r="S317" s="746"/>
      <c r="T317" s="746"/>
      <c r="U317" s="746"/>
    </row>
    <row r="318" spans="1:21" outlineLevel="1" x14ac:dyDescent="0.25">
      <c r="B318" s="542"/>
      <c r="C318" s="543"/>
      <c r="D318" s="543"/>
      <c r="E318" s="543" t="s">
        <v>315</v>
      </c>
      <c r="F318" s="552"/>
      <c r="G318" s="553"/>
      <c r="H318" s="553"/>
      <c r="I318" s="554"/>
      <c r="J318" s="552"/>
      <c r="K318" s="553"/>
      <c r="L318" s="553"/>
      <c r="M318" s="554"/>
      <c r="N318" s="552"/>
      <c r="O318" s="553"/>
      <c r="P318" s="553"/>
      <c r="Q318" s="554"/>
      <c r="R318" s="552"/>
      <c r="S318" s="553"/>
      <c r="T318" s="553"/>
      <c r="U318" s="554"/>
    </row>
    <row r="319" spans="1:21" outlineLevel="1" x14ac:dyDescent="0.25">
      <c r="B319" s="544"/>
      <c r="C319" s="545" t="s">
        <v>374</v>
      </c>
      <c r="D319" s="545"/>
      <c r="E319" s="545" t="s">
        <v>287</v>
      </c>
      <c r="F319" s="663">
        <f>'DUoS (t)'!$G$96*1</f>
        <v>0</v>
      </c>
      <c r="G319" s="555">
        <f>'TUoS (t)'!$G$96*1</f>
        <v>0</v>
      </c>
      <c r="H319" s="555">
        <f>'JSO (t)'!$G$96*1</f>
        <v>0</v>
      </c>
      <c r="I319" s="664">
        <f>SUM(F319:H319)</f>
        <v>0</v>
      </c>
      <c r="J319" s="734"/>
      <c r="K319" s="733">
        <f>-G319</f>
        <v>0</v>
      </c>
      <c r="L319" s="733"/>
      <c r="M319" s="664">
        <f>SUM(J319:L319)</f>
        <v>0</v>
      </c>
      <c r="N319" s="734">
        <f>ROUND(30939/365,4)</f>
        <v>84.764399999999995</v>
      </c>
      <c r="O319" s="733">
        <f>'[18]7.18 I-O Kilkenny'!$I$44</f>
        <v>36.467100000000002</v>
      </c>
      <c r="P319" s="733"/>
      <c r="Q319" s="664">
        <f>SUM(N319:P319)</f>
        <v>121.2315</v>
      </c>
      <c r="R319" s="663">
        <f t="shared" ref="R319:T322" si="39">SUM(F319,J319,N319)</f>
        <v>84.764399999999995</v>
      </c>
      <c r="S319" s="555">
        <f t="shared" si="39"/>
        <v>36.467100000000002</v>
      </c>
      <c r="T319" s="555">
        <f t="shared" si="39"/>
        <v>0</v>
      </c>
      <c r="U319" s="664">
        <f>SUM(R319:T319)</f>
        <v>121.2315</v>
      </c>
    </row>
    <row r="320" spans="1:21" outlineLevel="1" x14ac:dyDescent="0.25">
      <c r="B320" s="544"/>
      <c r="C320" s="545" t="s">
        <v>375</v>
      </c>
      <c r="D320" s="545">
        <v>4</v>
      </c>
      <c r="E320" s="545" t="s">
        <v>294</v>
      </c>
      <c r="F320" s="663">
        <f>'DUoS (t)'!$S$96</f>
        <v>4.07E-2</v>
      </c>
      <c r="G320" s="555">
        <f>'TUoS (t)'!$S$96</f>
        <v>0.1162</v>
      </c>
      <c r="H320" s="555">
        <f>'JSO (t)'!$S$96</f>
        <v>0</v>
      </c>
      <c r="I320" s="664">
        <f>SUM(F320:H320)</f>
        <v>0.15689999999999998</v>
      </c>
      <c r="J320" s="734"/>
      <c r="K320" s="733">
        <f>-G320</f>
        <v>-0.1162</v>
      </c>
      <c r="L320" s="733"/>
      <c r="M320" s="664">
        <f>SUM(J320:L320)</f>
        <v>-0.1162</v>
      </c>
      <c r="N320" s="734"/>
      <c r="O320" s="733">
        <f>'[18]7.18 I-O Kilkenny'!$I$45</f>
        <v>0.17860000000000001</v>
      </c>
      <c r="P320" s="733"/>
      <c r="Q320" s="664">
        <f>SUM(N320:P320)</f>
        <v>0.17860000000000001</v>
      </c>
      <c r="R320" s="663">
        <f t="shared" si="39"/>
        <v>4.07E-2</v>
      </c>
      <c r="S320" s="555">
        <f t="shared" si="39"/>
        <v>0.17860000000000001</v>
      </c>
      <c r="T320" s="555">
        <f t="shared" si="39"/>
        <v>0</v>
      </c>
      <c r="U320" s="664">
        <f>SUM(R320:T320)</f>
        <v>0.21929999999999999</v>
      </c>
    </row>
    <row r="321" spans="1:21" outlineLevel="1" x14ac:dyDescent="0.25">
      <c r="B321" s="544"/>
      <c r="C321" s="545" t="s">
        <v>376</v>
      </c>
      <c r="D321" s="545">
        <v>4</v>
      </c>
      <c r="E321" s="545" t="s">
        <v>294</v>
      </c>
      <c r="F321" s="663">
        <f>'DUoS (t)'!$T$96</f>
        <v>7.2700000000000001E-2</v>
      </c>
      <c r="G321" s="555">
        <f>'TUoS (t)'!$T$96</f>
        <v>0</v>
      </c>
      <c r="H321" s="555">
        <f>'JSO (t)'!$T$96</f>
        <v>0</v>
      </c>
      <c r="I321" s="664">
        <f>SUM(F321:H321)</f>
        <v>7.2700000000000001E-2</v>
      </c>
      <c r="J321" s="734"/>
      <c r="K321" s="733">
        <f>-G321</f>
        <v>0</v>
      </c>
      <c r="L321" s="733"/>
      <c r="M321" s="664">
        <f>SUM(J321:L321)</f>
        <v>0</v>
      </c>
      <c r="N321" s="734"/>
      <c r="O321" s="733"/>
      <c r="P321" s="733"/>
      <c r="Q321" s="664">
        <f>SUM(N321:P321)</f>
        <v>0</v>
      </c>
      <c r="R321" s="663">
        <f t="shared" si="39"/>
        <v>7.2700000000000001E-2</v>
      </c>
      <c r="S321" s="555">
        <f t="shared" si="39"/>
        <v>0</v>
      </c>
      <c r="T321" s="555">
        <f t="shared" si="39"/>
        <v>0</v>
      </c>
      <c r="U321" s="664">
        <f>SUM(R321:T321)</f>
        <v>7.2700000000000001E-2</v>
      </c>
    </row>
    <row r="322" spans="1:21" outlineLevel="1" x14ac:dyDescent="0.25">
      <c r="B322" s="546"/>
      <c r="C322" s="547" t="s">
        <v>293</v>
      </c>
      <c r="D322" s="547"/>
      <c r="E322" s="547" t="s">
        <v>288</v>
      </c>
      <c r="F322" s="556">
        <f>'DUoS (t)'!$H$96</f>
        <v>4.3E-3</v>
      </c>
      <c r="G322" s="557">
        <f>'TUoS (t)'!$H$96</f>
        <v>8.8000000000000005E-3</v>
      </c>
      <c r="H322" s="557">
        <f>'JSO (t)'!$H$96</f>
        <v>8.9999999999999998E-4</v>
      </c>
      <c r="I322" s="558">
        <f>SUM(F322:H322)</f>
        <v>1.4E-2</v>
      </c>
      <c r="J322" s="560"/>
      <c r="K322" s="561">
        <f>-G322</f>
        <v>-8.8000000000000005E-3</v>
      </c>
      <c r="L322" s="561"/>
      <c r="M322" s="558">
        <f>SUM(J322:L322)</f>
        <v>-8.8000000000000005E-3</v>
      </c>
      <c r="N322" s="560"/>
      <c r="O322" s="561">
        <f>'[18]7.18 I-O Kilkenny'!$I$46</f>
        <v>0</v>
      </c>
      <c r="P322" s="561"/>
      <c r="Q322" s="558">
        <f>SUM(N322:P322)</f>
        <v>0</v>
      </c>
      <c r="R322" s="556">
        <f t="shared" si="39"/>
        <v>4.3E-3</v>
      </c>
      <c r="S322" s="557">
        <f t="shared" si="39"/>
        <v>0</v>
      </c>
      <c r="T322" s="557">
        <f t="shared" si="39"/>
        <v>8.9999999999999998E-4</v>
      </c>
      <c r="U322" s="558">
        <f>SUM(R322:T322)</f>
        <v>5.1999999999999998E-3</v>
      </c>
    </row>
    <row r="323" spans="1:21" outlineLevel="1" x14ac:dyDescent="0.25">
      <c r="B323" s="562"/>
      <c r="C323" s="562"/>
      <c r="D323" s="562"/>
      <c r="E323" s="562"/>
      <c r="F323" s="555"/>
      <c r="G323" s="555"/>
      <c r="H323" s="555"/>
      <c r="I323" s="555"/>
      <c r="J323" s="555"/>
      <c r="K323" s="555"/>
      <c r="L323" s="555"/>
      <c r="M323" s="555"/>
      <c r="N323" s="555"/>
      <c r="O323" s="555"/>
      <c r="P323" s="555"/>
      <c r="Q323" s="555"/>
      <c r="R323" s="555"/>
      <c r="S323" s="555"/>
      <c r="T323" s="555"/>
      <c r="U323" s="555"/>
    </row>
    <row r="324" spans="1:21" outlineLevel="1" x14ac:dyDescent="0.25">
      <c r="A324" s="559" t="s">
        <v>561</v>
      </c>
      <c r="F324" s="746"/>
      <c r="G324" s="746"/>
      <c r="H324" s="746"/>
      <c r="I324" s="746"/>
      <c r="J324" s="746"/>
      <c r="K324" s="746"/>
      <c r="L324" s="746"/>
      <c r="M324" s="746"/>
      <c r="N324" s="746"/>
      <c r="O324" s="746"/>
      <c r="P324" s="746"/>
      <c r="Q324" s="746"/>
      <c r="R324" s="746"/>
      <c r="S324" s="746"/>
      <c r="T324" s="746"/>
      <c r="U324" s="746"/>
    </row>
    <row r="325" spans="1:21" outlineLevel="1" x14ac:dyDescent="0.25">
      <c r="B325" s="542"/>
      <c r="C325" s="543"/>
      <c r="D325" s="543"/>
      <c r="E325" s="543" t="s">
        <v>315</v>
      </c>
      <c r="F325" s="552"/>
      <c r="G325" s="553"/>
      <c r="H325" s="553"/>
      <c r="I325" s="554"/>
      <c r="J325" s="552"/>
      <c r="K325" s="553"/>
      <c r="L325" s="553"/>
      <c r="M325" s="554"/>
      <c r="N325" s="552"/>
      <c r="O325" s="553"/>
      <c r="P325" s="553"/>
      <c r="Q325" s="554"/>
      <c r="R325" s="552"/>
      <c r="S325" s="553"/>
      <c r="T325" s="553"/>
      <c r="U325" s="554"/>
    </row>
    <row r="326" spans="1:21" outlineLevel="1" x14ac:dyDescent="0.25">
      <c r="B326" s="544"/>
      <c r="C326" s="545" t="s">
        <v>374</v>
      </c>
      <c r="D326" s="545"/>
      <c r="E326" s="545" t="s">
        <v>287</v>
      </c>
      <c r="F326" s="663">
        <f>'DUoS (t)'!$G$96*1</f>
        <v>0</v>
      </c>
      <c r="G326" s="555">
        <f>'TUoS (t)'!$G$96*1</f>
        <v>0</v>
      </c>
      <c r="H326" s="555">
        <f>'JSO (t)'!$G$96*1</f>
        <v>0</v>
      </c>
      <c r="I326" s="664">
        <f>SUM(F326:H326)</f>
        <v>0</v>
      </c>
      <c r="J326" s="734"/>
      <c r="K326" s="733"/>
      <c r="L326" s="733"/>
      <c r="M326" s="664">
        <f>SUM(J326:L326)</f>
        <v>0</v>
      </c>
      <c r="N326" s="734"/>
      <c r="O326" s="733"/>
      <c r="P326" s="733"/>
      <c r="Q326" s="664">
        <f>SUM(N326:P326)</f>
        <v>0</v>
      </c>
      <c r="R326" s="663">
        <f t="shared" ref="R326:T329" si="40">SUM(F326,J326,N326)</f>
        <v>0</v>
      </c>
      <c r="S326" s="555">
        <f t="shared" si="40"/>
        <v>0</v>
      </c>
      <c r="T326" s="555">
        <f t="shared" si="40"/>
        <v>0</v>
      </c>
      <c r="U326" s="664">
        <f>SUM(R326:T326)</f>
        <v>0</v>
      </c>
    </row>
    <row r="327" spans="1:21" outlineLevel="1" x14ac:dyDescent="0.25">
      <c r="B327" s="544"/>
      <c r="C327" s="545" t="s">
        <v>375</v>
      </c>
      <c r="D327" s="545">
        <v>4</v>
      </c>
      <c r="E327" s="545" t="s">
        <v>294</v>
      </c>
      <c r="F327" s="663">
        <f>'DUoS (t)'!$S$96</f>
        <v>4.07E-2</v>
      </c>
      <c r="G327" s="555">
        <f>'TUoS (t)'!$S$96</f>
        <v>0.1162</v>
      </c>
      <c r="H327" s="555">
        <f>'JSO (t)'!$S$96</f>
        <v>0</v>
      </c>
      <c r="I327" s="664">
        <f>SUM(F327:H327)</f>
        <v>0.15689999999999998</v>
      </c>
      <c r="J327" s="734"/>
      <c r="K327" s="733"/>
      <c r="L327" s="733"/>
      <c r="M327" s="664">
        <f>SUM(J327:L327)</f>
        <v>0</v>
      </c>
      <c r="N327" s="734"/>
      <c r="O327" s="733"/>
      <c r="P327" s="733"/>
      <c r="Q327" s="664">
        <f>SUM(N327:P327)</f>
        <v>0</v>
      </c>
      <c r="R327" s="663">
        <f t="shared" si="40"/>
        <v>4.07E-2</v>
      </c>
      <c r="S327" s="555">
        <f t="shared" si="40"/>
        <v>0.1162</v>
      </c>
      <c r="T327" s="555">
        <f t="shared" si="40"/>
        <v>0</v>
      </c>
      <c r="U327" s="664">
        <f>SUM(R327:T327)</f>
        <v>0.15689999999999998</v>
      </c>
    </row>
    <row r="328" spans="1:21" outlineLevel="1" x14ac:dyDescent="0.25">
      <c r="B328" s="544"/>
      <c r="C328" s="545" t="s">
        <v>376</v>
      </c>
      <c r="D328" s="545">
        <v>4</v>
      </c>
      <c r="E328" s="545" t="s">
        <v>294</v>
      </c>
      <c r="F328" s="663">
        <f>'DUoS (t)'!$T$96</f>
        <v>7.2700000000000001E-2</v>
      </c>
      <c r="G328" s="555">
        <f>'TUoS (t)'!$T$96</f>
        <v>0</v>
      </c>
      <c r="H328" s="555">
        <f>'JSO (t)'!$T$96</f>
        <v>0</v>
      </c>
      <c r="I328" s="664">
        <f>SUM(F328:H328)</f>
        <v>7.2700000000000001E-2</v>
      </c>
      <c r="J328" s="734"/>
      <c r="K328" s="733"/>
      <c r="L328" s="733"/>
      <c r="M328" s="664">
        <f>SUM(J328:L328)</f>
        <v>0</v>
      </c>
      <c r="N328" s="734"/>
      <c r="O328" s="733"/>
      <c r="P328" s="733"/>
      <c r="Q328" s="664">
        <f>SUM(N328:P328)</f>
        <v>0</v>
      </c>
      <c r="R328" s="663">
        <f t="shared" si="40"/>
        <v>7.2700000000000001E-2</v>
      </c>
      <c r="S328" s="555">
        <f t="shared" si="40"/>
        <v>0</v>
      </c>
      <c r="T328" s="555">
        <f t="shared" si="40"/>
        <v>0</v>
      </c>
      <c r="U328" s="664">
        <f>SUM(R328:T328)</f>
        <v>7.2700000000000001E-2</v>
      </c>
    </row>
    <row r="329" spans="1:21" outlineLevel="1" x14ac:dyDescent="0.25">
      <c r="B329" s="546"/>
      <c r="C329" s="547" t="s">
        <v>293</v>
      </c>
      <c r="D329" s="547"/>
      <c r="E329" s="547" t="s">
        <v>288</v>
      </c>
      <c r="F329" s="556">
        <f>'DUoS (t)'!$H$96</f>
        <v>4.3E-3</v>
      </c>
      <c r="G329" s="557">
        <f>'TUoS (t)'!$H$96</f>
        <v>8.8000000000000005E-3</v>
      </c>
      <c r="H329" s="557">
        <f>'JSO (t)'!$H$96</f>
        <v>8.9999999999999998E-4</v>
      </c>
      <c r="I329" s="558">
        <f>SUM(F329:H329)</f>
        <v>1.4E-2</v>
      </c>
      <c r="J329" s="560"/>
      <c r="K329" s="561"/>
      <c r="L329" s="561"/>
      <c r="M329" s="558">
        <f>SUM(J329:L329)</f>
        <v>0</v>
      </c>
      <c r="N329" s="560"/>
      <c r="O329" s="561"/>
      <c r="P329" s="561"/>
      <c r="Q329" s="558">
        <f>SUM(N329:P329)</f>
        <v>0</v>
      </c>
      <c r="R329" s="556">
        <f t="shared" si="40"/>
        <v>4.3E-3</v>
      </c>
      <c r="S329" s="557">
        <f t="shared" si="40"/>
        <v>8.8000000000000005E-3</v>
      </c>
      <c r="T329" s="557">
        <f t="shared" si="40"/>
        <v>8.9999999999999998E-4</v>
      </c>
      <c r="U329" s="558">
        <f>SUM(R329:T329)</f>
        <v>1.4E-2</v>
      </c>
    </row>
    <row r="330" spans="1:21" outlineLevel="1" x14ac:dyDescent="0.25"/>
    <row r="331" spans="1:21" x14ac:dyDescent="0.25">
      <c r="A331" s="563" t="s">
        <v>383</v>
      </c>
    </row>
    <row r="332" spans="1:21" ht="16.5" thickBot="1" x14ac:dyDescent="0.3">
      <c r="A332" s="441" t="s">
        <v>132</v>
      </c>
    </row>
    <row r="333" spans="1:21" outlineLevel="1" x14ac:dyDescent="0.25">
      <c r="F333" s="921" t="s">
        <v>377</v>
      </c>
      <c r="G333" s="922"/>
      <c r="H333" s="922"/>
      <c r="I333" s="923"/>
      <c r="J333" s="924" t="s">
        <v>379</v>
      </c>
      <c r="K333" s="925"/>
      <c r="L333" s="925"/>
      <c r="M333" s="926"/>
      <c r="N333" s="924" t="s">
        <v>380</v>
      </c>
      <c r="O333" s="925"/>
      <c r="P333" s="925"/>
      <c r="Q333" s="926"/>
      <c r="R333" s="924" t="s">
        <v>378</v>
      </c>
      <c r="S333" s="925"/>
      <c r="T333" s="925"/>
      <c r="U333" s="926"/>
    </row>
    <row r="334" spans="1:21" ht="15.75" outlineLevel="1" thickBot="1" x14ac:dyDescent="0.3">
      <c r="F334" s="548" t="s">
        <v>282</v>
      </c>
      <c r="G334" s="549" t="s">
        <v>283</v>
      </c>
      <c r="H334" s="549" t="s">
        <v>284</v>
      </c>
      <c r="I334" s="550" t="s">
        <v>285</v>
      </c>
      <c r="J334" s="748" t="s">
        <v>282</v>
      </c>
      <c r="K334" s="749" t="s">
        <v>283</v>
      </c>
      <c r="L334" s="749" t="s">
        <v>284</v>
      </c>
      <c r="M334" s="750" t="s">
        <v>285</v>
      </c>
      <c r="N334" s="748" t="s">
        <v>282</v>
      </c>
      <c r="O334" s="749" t="s">
        <v>283</v>
      </c>
      <c r="P334" s="749" t="s">
        <v>284</v>
      </c>
      <c r="Q334" s="750" t="s">
        <v>285</v>
      </c>
      <c r="R334" s="748" t="s">
        <v>282</v>
      </c>
      <c r="S334" s="749" t="s">
        <v>283</v>
      </c>
      <c r="T334" s="749" t="s">
        <v>284</v>
      </c>
      <c r="U334" s="750" t="s">
        <v>285</v>
      </c>
    </row>
    <row r="335" spans="1:21" outlineLevel="1" x14ac:dyDescent="0.25">
      <c r="A335" s="559" t="s">
        <v>135</v>
      </c>
      <c r="F335" s="551"/>
      <c r="G335" s="551"/>
      <c r="H335" s="551"/>
      <c r="I335" s="551"/>
      <c r="J335" s="746"/>
      <c r="K335" s="746"/>
      <c r="L335" s="746"/>
      <c r="M335" s="746"/>
      <c r="N335" s="746"/>
      <c r="O335" s="746"/>
      <c r="P335" s="746"/>
      <c r="Q335" s="746"/>
      <c r="R335" s="746"/>
      <c r="S335" s="746"/>
      <c r="T335" s="746"/>
      <c r="U335" s="746"/>
    </row>
    <row r="336" spans="1:21" outlineLevel="1" x14ac:dyDescent="0.25">
      <c r="B336" s="542"/>
      <c r="C336" s="543"/>
      <c r="D336" s="543"/>
      <c r="E336" s="543" t="s">
        <v>315</v>
      </c>
      <c r="F336" s="552"/>
      <c r="G336" s="553"/>
      <c r="H336" s="553"/>
      <c r="I336" s="554"/>
      <c r="J336" s="552"/>
      <c r="K336" s="553"/>
      <c r="L336" s="553"/>
      <c r="M336" s="554"/>
      <c r="N336" s="552"/>
      <c r="O336" s="553"/>
      <c r="P336" s="553"/>
      <c r="Q336" s="554"/>
      <c r="R336" s="552"/>
      <c r="S336" s="553"/>
      <c r="T336" s="553"/>
      <c r="U336" s="554"/>
    </row>
    <row r="337" spans="1:21" outlineLevel="1" x14ac:dyDescent="0.25">
      <c r="B337" s="544"/>
      <c r="C337" s="545" t="s">
        <v>374</v>
      </c>
      <c r="D337" s="545"/>
      <c r="E337" s="545" t="s">
        <v>287</v>
      </c>
      <c r="F337" s="735">
        <f>'DUoS (t)'!$G$116*1</f>
        <v>0</v>
      </c>
      <c r="G337" s="736">
        <f>'TUoS (t)'!$G$116*1</f>
        <v>0</v>
      </c>
      <c r="H337" s="736">
        <f>'JSO (t)'!$G$116*1</f>
        <v>0</v>
      </c>
      <c r="I337" s="737">
        <f>SUM(F337:H337)</f>
        <v>0</v>
      </c>
      <c r="J337" s="734"/>
      <c r="K337" s="733"/>
      <c r="L337" s="733"/>
      <c r="M337" s="664">
        <f>SUM(J337:L337)</f>
        <v>0</v>
      </c>
      <c r="N337" s="734"/>
      <c r="O337" s="733"/>
      <c r="P337" s="733"/>
      <c r="Q337" s="664">
        <f>SUM(N337:P337)</f>
        <v>0</v>
      </c>
      <c r="R337" s="663">
        <f t="shared" ref="R337:T340" si="41">SUM(F337,J337,N337)</f>
        <v>0</v>
      </c>
      <c r="S337" s="555">
        <f t="shared" si="41"/>
        <v>0</v>
      </c>
      <c r="T337" s="555">
        <f t="shared" si="41"/>
        <v>0</v>
      </c>
      <c r="U337" s="664">
        <f>SUM(R337:T337)</f>
        <v>0</v>
      </c>
    </row>
    <row r="338" spans="1:21" outlineLevel="1" x14ac:dyDescent="0.25">
      <c r="B338" s="544"/>
      <c r="C338" s="545" t="s">
        <v>375</v>
      </c>
      <c r="D338" s="545">
        <v>4</v>
      </c>
      <c r="E338" s="545" t="s">
        <v>294</v>
      </c>
      <c r="F338" s="735">
        <f>'DUoS (t)'!$S$116</f>
        <v>0</v>
      </c>
      <c r="G338" s="736">
        <f>'TUoS (t)'!$S$116</f>
        <v>0.1162</v>
      </c>
      <c r="H338" s="736">
        <f>'JSO (t)'!$S$116</f>
        <v>0</v>
      </c>
      <c r="I338" s="737">
        <f>SUM(F338:H338)</f>
        <v>0.1162</v>
      </c>
      <c r="J338" s="734"/>
      <c r="K338" s="733"/>
      <c r="L338" s="733"/>
      <c r="M338" s="664">
        <f>SUM(J338:L338)</f>
        <v>0</v>
      </c>
      <c r="N338" s="734"/>
      <c r="O338" s="733"/>
      <c r="P338" s="733"/>
      <c r="Q338" s="664">
        <f>SUM(N338:P338)</f>
        <v>0</v>
      </c>
      <c r="R338" s="663">
        <f t="shared" si="41"/>
        <v>0</v>
      </c>
      <c r="S338" s="555">
        <f t="shared" si="41"/>
        <v>0.1162</v>
      </c>
      <c r="T338" s="555">
        <f t="shared" si="41"/>
        <v>0</v>
      </c>
      <c r="U338" s="664">
        <f>SUM(R338:T338)</f>
        <v>0.1162</v>
      </c>
    </row>
    <row r="339" spans="1:21" outlineLevel="1" x14ac:dyDescent="0.25">
      <c r="B339" s="544"/>
      <c r="C339" s="545" t="s">
        <v>376</v>
      </c>
      <c r="D339" s="545">
        <v>4</v>
      </c>
      <c r="E339" s="545" t="s">
        <v>294</v>
      </c>
      <c r="F339" s="735">
        <f>'DUoS (t)'!$T$116</f>
        <v>4.07E-2</v>
      </c>
      <c r="G339" s="736">
        <f>'TUoS (t)'!$T$116</f>
        <v>0</v>
      </c>
      <c r="H339" s="736">
        <f>'JSO (t)'!$T$116</f>
        <v>0</v>
      </c>
      <c r="I339" s="737">
        <f>SUM(F339:H339)</f>
        <v>4.07E-2</v>
      </c>
      <c r="J339" s="734"/>
      <c r="K339" s="733"/>
      <c r="L339" s="733"/>
      <c r="M339" s="664">
        <f>SUM(J339:L339)</f>
        <v>0</v>
      </c>
      <c r="N339" s="734"/>
      <c r="O339" s="733"/>
      <c r="P339" s="733"/>
      <c r="Q339" s="664">
        <f>SUM(N339:P339)</f>
        <v>0</v>
      </c>
      <c r="R339" s="663">
        <f t="shared" si="41"/>
        <v>4.07E-2</v>
      </c>
      <c r="S339" s="555">
        <f t="shared" si="41"/>
        <v>0</v>
      </c>
      <c r="T339" s="555">
        <f t="shared" si="41"/>
        <v>0</v>
      </c>
      <c r="U339" s="664">
        <f>SUM(R339:T339)</f>
        <v>4.07E-2</v>
      </c>
    </row>
    <row r="340" spans="1:21" outlineLevel="1" x14ac:dyDescent="0.25">
      <c r="B340" s="546"/>
      <c r="C340" s="547" t="s">
        <v>293</v>
      </c>
      <c r="D340" s="547"/>
      <c r="E340" s="547" t="s">
        <v>288</v>
      </c>
      <c r="F340" s="738">
        <f>'DUoS (t)'!$H$116</f>
        <v>1.6000000000000001E-3</v>
      </c>
      <c r="G340" s="739">
        <f>'TUoS (t)'!$H$116</f>
        <v>8.8000000000000005E-3</v>
      </c>
      <c r="H340" s="739">
        <f>'JSO (t)'!$H$116</f>
        <v>8.9999999999999998E-4</v>
      </c>
      <c r="I340" s="740">
        <f>SUM(F340:H340)</f>
        <v>1.1300000000000001E-2</v>
      </c>
      <c r="J340" s="560"/>
      <c r="K340" s="561"/>
      <c r="L340" s="561"/>
      <c r="M340" s="558">
        <f>SUM(J340:L340)</f>
        <v>0</v>
      </c>
      <c r="N340" s="560"/>
      <c r="O340" s="561"/>
      <c r="P340" s="561"/>
      <c r="Q340" s="558">
        <f>SUM(N340:P340)</f>
        <v>0</v>
      </c>
      <c r="R340" s="556">
        <f t="shared" si="41"/>
        <v>1.6000000000000001E-3</v>
      </c>
      <c r="S340" s="557">
        <f t="shared" si="41"/>
        <v>8.8000000000000005E-3</v>
      </c>
      <c r="T340" s="557">
        <f t="shared" si="41"/>
        <v>8.9999999999999998E-4</v>
      </c>
      <c r="U340" s="558">
        <f>SUM(R340:T340)</f>
        <v>1.1300000000000001E-2</v>
      </c>
    </row>
    <row r="341" spans="1:21" outlineLevel="1" x14ac:dyDescent="0.25">
      <c r="F341" s="741"/>
      <c r="G341" s="741"/>
      <c r="H341" s="741"/>
      <c r="I341" s="741"/>
    </row>
    <row r="342" spans="1:21" outlineLevel="1" x14ac:dyDescent="0.25">
      <c r="A342" s="559" t="s">
        <v>137</v>
      </c>
      <c r="F342" s="742"/>
      <c r="G342" s="742"/>
      <c r="H342" s="742"/>
      <c r="I342" s="742"/>
      <c r="J342" s="746"/>
      <c r="K342" s="746"/>
      <c r="L342" s="746"/>
      <c r="M342" s="746"/>
      <c r="N342" s="746"/>
      <c r="O342" s="746"/>
      <c r="P342" s="746"/>
      <c r="Q342" s="746"/>
      <c r="R342" s="746"/>
      <c r="S342" s="746"/>
      <c r="T342" s="746"/>
      <c r="U342" s="746"/>
    </row>
    <row r="343" spans="1:21" outlineLevel="1" x14ac:dyDescent="0.25">
      <c r="B343" s="542"/>
      <c r="C343" s="543"/>
      <c r="D343" s="543"/>
      <c r="E343" s="543" t="s">
        <v>315</v>
      </c>
      <c r="F343" s="743"/>
      <c r="G343" s="744"/>
      <c r="H343" s="744"/>
      <c r="I343" s="745"/>
      <c r="J343" s="552"/>
      <c r="K343" s="553"/>
      <c r="L343" s="553"/>
      <c r="M343" s="554"/>
      <c r="N343" s="552"/>
      <c r="O343" s="553"/>
      <c r="P343" s="553"/>
      <c r="Q343" s="554"/>
      <c r="R343" s="552"/>
      <c r="S343" s="553"/>
      <c r="T343" s="553"/>
      <c r="U343" s="554"/>
    </row>
    <row r="344" spans="1:21" outlineLevel="1" x14ac:dyDescent="0.25">
      <c r="B344" s="544"/>
      <c r="C344" s="545" t="s">
        <v>374</v>
      </c>
      <c r="D344" s="545"/>
      <c r="E344" s="545" t="s">
        <v>287</v>
      </c>
      <c r="F344" s="735">
        <f>'DUoS (t)'!$G$116*1</f>
        <v>0</v>
      </c>
      <c r="G344" s="736">
        <f>'TUoS (t)'!$G$116*1</f>
        <v>0</v>
      </c>
      <c r="H344" s="736">
        <f>'JSO (t)'!$G$116*1</f>
        <v>0</v>
      </c>
      <c r="I344" s="737">
        <f>SUM(F344:H344)</f>
        <v>0</v>
      </c>
      <c r="J344" s="734"/>
      <c r="K344" s="733"/>
      <c r="L344" s="733"/>
      <c r="M344" s="664">
        <f>SUM(J344:L344)</f>
        <v>0</v>
      </c>
      <c r="N344" s="734">
        <f>75555/365</f>
        <v>207</v>
      </c>
      <c r="O344" s="733"/>
      <c r="P344" s="733"/>
      <c r="Q344" s="664">
        <f>SUM(N344:P344)</f>
        <v>207</v>
      </c>
      <c r="R344" s="663">
        <f t="shared" ref="R344:T347" si="42">SUM(F344,J344,N344)</f>
        <v>207</v>
      </c>
      <c r="S344" s="555">
        <f t="shared" si="42"/>
        <v>0</v>
      </c>
      <c r="T344" s="555">
        <f t="shared" si="42"/>
        <v>0</v>
      </c>
      <c r="U344" s="664">
        <f>SUM(R344:T344)</f>
        <v>207</v>
      </c>
    </row>
    <row r="345" spans="1:21" outlineLevel="1" x14ac:dyDescent="0.25">
      <c r="B345" s="544"/>
      <c r="C345" s="545" t="s">
        <v>375</v>
      </c>
      <c r="D345" s="545">
        <v>4</v>
      </c>
      <c r="E345" s="545" t="s">
        <v>294</v>
      </c>
      <c r="F345" s="735">
        <f>'DUoS (t)'!$S$116</f>
        <v>0</v>
      </c>
      <c r="G345" s="736">
        <f>'TUoS (t)'!$S$116</f>
        <v>0.1162</v>
      </c>
      <c r="H345" s="736">
        <f>'JSO (t)'!$S$116</f>
        <v>0</v>
      </c>
      <c r="I345" s="737">
        <f>SUM(F345:H345)</f>
        <v>0.1162</v>
      </c>
      <c r="J345" s="734"/>
      <c r="K345" s="733"/>
      <c r="L345" s="733"/>
      <c r="M345" s="664">
        <f>SUM(J345:L345)</f>
        <v>0</v>
      </c>
      <c r="N345" s="734"/>
      <c r="O345" s="733"/>
      <c r="P345" s="733"/>
      <c r="Q345" s="664">
        <f>SUM(N345:P345)</f>
        <v>0</v>
      </c>
      <c r="R345" s="663">
        <f t="shared" si="42"/>
        <v>0</v>
      </c>
      <c r="S345" s="555">
        <f t="shared" si="42"/>
        <v>0.1162</v>
      </c>
      <c r="T345" s="555">
        <f t="shared" si="42"/>
        <v>0</v>
      </c>
      <c r="U345" s="664">
        <f>SUM(R345:T345)</f>
        <v>0.1162</v>
      </c>
    </row>
    <row r="346" spans="1:21" outlineLevel="1" x14ac:dyDescent="0.25">
      <c r="B346" s="544"/>
      <c r="C346" s="545" t="s">
        <v>376</v>
      </c>
      <c r="D346" s="545">
        <v>4</v>
      </c>
      <c r="E346" s="545" t="s">
        <v>294</v>
      </c>
      <c r="F346" s="735">
        <f>'DUoS (t)'!$T$116</f>
        <v>4.07E-2</v>
      </c>
      <c r="G346" s="736">
        <f>'TUoS (t)'!$T$116</f>
        <v>0</v>
      </c>
      <c r="H346" s="736">
        <f>'JSO (t)'!$T$116</f>
        <v>0</v>
      </c>
      <c r="I346" s="737">
        <f>SUM(F346:H346)</f>
        <v>4.07E-2</v>
      </c>
      <c r="J346" s="734"/>
      <c r="K346" s="733"/>
      <c r="L346" s="733"/>
      <c r="M346" s="664">
        <f>SUM(J346:L346)</f>
        <v>0</v>
      </c>
      <c r="N346" s="734"/>
      <c r="O346" s="733"/>
      <c r="P346" s="733"/>
      <c r="Q346" s="664">
        <f>SUM(N346:P346)</f>
        <v>0</v>
      </c>
      <c r="R346" s="663">
        <f t="shared" si="42"/>
        <v>4.07E-2</v>
      </c>
      <c r="S346" s="555">
        <f t="shared" si="42"/>
        <v>0</v>
      </c>
      <c r="T346" s="555">
        <f t="shared" si="42"/>
        <v>0</v>
      </c>
      <c r="U346" s="664">
        <f>SUM(R346:T346)</f>
        <v>4.07E-2</v>
      </c>
    </row>
    <row r="347" spans="1:21" outlineLevel="1" x14ac:dyDescent="0.25">
      <c r="B347" s="546"/>
      <c r="C347" s="547" t="s">
        <v>293</v>
      </c>
      <c r="D347" s="547"/>
      <c r="E347" s="547" t="s">
        <v>288</v>
      </c>
      <c r="F347" s="738">
        <f>'DUoS (t)'!$H$116</f>
        <v>1.6000000000000001E-3</v>
      </c>
      <c r="G347" s="739">
        <f>'TUoS (t)'!$H$116</f>
        <v>8.8000000000000005E-3</v>
      </c>
      <c r="H347" s="739">
        <f>'JSO (t)'!$H$116</f>
        <v>8.9999999999999998E-4</v>
      </c>
      <c r="I347" s="740">
        <f>SUM(F347:H347)</f>
        <v>1.1300000000000001E-2</v>
      </c>
      <c r="J347" s="560"/>
      <c r="K347" s="561"/>
      <c r="L347" s="561"/>
      <c r="M347" s="558">
        <f>SUM(J347:L347)</f>
        <v>0</v>
      </c>
      <c r="N347" s="560"/>
      <c r="O347" s="561"/>
      <c r="P347" s="561"/>
      <c r="Q347" s="558">
        <f>SUM(N347:P347)</f>
        <v>0</v>
      </c>
      <c r="R347" s="556">
        <f t="shared" si="42"/>
        <v>1.6000000000000001E-3</v>
      </c>
      <c r="S347" s="557">
        <f t="shared" si="42"/>
        <v>8.8000000000000005E-3</v>
      </c>
      <c r="T347" s="557">
        <f t="shared" si="42"/>
        <v>8.9999999999999998E-4</v>
      </c>
      <c r="U347" s="558">
        <f>SUM(R347:T347)</f>
        <v>1.1300000000000001E-2</v>
      </c>
    </row>
    <row r="348" spans="1:21" outlineLevel="1" x14ac:dyDescent="0.25">
      <c r="F348" s="741"/>
      <c r="G348" s="741"/>
      <c r="H348" s="741"/>
      <c r="I348" s="741"/>
    </row>
    <row r="349" spans="1:21" outlineLevel="1" x14ac:dyDescent="0.25">
      <c r="A349" s="559" t="s">
        <v>138</v>
      </c>
      <c r="F349" s="742"/>
      <c r="G349" s="742"/>
      <c r="H349" s="742"/>
      <c r="I349" s="742"/>
      <c r="J349" s="746"/>
      <c r="K349" s="746"/>
      <c r="L349" s="746"/>
      <c r="M349" s="746"/>
      <c r="N349" s="746"/>
      <c r="O349" s="746"/>
      <c r="P349" s="746"/>
      <c r="Q349" s="746"/>
      <c r="R349" s="746"/>
      <c r="S349" s="746"/>
      <c r="T349" s="746"/>
      <c r="U349" s="746"/>
    </row>
    <row r="350" spans="1:21" outlineLevel="1" x14ac:dyDescent="0.25">
      <c r="B350" s="542"/>
      <c r="C350" s="543"/>
      <c r="D350" s="543"/>
      <c r="E350" s="543" t="s">
        <v>315</v>
      </c>
      <c r="F350" s="743"/>
      <c r="G350" s="744"/>
      <c r="H350" s="744"/>
      <c r="I350" s="745"/>
      <c r="J350" s="552"/>
      <c r="K350" s="553"/>
      <c r="L350" s="553"/>
      <c r="M350" s="554"/>
      <c r="N350" s="552"/>
      <c r="O350" s="553"/>
      <c r="P350" s="553"/>
      <c r="Q350" s="554"/>
      <c r="R350" s="552"/>
      <c r="S350" s="553"/>
      <c r="T350" s="553"/>
      <c r="U350" s="554"/>
    </row>
    <row r="351" spans="1:21" outlineLevel="1" x14ac:dyDescent="0.25">
      <c r="B351" s="544"/>
      <c r="C351" s="545" t="s">
        <v>374</v>
      </c>
      <c r="D351" s="545"/>
      <c r="E351" s="545" t="s">
        <v>287</v>
      </c>
      <c r="F351" s="735">
        <f>'DUoS (t)'!$G$116*1</f>
        <v>0</v>
      </c>
      <c r="G351" s="736">
        <f>'TUoS (t)'!$G$116*1</f>
        <v>0</v>
      </c>
      <c r="H351" s="736">
        <f>'JSO (t)'!$G$116*1</f>
        <v>0</v>
      </c>
      <c r="I351" s="737">
        <f>SUM(F351:H351)</f>
        <v>0</v>
      </c>
      <c r="J351" s="734"/>
      <c r="K351" s="733"/>
      <c r="L351" s="733"/>
      <c r="M351" s="664">
        <f>SUM(J351:L351)</f>
        <v>0</v>
      </c>
      <c r="N351" s="734">
        <f>ROUND(166805/365,4)</f>
        <v>457</v>
      </c>
      <c r="O351" s="733"/>
      <c r="P351" s="733"/>
      <c r="Q351" s="664">
        <f>SUM(N351:P351)</f>
        <v>457</v>
      </c>
      <c r="R351" s="663">
        <f t="shared" ref="R351:T354" si="43">SUM(F351,J351,N351)</f>
        <v>457</v>
      </c>
      <c r="S351" s="555">
        <f t="shared" si="43"/>
        <v>0</v>
      </c>
      <c r="T351" s="555">
        <f t="shared" si="43"/>
        <v>0</v>
      </c>
      <c r="U351" s="664">
        <f>SUM(R351:T351)</f>
        <v>457</v>
      </c>
    </row>
    <row r="352" spans="1:21" outlineLevel="1" x14ac:dyDescent="0.25">
      <c r="B352" s="544"/>
      <c r="C352" s="545" t="s">
        <v>375</v>
      </c>
      <c r="D352" s="545">
        <v>4</v>
      </c>
      <c r="E352" s="545" t="s">
        <v>294</v>
      </c>
      <c r="F352" s="735">
        <f>'DUoS (t)'!$S$116</f>
        <v>0</v>
      </c>
      <c r="G352" s="736">
        <f>'TUoS (t)'!$S$116</f>
        <v>0.1162</v>
      </c>
      <c r="H352" s="736">
        <f>'JSO (t)'!$S$116</f>
        <v>0</v>
      </c>
      <c r="I352" s="737">
        <f>SUM(F352:H352)</f>
        <v>0.1162</v>
      </c>
      <c r="J352" s="734"/>
      <c r="K352" s="733"/>
      <c r="L352" s="733"/>
      <c r="M352" s="664">
        <f>SUM(J352:L352)</f>
        <v>0</v>
      </c>
      <c r="N352" s="734"/>
      <c r="O352" s="733"/>
      <c r="P352" s="733"/>
      <c r="Q352" s="664">
        <f>SUM(N352:P352)</f>
        <v>0</v>
      </c>
      <c r="R352" s="663">
        <f t="shared" si="43"/>
        <v>0</v>
      </c>
      <c r="S352" s="555">
        <f t="shared" si="43"/>
        <v>0.1162</v>
      </c>
      <c r="T352" s="555">
        <f t="shared" si="43"/>
        <v>0</v>
      </c>
      <c r="U352" s="664">
        <f>SUM(R352:T352)</f>
        <v>0.1162</v>
      </c>
    </row>
    <row r="353" spans="1:21" outlineLevel="1" x14ac:dyDescent="0.25">
      <c r="B353" s="544"/>
      <c r="C353" s="545" t="s">
        <v>376</v>
      </c>
      <c r="D353" s="545">
        <v>4</v>
      </c>
      <c r="E353" s="545" t="s">
        <v>294</v>
      </c>
      <c r="F353" s="735">
        <f>'DUoS (t)'!$T$116</f>
        <v>4.07E-2</v>
      </c>
      <c r="G353" s="736">
        <f>'TUoS (t)'!$T$116</f>
        <v>0</v>
      </c>
      <c r="H353" s="736">
        <f>'JSO (t)'!$T$116</f>
        <v>0</v>
      </c>
      <c r="I353" s="737">
        <f>SUM(F353:H353)</f>
        <v>4.07E-2</v>
      </c>
      <c r="J353" s="734"/>
      <c r="K353" s="733"/>
      <c r="L353" s="733"/>
      <c r="M353" s="664">
        <f>SUM(J353:L353)</f>
        <v>0</v>
      </c>
      <c r="N353" s="734"/>
      <c r="O353" s="733"/>
      <c r="P353" s="733"/>
      <c r="Q353" s="664">
        <f>SUM(N353:P353)</f>
        <v>0</v>
      </c>
      <c r="R353" s="663">
        <f t="shared" si="43"/>
        <v>4.07E-2</v>
      </c>
      <c r="S353" s="555">
        <f t="shared" si="43"/>
        <v>0</v>
      </c>
      <c r="T353" s="555">
        <f t="shared" si="43"/>
        <v>0</v>
      </c>
      <c r="U353" s="664">
        <f>SUM(R353:T353)</f>
        <v>4.07E-2</v>
      </c>
    </row>
    <row r="354" spans="1:21" outlineLevel="1" x14ac:dyDescent="0.25">
      <c r="B354" s="546"/>
      <c r="C354" s="547" t="s">
        <v>293</v>
      </c>
      <c r="D354" s="547"/>
      <c r="E354" s="547" t="s">
        <v>288</v>
      </c>
      <c r="F354" s="738">
        <f>'DUoS (t)'!$H$116</f>
        <v>1.6000000000000001E-3</v>
      </c>
      <c r="G354" s="739">
        <f>'TUoS (t)'!$H$116</f>
        <v>8.8000000000000005E-3</v>
      </c>
      <c r="H354" s="739">
        <f>'JSO (t)'!$H$116</f>
        <v>8.9999999999999998E-4</v>
      </c>
      <c r="I354" s="740">
        <f>SUM(F354:H354)</f>
        <v>1.1300000000000001E-2</v>
      </c>
      <c r="J354" s="560"/>
      <c r="K354" s="561"/>
      <c r="L354" s="561"/>
      <c r="M354" s="558">
        <f>SUM(J354:L354)</f>
        <v>0</v>
      </c>
      <c r="N354" s="560"/>
      <c r="O354" s="561"/>
      <c r="P354" s="561"/>
      <c r="Q354" s="558">
        <f>SUM(N354:P354)</f>
        <v>0</v>
      </c>
      <c r="R354" s="556">
        <f t="shared" si="43"/>
        <v>1.6000000000000001E-3</v>
      </c>
      <c r="S354" s="557">
        <f t="shared" si="43"/>
        <v>8.8000000000000005E-3</v>
      </c>
      <c r="T354" s="557">
        <f t="shared" si="43"/>
        <v>8.9999999999999998E-4</v>
      </c>
      <c r="U354" s="558">
        <f>SUM(R354:T354)</f>
        <v>1.1300000000000001E-2</v>
      </c>
    </row>
    <row r="355" spans="1:21" outlineLevel="1" x14ac:dyDescent="0.25"/>
    <row r="356" spans="1:21" x14ac:dyDescent="0.25">
      <c r="A356" s="563" t="s">
        <v>383</v>
      </c>
    </row>
    <row r="357" spans="1:21" ht="16.5" thickBot="1" x14ac:dyDescent="0.3">
      <c r="A357" s="441" t="s">
        <v>139</v>
      </c>
    </row>
    <row r="358" spans="1:21" outlineLevel="1" x14ac:dyDescent="0.25">
      <c r="F358" s="921" t="s">
        <v>377</v>
      </c>
      <c r="G358" s="922"/>
      <c r="H358" s="922"/>
      <c r="I358" s="923"/>
      <c r="J358" s="924" t="s">
        <v>379</v>
      </c>
      <c r="K358" s="925"/>
      <c r="L358" s="925"/>
      <c r="M358" s="926"/>
      <c r="N358" s="924" t="s">
        <v>380</v>
      </c>
      <c r="O358" s="925"/>
      <c r="P358" s="925"/>
      <c r="Q358" s="926"/>
      <c r="R358" s="924" t="s">
        <v>378</v>
      </c>
      <c r="S358" s="925"/>
      <c r="T358" s="925"/>
      <c r="U358" s="926"/>
    </row>
    <row r="359" spans="1:21" ht="15.75" outlineLevel="1" thickBot="1" x14ac:dyDescent="0.3">
      <c r="F359" s="548" t="s">
        <v>282</v>
      </c>
      <c r="G359" s="549" t="s">
        <v>283</v>
      </c>
      <c r="H359" s="549" t="s">
        <v>284</v>
      </c>
      <c r="I359" s="550" t="s">
        <v>285</v>
      </c>
      <c r="J359" s="748" t="s">
        <v>282</v>
      </c>
      <c r="K359" s="749" t="s">
        <v>283</v>
      </c>
      <c r="L359" s="749" t="s">
        <v>284</v>
      </c>
      <c r="M359" s="750" t="s">
        <v>285</v>
      </c>
      <c r="N359" s="748" t="s">
        <v>282</v>
      </c>
      <c r="O359" s="749" t="s">
        <v>283</v>
      </c>
      <c r="P359" s="749" t="s">
        <v>284</v>
      </c>
      <c r="Q359" s="750" t="s">
        <v>285</v>
      </c>
      <c r="R359" s="748" t="s">
        <v>282</v>
      </c>
      <c r="S359" s="749" t="s">
        <v>283</v>
      </c>
      <c r="T359" s="749" t="s">
        <v>284</v>
      </c>
      <c r="U359" s="750" t="s">
        <v>285</v>
      </c>
    </row>
    <row r="360" spans="1:21" outlineLevel="1" x14ac:dyDescent="0.25">
      <c r="A360" s="559" t="s">
        <v>140</v>
      </c>
      <c r="F360" s="551"/>
      <c r="G360" s="551"/>
      <c r="H360" s="551"/>
      <c r="I360" s="551"/>
      <c r="J360" s="746"/>
      <c r="K360" s="746"/>
      <c r="L360" s="746"/>
      <c r="M360" s="746"/>
      <c r="N360" s="746"/>
      <c r="O360" s="746"/>
      <c r="P360" s="746"/>
      <c r="Q360" s="746"/>
      <c r="R360" s="746"/>
      <c r="S360" s="746"/>
      <c r="T360" s="746"/>
      <c r="U360" s="746"/>
    </row>
    <row r="361" spans="1:21" outlineLevel="1" x14ac:dyDescent="0.25">
      <c r="B361" s="542"/>
      <c r="C361" s="543"/>
      <c r="D361" s="543"/>
      <c r="E361" s="543" t="s">
        <v>315</v>
      </c>
      <c r="F361" s="552"/>
      <c r="G361" s="553"/>
      <c r="H361" s="553"/>
      <c r="I361" s="554"/>
      <c r="J361" s="552"/>
      <c r="K361" s="553"/>
      <c r="L361" s="553"/>
      <c r="M361" s="554"/>
      <c r="N361" s="552"/>
      <c r="O361" s="553"/>
      <c r="P361" s="553"/>
      <c r="Q361" s="554"/>
      <c r="R361" s="552"/>
      <c r="S361" s="553"/>
      <c r="T361" s="553"/>
      <c r="U361" s="554"/>
    </row>
    <row r="362" spans="1:21" outlineLevel="1" x14ac:dyDescent="0.25">
      <c r="B362" s="544"/>
      <c r="C362" s="545" t="s">
        <v>374</v>
      </c>
      <c r="D362" s="545"/>
      <c r="E362" s="545" t="s">
        <v>287</v>
      </c>
      <c r="F362" s="663">
        <f>'DUoS (t)'!$G$116*1</f>
        <v>0</v>
      </c>
      <c r="G362" s="555">
        <f>'TUoS (t)'!$G$116*1</f>
        <v>0</v>
      </c>
      <c r="H362" s="555">
        <f>'JSO (t)'!$G$116*1</f>
        <v>0</v>
      </c>
      <c r="I362" s="664">
        <f>SUM(F362:H362)</f>
        <v>0</v>
      </c>
      <c r="J362" s="734"/>
      <c r="K362" s="733">
        <f>-G362</f>
        <v>0</v>
      </c>
      <c r="L362" s="733"/>
      <c r="M362" s="664">
        <f>SUM(J362:L362)</f>
        <v>0</v>
      </c>
      <c r="N362" s="734"/>
      <c r="O362" s="733">
        <f>'[18]3.1 Nyrstar STr'!$I$44</f>
        <v>737.73490000000004</v>
      </c>
      <c r="P362" s="733"/>
      <c r="Q362" s="664">
        <f>SUM(N362:P362)</f>
        <v>737.73490000000004</v>
      </c>
      <c r="R362" s="663">
        <f t="shared" ref="R362:T365" si="44">SUM(F362,J362,N362)</f>
        <v>0</v>
      </c>
      <c r="S362" s="555">
        <f t="shared" si="44"/>
        <v>737.73490000000004</v>
      </c>
      <c r="T362" s="555">
        <f t="shared" si="44"/>
        <v>0</v>
      </c>
      <c r="U362" s="664">
        <f>SUM(R362:T362)</f>
        <v>737.73490000000004</v>
      </c>
    </row>
    <row r="363" spans="1:21" outlineLevel="1" x14ac:dyDescent="0.25">
      <c r="B363" s="544"/>
      <c r="C363" s="545" t="s">
        <v>375</v>
      </c>
      <c r="D363" s="545">
        <v>4</v>
      </c>
      <c r="E363" s="545" t="s">
        <v>294</v>
      </c>
      <c r="F363" s="663">
        <f>'DUoS (t)'!$S$116</f>
        <v>0</v>
      </c>
      <c r="G363" s="555">
        <f>'TUoS (t)'!$S$116</f>
        <v>0.1162</v>
      </c>
      <c r="H363" s="555">
        <f>'JSO (t)'!$S$116</f>
        <v>0</v>
      </c>
      <c r="I363" s="664">
        <f>SUM(F363:H363)</f>
        <v>0.1162</v>
      </c>
      <c r="J363" s="734"/>
      <c r="K363" s="733">
        <f>-G363</f>
        <v>-0.1162</v>
      </c>
      <c r="L363" s="733"/>
      <c r="M363" s="664">
        <f>SUM(J363:L363)</f>
        <v>-0.1162</v>
      </c>
      <c r="N363" s="734"/>
      <c r="O363" s="733">
        <f>'[18]3.1 Nyrstar STr'!$I$45</f>
        <v>0.21640000000000001</v>
      </c>
      <c r="P363" s="733"/>
      <c r="Q363" s="664">
        <f>SUM(N363:P363)</f>
        <v>0.21640000000000001</v>
      </c>
      <c r="R363" s="663">
        <f t="shared" si="44"/>
        <v>0</v>
      </c>
      <c r="S363" s="555">
        <f t="shared" si="44"/>
        <v>0.21640000000000001</v>
      </c>
      <c r="T363" s="555">
        <f t="shared" si="44"/>
        <v>0</v>
      </c>
      <c r="U363" s="664">
        <f>SUM(R363:T363)</f>
        <v>0.21640000000000001</v>
      </c>
    </row>
    <row r="364" spans="1:21" outlineLevel="1" x14ac:dyDescent="0.25">
      <c r="B364" s="544"/>
      <c r="C364" s="545" t="s">
        <v>376</v>
      </c>
      <c r="D364" s="545">
        <v>4</v>
      </c>
      <c r="E364" s="545" t="s">
        <v>294</v>
      </c>
      <c r="F364" s="663">
        <f>'DUoS (t)'!$T$116</f>
        <v>4.07E-2</v>
      </c>
      <c r="G364" s="555">
        <f>'TUoS (t)'!$T$116</f>
        <v>0</v>
      </c>
      <c r="H364" s="555">
        <f>'JSO (t)'!$T$116</f>
        <v>0</v>
      </c>
      <c r="I364" s="664">
        <f>SUM(F364:H364)</f>
        <v>4.07E-2</v>
      </c>
      <c r="J364" s="734"/>
      <c r="K364" s="733">
        <f>-G364</f>
        <v>0</v>
      </c>
      <c r="L364" s="733"/>
      <c r="M364" s="664">
        <f>SUM(J364:L364)</f>
        <v>0</v>
      </c>
      <c r="N364" s="734"/>
      <c r="O364" s="733"/>
      <c r="P364" s="733"/>
      <c r="Q364" s="664">
        <f>SUM(N364:P364)</f>
        <v>0</v>
      </c>
      <c r="R364" s="663">
        <f t="shared" si="44"/>
        <v>4.07E-2</v>
      </c>
      <c r="S364" s="555">
        <f t="shared" si="44"/>
        <v>0</v>
      </c>
      <c r="T364" s="555">
        <f t="shared" si="44"/>
        <v>0</v>
      </c>
      <c r="U364" s="664">
        <f>SUM(R364:T364)</f>
        <v>4.07E-2</v>
      </c>
    </row>
    <row r="365" spans="1:21" outlineLevel="1" x14ac:dyDescent="0.25">
      <c r="B365" s="546"/>
      <c r="C365" s="547" t="s">
        <v>293</v>
      </c>
      <c r="D365" s="547"/>
      <c r="E365" s="547" t="s">
        <v>288</v>
      </c>
      <c r="F365" s="556">
        <f>'DUoS (t)'!$H$116</f>
        <v>1.6000000000000001E-3</v>
      </c>
      <c r="G365" s="557">
        <f>'TUoS (t)'!$H$116</f>
        <v>8.8000000000000005E-3</v>
      </c>
      <c r="H365" s="557">
        <f>'JSO (t)'!$H$116</f>
        <v>8.9999999999999998E-4</v>
      </c>
      <c r="I365" s="558">
        <f>SUM(F365:H365)</f>
        <v>1.1300000000000001E-2</v>
      </c>
      <c r="J365" s="560"/>
      <c r="K365" s="561">
        <f>-G365</f>
        <v>-8.8000000000000005E-3</v>
      </c>
      <c r="L365" s="561"/>
      <c r="M365" s="558">
        <f>SUM(J365:L365)</f>
        <v>-8.8000000000000005E-3</v>
      </c>
      <c r="N365" s="560"/>
      <c r="O365" s="561">
        <f>'[18]3.1 Nyrstar STr'!$I$46</f>
        <v>0</v>
      </c>
      <c r="P365" s="561"/>
      <c r="Q365" s="558">
        <f>SUM(N365:P365)</f>
        <v>0</v>
      </c>
      <c r="R365" s="556">
        <f t="shared" si="44"/>
        <v>1.6000000000000001E-3</v>
      </c>
      <c r="S365" s="557">
        <f t="shared" si="44"/>
        <v>0</v>
      </c>
      <c r="T365" s="557">
        <f t="shared" si="44"/>
        <v>8.9999999999999998E-4</v>
      </c>
      <c r="U365" s="558">
        <f>SUM(R365:T365)</f>
        <v>2.5000000000000001E-3</v>
      </c>
    </row>
    <row r="366" spans="1:21" outlineLevel="1" x14ac:dyDescent="0.25">
      <c r="F366" s="414"/>
      <c r="G366" s="414"/>
      <c r="H366" s="414"/>
      <c r="I366" s="414"/>
    </row>
    <row r="367" spans="1:21" outlineLevel="1" x14ac:dyDescent="0.25">
      <c r="A367" s="559" t="s">
        <v>142</v>
      </c>
      <c r="F367" s="746"/>
      <c r="G367" s="746"/>
      <c r="H367" s="746"/>
      <c r="I367" s="746"/>
      <c r="J367" s="746"/>
      <c r="K367" s="746"/>
      <c r="L367" s="746"/>
      <c r="M367" s="746"/>
      <c r="N367" s="746"/>
      <c r="O367" s="746"/>
      <c r="P367" s="746"/>
      <c r="Q367" s="746"/>
      <c r="R367" s="746"/>
      <c r="S367" s="746"/>
      <c r="T367" s="746"/>
      <c r="U367" s="746"/>
    </row>
    <row r="368" spans="1:21" outlineLevel="1" x14ac:dyDescent="0.25">
      <c r="B368" s="542"/>
      <c r="C368" s="543"/>
      <c r="D368" s="543"/>
      <c r="E368" s="543" t="s">
        <v>315</v>
      </c>
      <c r="F368" s="552"/>
      <c r="G368" s="553"/>
      <c r="H368" s="553"/>
      <c r="I368" s="554"/>
      <c r="J368" s="552"/>
      <c r="K368" s="553"/>
      <c r="L368" s="553"/>
      <c r="M368" s="554"/>
      <c r="N368" s="552"/>
      <c r="O368" s="553"/>
      <c r="P368" s="553"/>
      <c r="Q368" s="554"/>
      <c r="R368" s="552"/>
      <c r="S368" s="553"/>
      <c r="T368" s="553"/>
      <c r="U368" s="554"/>
    </row>
    <row r="369" spans="1:21" outlineLevel="1" x14ac:dyDescent="0.25">
      <c r="B369" s="544"/>
      <c r="C369" s="545" t="s">
        <v>374</v>
      </c>
      <c r="D369" s="545"/>
      <c r="E369" s="545" t="s">
        <v>287</v>
      </c>
      <c r="F369" s="663">
        <f>'DUoS (t)'!$G$116*1</f>
        <v>0</v>
      </c>
      <c r="G369" s="555">
        <f>'TUoS (t)'!$G$116*1</f>
        <v>0</v>
      </c>
      <c r="H369" s="555">
        <f>'JSO (t)'!$G$116*1</f>
        <v>0</v>
      </c>
      <c r="I369" s="664">
        <f>SUM(F369:H369)</f>
        <v>0</v>
      </c>
      <c r="J369" s="734"/>
      <c r="K369" s="733">
        <f>-G369</f>
        <v>0</v>
      </c>
      <c r="L369" s="733"/>
      <c r="M369" s="664">
        <f>SUM(J369:L369)</f>
        <v>0</v>
      </c>
      <c r="N369" s="734"/>
      <c r="O369" s="733">
        <f>'[18]1.1 Onesteel'!$I$42</f>
        <v>8326.2000000000007</v>
      </c>
      <c r="P369" s="733"/>
      <c r="Q369" s="664">
        <f>SUM(N369:P369)</f>
        <v>8326.2000000000007</v>
      </c>
      <c r="R369" s="663">
        <f t="shared" ref="R369:T372" si="45">SUM(F369,J369,N369)</f>
        <v>0</v>
      </c>
      <c r="S369" s="555">
        <f t="shared" si="45"/>
        <v>8326.2000000000007</v>
      </c>
      <c r="T369" s="555">
        <f t="shared" si="45"/>
        <v>0</v>
      </c>
      <c r="U369" s="664">
        <f>SUM(R369:T369)</f>
        <v>8326.2000000000007</v>
      </c>
    </row>
    <row r="370" spans="1:21" outlineLevel="1" x14ac:dyDescent="0.25">
      <c r="B370" s="544"/>
      <c r="C370" s="545" t="s">
        <v>375</v>
      </c>
      <c r="D370" s="545">
        <v>4</v>
      </c>
      <c r="E370" s="545" t="s">
        <v>294</v>
      </c>
      <c r="F370" s="663">
        <f>'DUoS (t)'!$S$116</f>
        <v>0</v>
      </c>
      <c r="G370" s="555">
        <f>'TUoS (t)'!$S$116</f>
        <v>0.1162</v>
      </c>
      <c r="H370" s="555">
        <f>'JSO (t)'!$S$116</f>
        <v>0</v>
      </c>
      <c r="I370" s="664">
        <f>SUM(F370:H370)</f>
        <v>0.1162</v>
      </c>
      <c r="J370" s="734"/>
      <c r="K370" s="733">
        <f>-G370</f>
        <v>-0.1162</v>
      </c>
      <c r="L370" s="733"/>
      <c r="M370" s="664">
        <f>SUM(J370:L370)</f>
        <v>-0.1162</v>
      </c>
      <c r="N370" s="734"/>
      <c r="O370" s="733"/>
      <c r="P370" s="733"/>
      <c r="Q370" s="664">
        <f>SUM(N370:P370)</f>
        <v>0</v>
      </c>
      <c r="R370" s="663">
        <f t="shared" si="45"/>
        <v>0</v>
      </c>
      <c r="S370" s="555">
        <f t="shared" si="45"/>
        <v>0</v>
      </c>
      <c r="T370" s="555">
        <f t="shared" si="45"/>
        <v>0</v>
      </c>
      <c r="U370" s="664">
        <f>SUM(R370:T370)</f>
        <v>0</v>
      </c>
    </row>
    <row r="371" spans="1:21" outlineLevel="1" x14ac:dyDescent="0.25">
      <c r="B371" s="544"/>
      <c r="C371" s="545" t="s">
        <v>376</v>
      </c>
      <c r="D371" s="545">
        <v>4</v>
      </c>
      <c r="E371" s="545" t="s">
        <v>294</v>
      </c>
      <c r="F371" s="663">
        <f>'DUoS (t)'!$T$116</f>
        <v>4.07E-2</v>
      </c>
      <c r="G371" s="555">
        <f>'TUoS (t)'!$T$116</f>
        <v>0</v>
      </c>
      <c r="H371" s="555">
        <f>'JSO (t)'!$T$116</f>
        <v>0</v>
      </c>
      <c r="I371" s="664">
        <f>SUM(F371:H371)</f>
        <v>4.07E-2</v>
      </c>
      <c r="J371" s="734"/>
      <c r="K371" s="733">
        <f>-G371</f>
        <v>0</v>
      </c>
      <c r="L371" s="733"/>
      <c r="M371" s="664">
        <f>SUM(J371:L371)</f>
        <v>0</v>
      </c>
      <c r="N371" s="734"/>
      <c r="O371" s="733"/>
      <c r="P371" s="733"/>
      <c r="Q371" s="664">
        <f>SUM(N371:P371)</f>
        <v>0</v>
      </c>
      <c r="R371" s="663">
        <f t="shared" si="45"/>
        <v>4.07E-2</v>
      </c>
      <c r="S371" s="555">
        <f t="shared" si="45"/>
        <v>0</v>
      </c>
      <c r="T371" s="555">
        <f t="shared" si="45"/>
        <v>0</v>
      </c>
      <c r="U371" s="664">
        <f>SUM(R371:T371)</f>
        <v>4.07E-2</v>
      </c>
    </row>
    <row r="372" spans="1:21" outlineLevel="1" x14ac:dyDescent="0.25">
      <c r="B372" s="546"/>
      <c r="C372" s="547" t="s">
        <v>293</v>
      </c>
      <c r="D372" s="547"/>
      <c r="E372" s="547" t="s">
        <v>288</v>
      </c>
      <c r="F372" s="556">
        <f>'DUoS (t)'!$H$116</f>
        <v>1.6000000000000001E-3</v>
      </c>
      <c r="G372" s="557">
        <f>'TUoS (t)'!$H$116</f>
        <v>8.8000000000000005E-3</v>
      </c>
      <c r="H372" s="557">
        <f>'JSO (t)'!$H$116</f>
        <v>8.9999999999999998E-4</v>
      </c>
      <c r="I372" s="558">
        <f>SUM(F372:H372)</f>
        <v>1.1300000000000001E-2</v>
      </c>
      <c r="J372" s="560"/>
      <c r="K372" s="561">
        <f>-G372</f>
        <v>-8.8000000000000005E-3</v>
      </c>
      <c r="L372" s="561"/>
      <c r="M372" s="558">
        <f>SUM(J372:L372)</f>
        <v>-8.8000000000000005E-3</v>
      </c>
      <c r="N372" s="560"/>
      <c r="O372" s="561"/>
      <c r="P372" s="561"/>
      <c r="Q372" s="558">
        <f>SUM(N372:P372)</f>
        <v>0</v>
      </c>
      <c r="R372" s="556">
        <f t="shared" si="45"/>
        <v>1.6000000000000001E-3</v>
      </c>
      <c r="S372" s="557">
        <f t="shared" si="45"/>
        <v>0</v>
      </c>
      <c r="T372" s="557">
        <f t="shared" si="45"/>
        <v>8.9999999999999998E-4</v>
      </c>
      <c r="U372" s="558">
        <f>SUM(R372:T372)</f>
        <v>2.5000000000000001E-3</v>
      </c>
    </row>
    <row r="373" spans="1:21" outlineLevel="1" x14ac:dyDescent="0.25">
      <c r="F373" s="414"/>
      <c r="G373" s="414"/>
      <c r="H373" s="414"/>
      <c r="I373" s="414"/>
    </row>
    <row r="374" spans="1:21" outlineLevel="1" x14ac:dyDescent="0.25">
      <c r="A374" s="559" t="s">
        <v>143</v>
      </c>
      <c r="F374" s="746"/>
      <c r="G374" s="746"/>
      <c r="H374" s="746"/>
      <c r="I374" s="746"/>
      <c r="J374" s="746"/>
      <c r="K374" s="746"/>
      <c r="L374" s="746"/>
      <c r="M374" s="746"/>
      <c r="N374" s="746"/>
      <c r="O374" s="746"/>
      <c r="P374" s="746"/>
      <c r="Q374" s="746"/>
      <c r="R374" s="746"/>
      <c r="S374" s="746"/>
      <c r="T374" s="746"/>
      <c r="U374" s="746"/>
    </row>
    <row r="375" spans="1:21" outlineLevel="1" x14ac:dyDescent="0.25">
      <c r="B375" s="542"/>
      <c r="C375" s="543"/>
      <c r="D375" s="543"/>
      <c r="E375" s="543" t="s">
        <v>315</v>
      </c>
      <c r="F375" s="552"/>
      <c r="G375" s="553"/>
      <c r="H375" s="553"/>
      <c r="I375" s="554"/>
      <c r="J375" s="552"/>
      <c r="K375" s="553"/>
      <c r="L375" s="553"/>
      <c r="M375" s="554"/>
      <c r="N375" s="552"/>
      <c r="O375" s="553"/>
      <c r="P375" s="553"/>
      <c r="Q375" s="554"/>
      <c r="R375" s="552"/>
      <c r="S375" s="553"/>
      <c r="T375" s="553"/>
      <c r="U375" s="554"/>
    </row>
    <row r="376" spans="1:21" outlineLevel="1" x14ac:dyDescent="0.25">
      <c r="B376" s="544"/>
      <c r="C376" s="545" t="s">
        <v>374</v>
      </c>
      <c r="D376" s="545"/>
      <c r="E376" s="545" t="s">
        <v>287</v>
      </c>
      <c r="F376" s="663">
        <f>'DUoS (t)'!$G$116*1</f>
        <v>0</v>
      </c>
      <c r="G376" s="555">
        <f>'TUoS (t)'!$G$116*1</f>
        <v>0</v>
      </c>
      <c r="H376" s="555">
        <f>'JSO (t)'!$G$116*1</f>
        <v>0</v>
      </c>
      <c r="I376" s="664">
        <f>SUM(F376:H376)</f>
        <v>0</v>
      </c>
      <c r="J376" s="734"/>
      <c r="K376" s="733">
        <f>-G376</f>
        <v>0</v>
      </c>
      <c r="L376" s="733"/>
      <c r="M376" s="664">
        <f>SUM(J376:L376)</f>
        <v>0</v>
      </c>
      <c r="N376" s="734"/>
      <c r="O376" s="733">
        <f>'[18]9.3D Desal Combined'!$I$44</f>
        <v>777.5299</v>
      </c>
      <c r="P376" s="733"/>
      <c r="Q376" s="664">
        <f>SUM(N376:P376)</f>
        <v>777.5299</v>
      </c>
      <c r="R376" s="663">
        <f t="shared" ref="R376:T379" si="46">SUM(F376,J376,N376)</f>
        <v>0</v>
      </c>
      <c r="S376" s="555">
        <f t="shared" si="46"/>
        <v>777.5299</v>
      </c>
      <c r="T376" s="555">
        <f t="shared" si="46"/>
        <v>0</v>
      </c>
      <c r="U376" s="664">
        <f>SUM(R376:T376)</f>
        <v>777.5299</v>
      </c>
    </row>
    <row r="377" spans="1:21" outlineLevel="1" x14ac:dyDescent="0.25">
      <c r="B377" s="544"/>
      <c r="C377" s="545" t="s">
        <v>375</v>
      </c>
      <c r="D377" s="545">
        <v>4</v>
      </c>
      <c r="E377" s="545" t="s">
        <v>294</v>
      </c>
      <c r="F377" s="663">
        <f>'DUoS (t)'!$S$116</f>
        <v>0</v>
      </c>
      <c r="G377" s="555">
        <f>'TUoS (t)'!$S$116</f>
        <v>0.1162</v>
      </c>
      <c r="H377" s="555">
        <f>'JSO (t)'!$S$116</f>
        <v>0</v>
      </c>
      <c r="I377" s="664">
        <f>SUM(F377:H377)</f>
        <v>0.1162</v>
      </c>
      <c r="J377" s="734"/>
      <c r="K377" s="733">
        <f>-G377</f>
        <v>-0.1162</v>
      </c>
      <c r="L377" s="733"/>
      <c r="M377" s="664">
        <f>SUM(J377:L377)</f>
        <v>-0.1162</v>
      </c>
      <c r="N377" s="734"/>
      <c r="O377" s="733">
        <f>'[18]9.3D Desal Combined'!$I$45</f>
        <v>3.8699999999999998E-2</v>
      </c>
      <c r="P377" s="733"/>
      <c r="Q377" s="664">
        <f>SUM(N377:P377)</f>
        <v>3.8699999999999998E-2</v>
      </c>
      <c r="R377" s="663">
        <f t="shared" si="46"/>
        <v>0</v>
      </c>
      <c r="S377" s="555">
        <f t="shared" si="46"/>
        <v>3.8699999999999998E-2</v>
      </c>
      <c r="T377" s="555">
        <f t="shared" si="46"/>
        <v>0</v>
      </c>
      <c r="U377" s="664">
        <f>SUM(R377:T377)</f>
        <v>3.8699999999999998E-2</v>
      </c>
    </row>
    <row r="378" spans="1:21" outlineLevel="1" x14ac:dyDescent="0.25">
      <c r="B378" s="544"/>
      <c r="C378" s="545" t="s">
        <v>376</v>
      </c>
      <c r="D378" s="545">
        <v>4</v>
      </c>
      <c r="E378" s="545" t="s">
        <v>294</v>
      </c>
      <c r="F378" s="663">
        <f>'DUoS (t)'!$T$116</f>
        <v>4.07E-2</v>
      </c>
      <c r="G378" s="555">
        <f>'TUoS (t)'!$T$116</f>
        <v>0</v>
      </c>
      <c r="H378" s="555">
        <f>'JSO (t)'!$T$116</f>
        <v>0</v>
      </c>
      <c r="I378" s="664">
        <f>SUM(F378:H378)</f>
        <v>4.07E-2</v>
      </c>
      <c r="J378" s="734"/>
      <c r="K378" s="733">
        <f>-G378</f>
        <v>0</v>
      </c>
      <c r="L378" s="733"/>
      <c r="M378" s="664">
        <f>SUM(J378:L378)</f>
        <v>0</v>
      </c>
      <c r="N378" s="734"/>
      <c r="O378" s="733"/>
      <c r="P378" s="733"/>
      <c r="Q378" s="664">
        <f>SUM(N378:P378)</f>
        <v>0</v>
      </c>
      <c r="R378" s="663">
        <f t="shared" si="46"/>
        <v>4.07E-2</v>
      </c>
      <c r="S378" s="555">
        <f t="shared" si="46"/>
        <v>0</v>
      </c>
      <c r="T378" s="555">
        <f t="shared" si="46"/>
        <v>0</v>
      </c>
      <c r="U378" s="664">
        <f>SUM(R378:T378)</f>
        <v>4.07E-2</v>
      </c>
    </row>
    <row r="379" spans="1:21" outlineLevel="1" x14ac:dyDescent="0.25">
      <c r="B379" s="546"/>
      <c r="C379" s="547" t="s">
        <v>293</v>
      </c>
      <c r="D379" s="547"/>
      <c r="E379" s="547" t="s">
        <v>288</v>
      </c>
      <c r="F379" s="556">
        <f>'DUoS (t)'!$H$116</f>
        <v>1.6000000000000001E-3</v>
      </c>
      <c r="G379" s="557">
        <f>'TUoS (t)'!$H$116</f>
        <v>8.8000000000000005E-3</v>
      </c>
      <c r="H379" s="557">
        <f>'JSO (t)'!$H$116</f>
        <v>8.9999999999999998E-4</v>
      </c>
      <c r="I379" s="558">
        <f>SUM(F379:H379)</f>
        <v>1.1300000000000001E-2</v>
      </c>
      <c r="J379" s="560"/>
      <c r="K379" s="561">
        <f>-G379</f>
        <v>-8.8000000000000005E-3</v>
      </c>
      <c r="L379" s="561"/>
      <c r="M379" s="558">
        <f>SUM(J379:L379)</f>
        <v>-8.8000000000000005E-3</v>
      </c>
      <c r="N379" s="560"/>
      <c r="O379" s="561">
        <f>'[18]9.3D Desal Combined'!$I$46</f>
        <v>2.06E-2</v>
      </c>
      <c r="P379" s="561"/>
      <c r="Q379" s="558">
        <f>SUM(N379:P379)</f>
        <v>2.06E-2</v>
      </c>
      <c r="R379" s="556">
        <f t="shared" si="46"/>
        <v>1.6000000000000001E-3</v>
      </c>
      <c r="S379" s="557">
        <f t="shared" si="46"/>
        <v>2.06E-2</v>
      </c>
      <c r="T379" s="557">
        <f t="shared" si="46"/>
        <v>8.9999999999999998E-4</v>
      </c>
      <c r="U379" s="558">
        <f>SUM(R379:T379)</f>
        <v>2.3100000000000002E-2</v>
      </c>
    </row>
    <row r="380" spans="1:21" outlineLevel="1" x14ac:dyDescent="0.25">
      <c r="F380" s="414"/>
      <c r="G380" s="414"/>
      <c r="H380" s="414"/>
      <c r="I380" s="414"/>
    </row>
    <row r="381" spans="1:21" outlineLevel="1" x14ac:dyDescent="0.25">
      <c r="A381" s="559" t="s">
        <v>144</v>
      </c>
      <c r="F381" s="746"/>
      <c r="G381" s="746"/>
      <c r="H381" s="746"/>
      <c r="I381" s="746"/>
      <c r="J381" s="746"/>
      <c r="K381" s="746"/>
      <c r="L381" s="746"/>
      <c r="M381" s="746"/>
      <c r="N381" s="746"/>
      <c r="O381" s="746"/>
      <c r="P381" s="746"/>
      <c r="Q381" s="746"/>
      <c r="R381" s="746"/>
      <c r="S381" s="746"/>
      <c r="T381" s="746"/>
      <c r="U381" s="746"/>
    </row>
    <row r="382" spans="1:21" outlineLevel="1" x14ac:dyDescent="0.25">
      <c r="B382" s="542"/>
      <c r="C382" s="543"/>
      <c r="D382" s="543"/>
      <c r="E382" s="543" t="s">
        <v>315</v>
      </c>
      <c r="F382" s="552"/>
      <c r="G382" s="553"/>
      <c r="H382" s="553"/>
      <c r="I382" s="554"/>
      <c r="J382" s="552"/>
      <c r="K382" s="553"/>
      <c r="L382" s="553"/>
      <c r="M382" s="554"/>
      <c r="N382" s="552"/>
      <c r="O382" s="553"/>
      <c r="P382" s="553"/>
      <c r="Q382" s="554"/>
      <c r="R382" s="552"/>
      <c r="S382" s="553"/>
      <c r="T382" s="553"/>
      <c r="U382" s="554"/>
    </row>
    <row r="383" spans="1:21" outlineLevel="1" x14ac:dyDescent="0.25">
      <c r="B383" s="544"/>
      <c r="C383" s="545" t="s">
        <v>374</v>
      </c>
      <c r="D383" s="545"/>
      <c r="E383" s="545" t="s">
        <v>287</v>
      </c>
      <c r="F383" s="663">
        <f>'DUoS (t)'!$G$116*1</f>
        <v>0</v>
      </c>
      <c r="G383" s="555">
        <f>'TUoS (t)'!$G$116*1</f>
        <v>0</v>
      </c>
      <c r="H383" s="555">
        <f>'JSO (t)'!$G$116*1</f>
        <v>0</v>
      </c>
      <c r="I383" s="664">
        <f>SUM(F383:H383)</f>
        <v>0</v>
      </c>
      <c r="J383" s="734"/>
      <c r="K383" s="733"/>
      <c r="L383" s="733"/>
      <c r="M383" s="664">
        <f>SUM(J383:L383)</f>
        <v>0</v>
      </c>
      <c r="N383" s="734"/>
      <c r="O383" s="733"/>
      <c r="P383" s="733"/>
      <c r="Q383" s="664">
        <f>SUM(N383:P383)</f>
        <v>0</v>
      </c>
      <c r="R383" s="663">
        <f t="shared" ref="R383:T386" si="47">SUM(F383,J383,N383)</f>
        <v>0</v>
      </c>
      <c r="S383" s="555">
        <f t="shared" si="47"/>
        <v>0</v>
      </c>
      <c r="T383" s="555">
        <f t="shared" si="47"/>
        <v>0</v>
      </c>
      <c r="U383" s="664">
        <f>SUM(R383:T383)</f>
        <v>0</v>
      </c>
    </row>
    <row r="384" spans="1:21" outlineLevel="1" x14ac:dyDescent="0.25">
      <c r="B384" s="544"/>
      <c r="C384" s="545" t="s">
        <v>375</v>
      </c>
      <c r="D384" s="545">
        <v>4</v>
      </c>
      <c r="E384" s="545" t="s">
        <v>294</v>
      </c>
      <c r="F384" s="663">
        <f>'DUoS (t)'!$S$116</f>
        <v>0</v>
      </c>
      <c r="G384" s="555">
        <f>'TUoS (t)'!$S$116</f>
        <v>0.1162</v>
      </c>
      <c r="H384" s="555">
        <f>'JSO (t)'!$S$116</f>
        <v>0</v>
      </c>
      <c r="I384" s="664">
        <f>SUM(F384:H384)</f>
        <v>0.1162</v>
      </c>
      <c r="J384" s="734"/>
      <c r="K384" s="733"/>
      <c r="L384" s="733"/>
      <c r="M384" s="664">
        <f>SUM(J384:L384)</f>
        <v>0</v>
      </c>
      <c r="N384" s="734"/>
      <c r="O384" s="733"/>
      <c r="P384" s="733"/>
      <c r="Q384" s="664">
        <f>SUM(N384:P384)</f>
        <v>0</v>
      </c>
      <c r="R384" s="663">
        <f t="shared" si="47"/>
        <v>0</v>
      </c>
      <c r="S384" s="555">
        <f t="shared" si="47"/>
        <v>0.1162</v>
      </c>
      <c r="T384" s="555">
        <f t="shared" si="47"/>
        <v>0</v>
      </c>
      <c r="U384" s="664">
        <f>SUM(R384:T384)</f>
        <v>0.1162</v>
      </c>
    </row>
    <row r="385" spans="1:21" outlineLevel="1" x14ac:dyDescent="0.25">
      <c r="B385" s="544"/>
      <c r="C385" s="545" t="s">
        <v>376</v>
      </c>
      <c r="D385" s="545">
        <v>4</v>
      </c>
      <c r="E385" s="545" t="s">
        <v>294</v>
      </c>
      <c r="F385" s="663">
        <f>'DUoS (t)'!$T$116</f>
        <v>4.07E-2</v>
      </c>
      <c r="G385" s="555">
        <f>'TUoS (t)'!$T$116</f>
        <v>0</v>
      </c>
      <c r="H385" s="555">
        <f>'JSO (t)'!$T$116</f>
        <v>0</v>
      </c>
      <c r="I385" s="664">
        <f>SUM(F385:H385)</f>
        <v>4.07E-2</v>
      </c>
      <c r="J385" s="734"/>
      <c r="K385" s="733"/>
      <c r="L385" s="733"/>
      <c r="M385" s="664">
        <f>SUM(J385:L385)</f>
        <v>0</v>
      </c>
      <c r="N385" s="734"/>
      <c r="O385" s="733"/>
      <c r="P385" s="733"/>
      <c r="Q385" s="664">
        <f>SUM(N385:P385)</f>
        <v>0</v>
      </c>
      <c r="R385" s="663">
        <f t="shared" si="47"/>
        <v>4.07E-2</v>
      </c>
      <c r="S385" s="555">
        <f t="shared" si="47"/>
        <v>0</v>
      </c>
      <c r="T385" s="555">
        <f t="shared" si="47"/>
        <v>0</v>
      </c>
      <c r="U385" s="664">
        <f>SUM(R385:T385)</f>
        <v>4.07E-2</v>
      </c>
    </row>
    <row r="386" spans="1:21" outlineLevel="1" x14ac:dyDescent="0.25">
      <c r="B386" s="546"/>
      <c r="C386" s="547" t="s">
        <v>293</v>
      </c>
      <c r="D386" s="547"/>
      <c r="E386" s="547" t="s">
        <v>288</v>
      </c>
      <c r="F386" s="556">
        <f>'DUoS (t)'!$H$116</f>
        <v>1.6000000000000001E-3</v>
      </c>
      <c r="G386" s="557">
        <f>'TUoS (t)'!$H$116</f>
        <v>8.8000000000000005E-3</v>
      </c>
      <c r="H386" s="557">
        <f>'JSO (t)'!$H$116</f>
        <v>8.9999999999999998E-4</v>
      </c>
      <c r="I386" s="558">
        <f>SUM(F386:H386)</f>
        <v>1.1300000000000001E-2</v>
      </c>
      <c r="J386" s="560"/>
      <c r="K386" s="561"/>
      <c r="L386" s="561"/>
      <c r="M386" s="558">
        <f>SUM(J386:L386)</f>
        <v>0</v>
      </c>
      <c r="N386" s="560"/>
      <c r="O386" s="561"/>
      <c r="P386" s="561"/>
      <c r="Q386" s="558">
        <f>SUM(N386:P386)</f>
        <v>0</v>
      </c>
      <c r="R386" s="556">
        <f t="shared" si="47"/>
        <v>1.6000000000000001E-3</v>
      </c>
      <c r="S386" s="557">
        <f t="shared" si="47"/>
        <v>8.8000000000000005E-3</v>
      </c>
      <c r="T386" s="557">
        <f t="shared" si="47"/>
        <v>8.9999999999999998E-4</v>
      </c>
      <c r="U386" s="558">
        <f>SUM(R386:T386)</f>
        <v>1.1300000000000001E-2</v>
      </c>
    </row>
    <row r="387" spans="1:21" outlineLevel="1" x14ac:dyDescent="0.25">
      <c r="F387" s="414"/>
      <c r="G387" s="414"/>
      <c r="H387" s="414"/>
      <c r="I387" s="414"/>
    </row>
    <row r="388" spans="1:21" outlineLevel="1" x14ac:dyDescent="0.25">
      <c r="A388" s="559" t="s">
        <v>145</v>
      </c>
      <c r="F388" s="746"/>
      <c r="G388" s="746"/>
      <c r="H388" s="746"/>
      <c r="I388" s="746"/>
      <c r="J388" s="746"/>
      <c r="K388" s="746"/>
      <c r="L388" s="746"/>
      <c r="M388" s="746"/>
      <c r="N388" s="746"/>
      <c r="O388" s="746"/>
      <c r="P388" s="746"/>
      <c r="Q388" s="746"/>
      <c r="R388" s="746"/>
      <c r="S388" s="746"/>
      <c r="T388" s="746"/>
      <c r="U388" s="746"/>
    </row>
    <row r="389" spans="1:21" outlineLevel="1" x14ac:dyDescent="0.25">
      <c r="B389" s="542"/>
      <c r="C389" s="543"/>
      <c r="D389" s="543"/>
      <c r="E389" s="543" t="s">
        <v>315</v>
      </c>
      <c r="F389" s="552"/>
      <c r="G389" s="553"/>
      <c r="H389" s="553"/>
      <c r="I389" s="554"/>
      <c r="J389" s="552"/>
      <c r="K389" s="553"/>
      <c r="L389" s="553"/>
      <c r="M389" s="554"/>
      <c r="N389" s="552"/>
      <c r="O389" s="553"/>
      <c r="P389" s="553"/>
      <c r="Q389" s="554"/>
      <c r="R389" s="552"/>
      <c r="S389" s="553"/>
      <c r="T389" s="553"/>
      <c r="U389" s="554"/>
    </row>
    <row r="390" spans="1:21" outlineLevel="1" x14ac:dyDescent="0.25">
      <c r="B390" s="544"/>
      <c r="C390" s="545" t="s">
        <v>374</v>
      </c>
      <c r="D390" s="545"/>
      <c r="E390" s="545" t="s">
        <v>287</v>
      </c>
      <c r="F390" s="663">
        <f>'DUoS (t)'!$G$116*1</f>
        <v>0</v>
      </c>
      <c r="G390" s="555">
        <f>'TUoS (t)'!$G$116*1</f>
        <v>0</v>
      </c>
      <c r="H390" s="555">
        <f>'JSO (t)'!$G$116*1</f>
        <v>0</v>
      </c>
      <c r="I390" s="664">
        <f>SUM(F390:H390)</f>
        <v>0</v>
      </c>
      <c r="J390" s="734"/>
      <c r="K390" s="733">
        <f>-G390</f>
        <v>0</v>
      </c>
      <c r="L390" s="733"/>
      <c r="M390" s="664">
        <f>SUM(J390:L390)</f>
        <v>0</v>
      </c>
      <c r="N390" s="734"/>
      <c r="O390" s="733">
        <f>'[18]1.2 BOC'!$I$42</f>
        <v>2769.9</v>
      </c>
      <c r="P390" s="733"/>
      <c r="Q390" s="664">
        <f>SUM(N390:P390)</f>
        <v>2769.9</v>
      </c>
      <c r="R390" s="663">
        <f t="shared" ref="R390:T393" si="48">SUM(F390,J390,N390)</f>
        <v>0</v>
      </c>
      <c r="S390" s="555">
        <f t="shared" si="48"/>
        <v>2769.9</v>
      </c>
      <c r="T390" s="555">
        <f t="shared" si="48"/>
        <v>0</v>
      </c>
      <c r="U390" s="664">
        <f>SUM(R390:T390)</f>
        <v>2769.9</v>
      </c>
    </row>
    <row r="391" spans="1:21" outlineLevel="1" x14ac:dyDescent="0.25">
      <c r="B391" s="544"/>
      <c r="C391" s="545" t="s">
        <v>375</v>
      </c>
      <c r="D391" s="545">
        <v>4</v>
      </c>
      <c r="E391" s="545" t="s">
        <v>294</v>
      </c>
      <c r="F391" s="663">
        <f>'DUoS (t)'!$S$116</f>
        <v>0</v>
      </c>
      <c r="G391" s="555">
        <f>'TUoS (t)'!$S$116</f>
        <v>0.1162</v>
      </c>
      <c r="H391" s="555">
        <f>'JSO (t)'!$S$116</f>
        <v>0</v>
      </c>
      <c r="I391" s="664">
        <f>SUM(F391:H391)</f>
        <v>0.1162</v>
      </c>
      <c r="J391" s="734"/>
      <c r="K391" s="733">
        <f>-G391</f>
        <v>-0.1162</v>
      </c>
      <c r="L391" s="733"/>
      <c r="M391" s="664">
        <f>SUM(J391:L391)</f>
        <v>-0.1162</v>
      </c>
      <c r="N391" s="734"/>
      <c r="O391" s="733"/>
      <c r="P391" s="733"/>
      <c r="Q391" s="664">
        <f>SUM(N391:P391)</f>
        <v>0</v>
      </c>
      <c r="R391" s="663">
        <f t="shared" si="48"/>
        <v>0</v>
      </c>
      <c r="S391" s="555">
        <f t="shared" si="48"/>
        <v>0</v>
      </c>
      <c r="T391" s="555">
        <f t="shared" si="48"/>
        <v>0</v>
      </c>
      <c r="U391" s="664">
        <f>SUM(R391:T391)</f>
        <v>0</v>
      </c>
    </row>
    <row r="392" spans="1:21" outlineLevel="1" x14ac:dyDescent="0.25">
      <c r="B392" s="544"/>
      <c r="C392" s="545" t="s">
        <v>376</v>
      </c>
      <c r="D392" s="545">
        <v>4</v>
      </c>
      <c r="E392" s="545" t="s">
        <v>294</v>
      </c>
      <c r="F392" s="663">
        <f>'DUoS (t)'!$T$116</f>
        <v>4.07E-2</v>
      </c>
      <c r="G392" s="555">
        <f>'TUoS (t)'!$T$116</f>
        <v>0</v>
      </c>
      <c r="H392" s="555">
        <f>'JSO (t)'!$T$116</f>
        <v>0</v>
      </c>
      <c r="I392" s="664">
        <f>SUM(F392:H392)</f>
        <v>4.07E-2</v>
      </c>
      <c r="J392" s="734"/>
      <c r="K392" s="733">
        <f>-G392</f>
        <v>0</v>
      </c>
      <c r="L392" s="733"/>
      <c r="M392" s="664">
        <f>SUM(J392:L392)</f>
        <v>0</v>
      </c>
      <c r="N392" s="734"/>
      <c r="O392" s="733"/>
      <c r="P392" s="733"/>
      <c r="Q392" s="664">
        <f>SUM(N392:P392)</f>
        <v>0</v>
      </c>
      <c r="R392" s="663">
        <f t="shared" si="48"/>
        <v>4.07E-2</v>
      </c>
      <c r="S392" s="555">
        <f t="shared" si="48"/>
        <v>0</v>
      </c>
      <c r="T392" s="555">
        <f t="shared" si="48"/>
        <v>0</v>
      </c>
      <c r="U392" s="664">
        <f>SUM(R392:T392)</f>
        <v>4.07E-2</v>
      </c>
    </row>
    <row r="393" spans="1:21" outlineLevel="1" x14ac:dyDescent="0.25">
      <c r="B393" s="546"/>
      <c r="C393" s="547" t="s">
        <v>293</v>
      </c>
      <c r="D393" s="547"/>
      <c r="E393" s="547" t="s">
        <v>288</v>
      </c>
      <c r="F393" s="556">
        <f>'DUoS (t)'!$H$116</f>
        <v>1.6000000000000001E-3</v>
      </c>
      <c r="G393" s="557">
        <f>'TUoS (t)'!$H$116</f>
        <v>8.8000000000000005E-3</v>
      </c>
      <c r="H393" s="557">
        <f>'JSO (t)'!$H$116</f>
        <v>8.9999999999999998E-4</v>
      </c>
      <c r="I393" s="558">
        <f>SUM(F393:H393)</f>
        <v>1.1300000000000001E-2</v>
      </c>
      <c r="J393" s="560"/>
      <c r="K393" s="561">
        <f>-G393</f>
        <v>-8.8000000000000005E-3</v>
      </c>
      <c r="L393" s="561"/>
      <c r="M393" s="558">
        <f>SUM(J393:L393)</f>
        <v>-8.8000000000000005E-3</v>
      </c>
      <c r="N393" s="560"/>
      <c r="O393" s="561"/>
      <c r="P393" s="561"/>
      <c r="Q393" s="558">
        <f>SUM(N393:P393)</f>
        <v>0</v>
      </c>
      <c r="R393" s="556">
        <f t="shared" si="48"/>
        <v>1.6000000000000001E-3</v>
      </c>
      <c r="S393" s="557">
        <f t="shared" si="48"/>
        <v>0</v>
      </c>
      <c r="T393" s="557">
        <f t="shared" si="48"/>
        <v>8.9999999999999998E-4</v>
      </c>
      <c r="U393" s="558">
        <f>SUM(R393:T393)</f>
        <v>2.5000000000000001E-3</v>
      </c>
    </row>
    <row r="394" spans="1:21" outlineLevel="1" x14ac:dyDescent="0.25">
      <c r="F394" s="414"/>
      <c r="G394" s="414"/>
      <c r="H394" s="414"/>
      <c r="I394" s="414"/>
    </row>
    <row r="395" spans="1:21" outlineLevel="1" x14ac:dyDescent="0.25">
      <c r="A395" s="559" t="s">
        <v>146</v>
      </c>
      <c r="F395" s="746"/>
      <c r="G395" s="746"/>
      <c r="H395" s="746"/>
      <c r="I395" s="746"/>
      <c r="J395" s="746"/>
      <c r="K395" s="746"/>
      <c r="L395" s="746"/>
      <c r="M395" s="746"/>
      <c r="N395" s="746"/>
      <c r="O395" s="746"/>
      <c r="P395" s="746"/>
      <c r="Q395" s="746"/>
      <c r="R395" s="746"/>
      <c r="S395" s="746"/>
      <c r="T395" s="746"/>
      <c r="U395" s="746"/>
    </row>
    <row r="396" spans="1:21" outlineLevel="1" x14ac:dyDescent="0.25">
      <c r="B396" s="542"/>
      <c r="C396" s="543"/>
      <c r="D396" s="543"/>
      <c r="E396" s="543" t="s">
        <v>315</v>
      </c>
      <c r="F396" s="552"/>
      <c r="G396" s="553"/>
      <c r="H396" s="553"/>
      <c r="I396" s="554"/>
      <c r="J396" s="552"/>
      <c r="K396" s="553"/>
      <c r="L396" s="553"/>
      <c r="M396" s="554"/>
      <c r="N396" s="552"/>
      <c r="O396" s="553"/>
      <c r="P396" s="553"/>
      <c r="Q396" s="554"/>
      <c r="R396" s="552"/>
      <c r="S396" s="553"/>
      <c r="T396" s="553"/>
      <c r="U396" s="554"/>
    </row>
    <row r="397" spans="1:21" outlineLevel="1" x14ac:dyDescent="0.25">
      <c r="B397" s="544"/>
      <c r="C397" s="545" t="s">
        <v>374</v>
      </c>
      <c r="D397" s="545"/>
      <c r="E397" s="545" t="s">
        <v>287</v>
      </c>
      <c r="F397" s="663">
        <f>'DUoS (t)'!$G$116*1</f>
        <v>0</v>
      </c>
      <c r="G397" s="555">
        <f>'TUoS (t)'!$G$116*1</f>
        <v>0</v>
      </c>
      <c r="H397" s="555">
        <f>'JSO (t)'!$G$116*1</f>
        <v>0</v>
      </c>
      <c r="I397" s="664">
        <f>SUM(F397:H397)</f>
        <v>0</v>
      </c>
      <c r="J397" s="734"/>
      <c r="K397" s="733">
        <f>-G397</f>
        <v>0</v>
      </c>
      <c r="L397" s="733"/>
      <c r="M397" s="664">
        <f>SUM(J397:L397)</f>
        <v>0</v>
      </c>
      <c r="N397" s="734"/>
      <c r="O397" s="733">
        <f>'[18]2.1 Onesteel LMF'!$I$44</f>
        <v>447.27269999999999</v>
      </c>
      <c r="P397" s="733"/>
      <c r="Q397" s="664">
        <f>SUM(N397:P397)</f>
        <v>447.27269999999999</v>
      </c>
      <c r="R397" s="663">
        <f t="shared" ref="R397:T400" si="49">SUM(F397,J397,N397)</f>
        <v>0</v>
      </c>
      <c r="S397" s="555">
        <f t="shared" si="49"/>
        <v>447.27269999999999</v>
      </c>
      <c r="T397" s="555">
        <f t="shared" si="49"/>
        <v>0</v>
      </c>
      <c r="U397" s="664">
        <f>SUM(R397:T397)</f>
        <v>447.27269999999999</v>
      </c>
    </row>
    <row r="398" spans="1:21" outlineLevel="1" x14ac:dyDescent="0.25">
      <c r="B398" s="544"/>
      <c r="C398" s="545" t="s">
        <v>375</v>
      </c>
      <c r="D398" s="545">
        <v>4</v>
      </c>
      <c r="E398" s="545" t="s">
        <v>294</v>
      </c>
      <c r="F398" s="663">
        <f>'DUoS (t)'!$S$116</f>
        <v>0</v>
      </c>
      <c r="G398" s="555">
        <f>'TUoS (t)'!$S$116</f>
        <v>0.1162</v>
      </c>
      <c r="H398" s="555">
        <f>'JSO (t)'!$S$116</f>
        <v>0</v>
      </c>
      <c r="I398" s="664">
        <f>SUM(F398:H398)</f>
        <v>0.1162</v>
      </c>
      <c r="J398" s="734"/>
      <c r="K398" s="733">
        <f>-G398</f>
        <v>-0.1162</v>
      </c>
      <c r="L398" s="733"/>
      <c r="M398" s="664">
        <f>SUM(J398:L398)</f>
        <v>-0.1162</v>
      </c>
      <c r="N398" s="734"/>
      <c r="O398" s="733">
        <f>'[18]2.1 Onesteel LMF'!$I$45</f>
        <v>0.26229999999999998</v>
      </c>
      <c r="P398" s="733"/>
      <c r="Q398" s="664">
        <f>SUM(N398:P398)</f>
        <v>0.26229999999999998</v>
      </c>
      <c r="R398" s="663">
        <f t="shared" si="49"/>
        <v>0</v>
      </c>
      <c r="S398" s="555">
        <f t="shared" si="49"/>
        <v>0.26229999999999998</v>
      </c>
      <c r="T398" s="555">
        <f t="shared" si="49"/>
        <v>0</v>
      </c>
      <c r="U398" s="664">
        <f>SUM(R398:T398)</f>
        <v>0.26229999999999998</v>
      </c>
    </row>
    <row r="399" spans="1:21" outlineLevel="1" x14ac:dyDescent="0.25">
      <c r="B399" s="544"/>
      <c r="C399" s="545" t="s">
        <v>376</v>
      </c>
      <c r="D399" s="545">
        <v>4</v>
      </c>
      <c r="E399" s="545" t="s">
        <v>294</v>
      </c>
      <c r="F399" s="663">
        <f>'DUoS (t)'!$T$116</f>
        <v>4.07E-2</v>
      </c>
      <c r="G399" s="555">
        <f>'TUoS (t)'!$T$116</f>
        <v>0</v>
      </c>
      <c r="H399" s="555">
        <f>'JSO (t)'!$T$116</f>
        <v>0</v>
      </c>
      <c r="I399" s="664">
        <f>SUM(F399:H399)</f>
        <v>4.07E-2</v>
      </c>
      <c r="J399" s="734"/>
      <c r="K399" s="733">
        <f>-G399</f>
        <v>0</v>
      </c>
      <c r="L399" s="733"/>
      <c r="M399" s="664">
        <f>SUM(J399:L399)</f>
        <v>0</v>
      </c>
      <c r="N399" s="734"/>
      <c r="O399" s="733"/>
      <c r="P399" s="733"/>
      <c r="Q399" s="664">
        <f>SUM(N399:P399)</f>
        <v>0</v>
      </c>
      <c r="R399" s="663">
        <f t="shared" si="49"/>
        <v>4.07E-2</v>
      </c>
      <c r="S399" s="555">
        <f t="shared" si="49"/>
        <v>0</v>
      </c>
      <c r="T399" s="555">
        <f t="shared" si="49"/>
        <v>0</v>
      </c>
      <c r="U399" s="664">
        <f>SUM(R399:T399)</f>
        <v>4.07E-2</v>
      </c>
    </row>
    <row r="400" spans="1:21" outlineLevel="1" x14ac:dyDescent="0.25">
      <c r="B400" s="546"/>
      <c r="C400" s="547" t="s">
        <v>293</v>
      </c>
      <c r="D400" s="547"/>
      <c r="E400" s="547" t="s">
        <v>288</v>
      </c>
      <c r="F400" s="556">
        <f>'DUoS (t)'!$H$116</f>
        <v>1.6000000000000001E-3</v>
      </c>
      <c r="G400" s="557">
        <f>'TUoS (t)'!$H$116</f>
        <v>8.8000000000000005E-3</v>
      </c>
      <c r="H400" s="557">
        <f>'JSO (t)'!$H$116</f>
        <v>8.9999999999999998E-4</v>
      </c>
      <c r="I400" s="558">
        <f>SUM(F400:H400)</f>
        <v>1.1300000000000001E-2</v>
      </c>
      <c r="J400" s="560"/>
      <c r="K400" s="561">
        <f>-G400</f>
        <v>-8.8000000000000005E-3</v>
      </c>
      <c r="L400" s="561"/>
      <c r="M400" s="558">
        <f>SUM(J400:L400)</f>
        <v>-8.8000000000000005E-3</v>
      </c>
      <c r="N400" s="560"/>
      <c r="O400" s="561">
        <f>'[18]2.1 Onesteel LMF'!$I$46</f>
        <v>0</v>
      </c>
      <c r="P400" s="561"/>
      <c r="Q400" s="558">
        <f>SUM(N400:P400)</f>
        <v>0</v>
      </c>
      <c r="R400" s="556">
        <f t="shared" si="49"/>
        <v>1.6000000000000001E-3</v>
      </c>
      <c r="S400" s="557">
        <f t="shared" si="49"/>
        <v>0</v>
      </c>
      <c r="T400" s="557">
        <f t="shared" si="49"/>
        <v>8.9999999999999998E-4</v>
      </c>
      <c r="U400" s="558">
        <f>SUM(R400:T400)</f>
        <v>2.5000000000000001E-3</v>
      </c>
    </row>
    <row r="401" spans="1:21" outlineLevel="1" x14ac:dyDescent="0.25">
      <c r="F401" s="414"/>
      <c r="G401" s="414"/>
      <c r="H401" s="414"/>
      <c r="I401" s="414"/>
    </row>
    <row r="402" spans="1:21" outlineLevel="1" x14ac:dyDescent="0.25">
      <c r="A402" s="559" t="s">
        <v>147</v>
      </c>
      <c r="F402" s="746"/>
      <c r="G402" s="746"/>
      <c r="H402" s="746"/>
      <c r="I402" s="746"/>
      <c r="J402" s="746"/>
      <c r="K402" s="746"/>
      <c r="L402" s="746"/>
      <c r="M402" s="746"/>
      <c r="N402" s="746"/>
      <c r="O402" s="746"/>
      <c r="P402" s="746"/>
      <c r="Q402" s="746"/>
      <c r="R402" s="746"/>
      <c r="S402" s="746"/>
      <c r="T402" s="746"/>
      <c r="U402" s="746"/>
    </row>
    <row r="403" spans="1:21" outlineLevel="1" x14ac:dyDescent="0.25">
      <c r="B403" s="542"/>
      <c r="C403" s="543"/>
      <c r="D403" s="543"/>
      <c r="E403" s="543" t="s">
        <v>315</v>
      </c>
      <c r="F403" s="552"/>
      <c r="G403" s="553"/>
      <c r="H403" s="553"/>
      <c r="I403" s="554"/>
      <c r="J403" s="552"/>
      <c r="K403" s="553"/>
      <c r="L403" s="553"/>
      <c r="M403" s="554"/>
      <c r="N403" s="552"/>
      <c r="O403" s="553"/>
      <c r="P403" s="553"/>
      <c r="Q403" s="554"/>
      <c r="R403" s="552"/>
      <c r="S403" s="553"/>
      <c r="T403" s="553"/>
      <c r="U403" s="554"/>
    </row>
    <row r="404" spans="1:21" outlineLevel="1" x14ac:dyDescent="0.25">
      <c r="B404" s="544"/>
      <c r="C404" s="545" t="s">
        <v>374</v>
      </c>
      <c r="D404" s="545"/>
      <c r="E404" s="545" t="s">
        <v>287</v>
      </c>
      <c r="F404" s="663">
        <f>'DUoS (t)'!$G$116*1</f>
        <v>0</v>
      </c>
      <c r="G404" s="555">
        <f>'TUoS (t)'!$G$116*1</f>
        <v>0</v>
      </c>
      <c r="H404" s="555">
        <f>'JSO (t)'!$G$116*1</f>
        <v>0</v>
      </c>
      <c r="I404" s="664">
        <f>SUM(F404:H404)</f>
        <v>0</v>
      </c>
      <c r="J404" s="734"/>
      <c r="K404" s="733">
        <f>-G404</f>
        <v>0</v>
      </c>
      <c r="L404" s="733"/>
      <c r="M404" s="664">
        <f>SUM(J404:L404)</f>
        <v>0</v>
      </c>
      <c r="N404" s="734"/>
      <c r="O404" s="733">
        <f>'[18]4.1 KCA'!$I$42</f>
        <v>3570.9</v>
      </c>
      <c r="P404" s="733"/>
      <c r="Q404" s="664">
        <f>SUM(N404:P404)</f>
        <v>3570.9</v>
      </c>
      <c r="R404" s="663">
        <f t="shared" ref="R404:T407" si="50">SUM(F404,J404,N404)</f>
        <v>0</v>
      </c>
      <c r="S404" s="555">
        <f t="shared" si="50"/>
        <v>3570.9</v>
      </c>
      <c r="T404" s="555">
        <f t="shared" si="50"/>
        <v>0</v>
      </c>
      <c r="U404" s="664">
        <f>SUM(R404:T404)</f>
        <v>3570.9</v>
      </c>
    </row>
    <row r="405" spans="1:21" outlineLevel="1" x14ac:dyDescent="0.25">
      <c r="B405" s="544"/>
      <c r="C405" s="545" t="s">
        <v>375</v>
      </c>
      <c r="D405" s="545">
        <v>4</v>
      </c>
      <c r="E405" s="545" t="s">
        <v>294</v>
      </c>
      <c r="F405" s="663">
        <f>'DUoS (t)'!$S$116</f>
        <v>0</v>
      </c>
      <c r="G405" s="555">
        <f>'TUoS (t)'!$S$116</f>
        <v>0.1162</v>
      </c>
      <c r="H405" s="555">
        <f>'JSO (t)'!$S$116</f>
        <v>0</v>
      </c>
      <c r="I405" s="664">
        <f>SUM(F405:H405)</f>
        <v>0.1162</v>
      </c>
      <c r="J405" s="734"/>
      <c r="K405" s="733">
        <f>-G405</f>
        <v>-0.1162</v>
      </c>
      <c r="L405" s="733"/>
      <c r="M405" s="664">
        <f>SUM(J405:L405)</f>
        <v>-0.1162</v>
      </c>
      <c r="N405" s="734"/>
      <c r="O405" s="733"/>
      <c r="P405" s="733"/>
      <c r="Q405" s="664">
        <f>SUM(N405:P405)</f>
        <v>0</v>
      </c>
      <c r="R405" s="663">
        <f t="shared" si="50"/>
        <v>0</v>
      </c>
      <c r="S405" s="555">
        <f t="shared" si="50"/>
        <v>0</v>
      </c>
      <c r="T405" s="555">
        <f t="shared" si="50"/>
        <v>0</v>
      </c>
      <c r="U405" s="664">
        <f>SUM(R405:T405)</f>
        <v>0</v>
      </c>
    </row>
    <row r="406" spans="1:21" outlineLevel="1" x14ac:dyDescent="0.25">
      <c r="B406" s="544"/>
      <c r="C406" s="545" t="s">
        <v>376</v>
      </c>
      <c r="D406" s="545">
        <v>4</v>
      </c>
      <c r="E406" s="545" t="s">
        <v>294</v>
      </c>
      <c r="F406" s="663">
        <f>'DUoS (t)'!$T$116</f>
        <v>4.07E-2</v>
      </c>
      <c r="G406" s="555">
        <f>'TUoS (t)'!$T$116</f>
        <v>0</v>
      </c>
      <c r="H406" s="555">
        <f>'JSO (t)'!$T$116</f>
        <v>0</v>
      </c>
      <c r="I406" s="664">
        <f>SUM(F406:H406)</f>
        <v>4.07E-2</v>
      </c>
      <c r="J406" s="734"/>
      <c r="K406" s="733">
        <f>-G406</f>
        <v>0</v>
      </c>
      <c r="L406" s="733"/>
      <c r="M406" s="664">
        <f>SUM(J406:L406)</f>
        <v>0</v>
      </c>
      <c r="N406" s="734"/>
      <c r="O406" s="733"/>
      <c r="P406" s="733"/>
      <c r="Q406" s="664">
        <f>SUM(N406:P406)</f>
        <v>0</v>
      </c>
      <c r="R406" s="663">
        <f t="shared" si="50"/>
        <v>4.07E-2</v>
      </c>
      <c r="S406" s="555">
        <f t="shared" si="50"/>
        <v>0</v>
      </c>
      <c r="T406" s="555">
        <f t="shared" si="50"/>
        <v>0</v>
      </c>
      <c r="U406" s="664">
        <f>SUM(R406:T406)</f>
        <v>4.07E-2</v>
      </c>
    </row>
    <row r="407" spans="1:21" outlineLevel="1" x14ac:dyDescent="0.25">
      <c r="B407" s="546"/>
      <c r="C407" s="547" t="s">
        <v>293</v>
      </c>
      <c r="D407" s="547"/>
      <c r="E407" s="547" t="s">
        <v>288</v>
      </c>
      <c r="F407" s="556">
        <f>'DUoS (t)'!$H$116</f>
        <v>1.6000000000000001E-3</v>
      </c>
      <c r="G407" s="557">
        <f>'TUoS (t)'!$H$116</f>
        <v>8.8000000000000005E-3</v>
      </c>
      <c r="H407" s="557">
        <f>'JSO (t)'!$H$116</f>
        <v>8.9999999999999998E-4</v>
      </c>
      <c r="I407" s="558">
        <f>SUM(F407:H407)</f>
        <v>1.1300000000000001E-2</v>
      </c>
      <c r="J407" s="560"/>
      <c r="K407" s="561">
        <f>-G407</f>
        <v>-8.8000000000000005E-3</v>
      </c>
      <c r="L407" s="561"/>
      <c r="M407" s="558">
        <f>SUM(J407:L407)</f>
        <v>-8.8000000000000005E-3</v>
      </c>
      <c r="N407" s="560"/>
      <c r="O407" s="561"/>
      <c r="P407" s="561"/>
      <c r="Q407" s="558">
        <f>SUM(N407:P407)</f>
        <v>0</v>
      </c>
      <c r="R407" s="556">
        <f t="shared" si="50"/>
        <v>1.6000000000000001E-3</v>
      </c>
      <c r="S407" s="557">
        <f t="shared" si="50"/>
        <v>0</v>
      </c>
      <c r="T407" s="557">
        <f t="shared" si="50"/>
        <v>8.9999999999999998E-4</v>
      </c>
      <c r="U407" s="558">
        <f>SUM(R407:T407)</f>
        <v>2.5000000000000001E-3</v>
      </c>
    </row>
    <row r="408" spans="1:21" outlineLevel="1" x14ac:dyDescent="0.25">
      <c r="F408" s="414"/>
      <c r="G408" s="414"/>
      <c r="H408" s="414"/>
      <c r="I408" s="414"/>
    </row>
    <row r="409" spans="1:21" outlineLevel="1" x14ac:dyDescent="0.25">
      <c r="A409" s="559" t="s">
        <v>148</v>
      </c>
      <c r="F409" s="746"/>
      <c r="G409" s="746"/>
      <c r="H409" s="746"/>
      <c r="I409" s="746"/>
      <c r="J409" s="746"/>
      <c r="K409" s="746"/>
      <c r="L409" s="746"/>
      <c r="M409" s="746"/>
      <c r="N409" s="746"/>
      <c r="O409" s="746"/>
      <c r="P409" s="746"/>
      <c r="Q409" s="746"/>
      <c r="R409" s="746"/>
      <c r="S409" s="746"/>
      <c r="T409" s="746"/>
      <c r="U409" s="746"/>
    </row>
    <row r="410" spans="1:21" outlineLevel="1" x14ac:dyDescent="0.25">
      <c r="B410" s="542"/>
      <c r="C410" s="543"/>
      <c r="D410" s="543"/>
      <c r="E410" s="543" t="s">
        <v>315</v>
      </c>
      <c r="F410" s="552"/>
      <c r="G410" s="553"/>
      <c r="H410" s="553"/>
      <c r="I410" s="554"/>
      <c r="J410" s="552"/>
      <c r="K410" s="553"/>
      <c r="L410" s="553"/>
      <c r="M410" s="554"/>
      <c r="N410" s="552"/>
      <c r="O410" s="553"/>
      <c r="P410" s="553"/>
      <c r="Q410" s="554"/>
      <c r="R410" s="552"/>
      <c r="S410" s="553"/>
      <c r="T410" s="553"/>
      <c r="U410" s="554"/>
    </row>
    <row r="411" spans="1:21" outlineLevel="1" x14ac:dyDescent="0.25">
      <c r="B411" s="544"/>
      <c r="C411" s="545" t="s">
        <v>374</v>
      </c>
      <c r="D411" s="545"/>
      <c r="E411" s="545" t="s">
        <v>287</v>
      </c>
      <c r="F411" s="663">
        <f>'DUoS (t)'!$G$116*1</f>
        <v>0</v>
      </c>
      <c r="G411" s="555">
        <f>'TUoS (t)'!$G$116*1</f>
        <v>0</v>
      </c>
      <c r="H411" s="555">
        <f>'JSO (t)'!$G$116*1</f>
        <v>0</v>
      </c>
      <c r="I411" s="664">
        <f>SUM(F411:H411)</f>
        <v>0</v>
      </c>
      <c r="J411" s="734"/>
      <c r="K411" s="733">
        <f>-G411</f>
        <v>0</v>
      </c>
      <c r="L411" s="733"/>
      <c r="M411" s="664">
        <f>SUM(J411:L411)</f>
        <v>0</v>
      </c>
      <c r="N411" s="734"/>
      <c r="O411" s="733">
        <f>'[18]6.4 HNA'!$I$44</f>
        <v>371.85860000000002</v>
      </c>
      <c r="P411" s="733"/>
      <c r="Q411" s="664">
        <f>SUM(N411:P411)</f>
        <v>371.85860000000002</v>
      </c>
      <c r="R411" s="663">
        <f t="shared" ref="R411:T414" si="51">SUM(F411,J411,N411)</f>
        <v>0</v>
      </c>
      <c r="S411" s="555">
        <f t="shared" si="51"/>
        <v>371.85860000000002</v>
      </c>
      <c r="T411" s="555">
        <f t="shared" si="51"/>
        <v>0</v>
      </c>
      <c r="U411" s="664">
        <f>SUM(R411:T411)</f>
        <v>371.85860000000002</v>
      </c>
    </row>
    <row r="412" spans="1:21" outlineLevel="1" x14ac:dyDescent="0.25">
      <c r="B412" s="544"/>
      <c r="C412" s="545" t="s">
        <v>375</v>
      </c>
      <c r="D412" s="545">
        <v>4</v>
      </c>
      <c r="E412" s="545" t="s">
        <v>294</v>
      </c>
      <c r="F412" s="663">
        <f>'DUoS (t)'!$S$116</f>
        <v>0</v>
      </c>
      <c r="G412" s="555">
        <f>'TUoS (t)'!$S$116</f>
        <v>0.1162</v>
      </c>
      <c r="H412" s="555">
        <f>'JSO (t)'!$S$116</f>
        <v>0</v>
      </c>
      <c r="I412" s="664">
        <f>SUM(F412:H412)</f>
        <v>0.1162</v>
      </c>
      <c r="J412" s="734"/>
      <c r="K412" s="733">
        <f>-G412</f>
        <v>-0.1162</v>
      </c>
      <c r="L412" s="733"/>
      <c r="M412" s="664">
        <f>SUM(J412:L412)</f>
        <v>-0.1162</v>
      </c>
      <c r="N412" s="734"/>
      <c r="O412" s="733">
        <f>'[18]6.4 HNA'!$I$45</f>
        <v>0.17349999999999999</v>
      </c>
      <c r="P412" s="733"/>
      <c r="Q412" s="664">
        <f>SUM(N412:P412)</f>
        <v>0.17349999999999999</v>
      </c>
      <c r="R412" s="663">
        <f t="shared" si="51"/>
        <v>0</v>
      </c>
      <c r="S412" s="555">
        <f t="shared" si="51"/>
        <v>0.17349999999999999</v>
      </c>
      <c r="T412" s="555">
        <f t="shared" si="51"/>
        <v>0</v>
      </c>
      <c r="U412" s="664">
        <f>SUM(R412:T412)</f>
        <v>0.17349999999999999</v>
      </c>
    </row>
    <row r="413" spans="1:21" outlineLevel="1" x14ac:dyDescent="0.25">
      <c r="B413" s="544"/>
      <c r="C413" s="545" t="s">
        <v>376</v>
      </c>
      <c r="D413" s="545">
        <v>4</v>
      </c>
      <c r="E413" s="545" t="s">
        <v>294</v>
      </c>
      <c r="F413" s="663">
        <f>'DUoS (t)'!$T$116</f>
        <v>4.07E-2</v>
      </c>
      <c r="G413" s="555">
        <f>'TUoS (t)'!$T$116</f>
        <v>0</v>
      </c>
      <c r="H413" s="555">
        <f>'JSO (t)'!$T$116</f>
        <v>0</v>
      </c>
      <c r="I413" s="664">
        <f>SUM(F413:H413)</f>
        <v>4.07E-2</v>
      </c>
      <c r="J413" s="734"/>
      <c r="K413" s="733">
        <f>-G413</f>
        <v>0</v>
      </c>
      <c r="L413" s="733"/>
      <c r="M413" s="664">
        <f>SUM(J413:L413)</f>
        <v>0</v>
      </c>
      <c r="N413" s="734"/>
      <c r="O413" s="733"/>
      <c r="P413" s="733"/>
      <c r="Q413" s="664">
        <f>SUM(N413:P413)</f>
        <v>0</v>
      </c>
      <c r="R413" s="663">
        <f t="shared" si="51"/>
        <v>4.07E-2</v>
      </c>
      <c r="S413" s="555">
        <f t="shared" si="51"/>
        <v>0</v>
      </c>
      <c r="T413" s="555">
        <f t="shared" si="51"/>
        <v>0</v>
      </c>
      <c r="U413" s="664">
        <f>SUM(R413:T413)</f>
        <v>4.07E-2</v>
      </c>
    </row>
    <row r="414" spans="1:21" outlineLevel="1" x14ac:dyDescent="0.25">
      <c r="B414" s="546"/>
      <c r="C414" s="547" t="s">
        <v>293</v>
      </c>
      <c r="D414" s="547"/>
      <c r="E414" s="547" t="s">
        <v>288</v>
      </c>
      <c r="F414" s="556">
        <f>'DUoS (t)'!$H$116</f>
        <v>1.6000000000000001E-3</v>
      </c>
      <c r="G414" s="557">
        <f>'TUoS (t)'!$H$116</f>
        <v>8.8000000000000005E-3</v>
      </c>
      <c r="H414" s="557">
        <f>'JSO (t)'!$H$116</f>
        <v>8.9999999999999998E-4</v>
      </c>
      <c r="I414" s="558">
        <f>SUM(F414:H414)</f>
        <v>1.1300000000000001E-2</v>
      </c>
      <c r="J414" s="560"/>
      <c r="K414" s="561">
        <f>-G414</f>
        <v>-8.8000000000000005E-3</v>
      </c>
      <c r="L414" s="561"/>
      <c r="M414" s="558">
        <f>SUM(J414:L414)</f>
        <v>-8.8000000000000005E-3</v>
      </c>
      <c r="N414" s="560"/>
      <c r="O414" s="561">
        <f>'[18]6.4 HNA'!$I$46</f>
        <v>0</v>
      </c>
      <c r="P414" s="561"/>
      <c r="Q414" s="558">
        <f>SUM(N414:P414)</f>
        <v>0</v>
      </c>
      <c r="R414" s="556">
        <f t="shared" si="51"/>
        <v>1.6000000000000001E-3</v>
      </c>
      <c r="S414" s="557">
        <f t="shared" si="51"/>
        <v>0</v>
      </c>
      <c r="T414" s="557">
        <f t="shared" si="51"/>
        <v>8.9999999999999998E-4</v>
      </c>
      <c r="U414" s="558">
        <f>SUM(R414:T414)</f>
        <v>2.5000000000000001E-3</v>
      </c>
    </row>
    <row r="415" spans="1:21" outlineLevel="1" x14ac:dyDescent="0.25">
      <c r="B415" s="562"/>
      <c r="C415" s="562"/>
      <c r="D415" s="562"/>
      <c r="E415" s="562"/>
      <c r="F415" s="555"/>
      <c r="G415" s="555"/>
      <c r="H415" s="555"/>
      <c r="I415" s="555"/>
      <c r="J415" s="555"/>
      <c r="K415" s="555"/>
      <c r="L415" s="555"/>
      <c r="M415" s="555"/>
      <c r="N415" s="555"/>
      <c r="O415" s="555"/>
      <c r="P415" s="555"/>
      <c r="Q415" s="555"/>
      <c r="R415" s="555"/>
      <c r="S415" s="555"/>
      <c r="T415" s="555"/>
      <c r="U415" s="555"/>
    </row>
    <row r="416" spans="1:21" outlineLevel="1" x14ac:dyDescent="0.25">
      <c r="A416" s="831" t="s">
        <v>149</v>
      </c>
      <c r="F416" s="746"/>
      <c r="G416" s="746"/>
      <c r="H416" s="746"/>
      <c r="I416" s="746"/>
      <c r="J416" s="746"/>
      <c r="K416" s="746"/>
      <c r="L416" s="746"/>
      <c r="M416" s="746"/>
      <c r="N416" s="746"/>
      <c r="O416" s="746"/>
      <c r="P416" s="746"/>
      <c r="Q416" s="746"/>
      <c r="R416" s="746"/>
      <c r="S416" s="746"/>
      <c r="T416" s="746"/>
      <c r="U416" s="746"/>
    </row>
    <row r="417" spans="1:21" outlineLevel="1" x14ac:dyDescent="0.25">
      <c r="B417" s="542"/>
      <c r="C417" s="543"/>
      <c r="D417" s="543"/>
      <c r="E417" s="543" t="s">
        <v>315</v>
      </c>
      <c r="F417" s="552"/>
      <c r="G417" s="553"/>
      <c r="H417" s="553"/>
      <c r="I417" s="554"/>
      <c r="J417" s="552"/>
      <c r="K417" s="553"/>
      <c r="L417" s="553"/>
      <c r="M417" s="554"/>
      <c r="N417" s="552"/>
      <c r="O417" s="553"/>
      <c r="P417" s="553"/>
      <c r="Q417" s="554"/>
      <c r="R417" s="552"/>
      <c r="S417" s="553"/>
      <c r="T417" s="553"/>
      <c r="U417" s="554"/>
    </row>
    <row r="418" spans="1:21" outlineLevel="1" x14ac:dyDescent="0.25">
      <c r="B418" s="544"/>
      <c r="C418" s="545" t="s">
        <v>374</v>
      </c>
      <c r="D418" s="545"/>
      <c r="E418" s="545" t="s">
        <v>287</v>
      </c>
      <c r="F418" s="663">
        <f>'DUoS (t)'!$G$116*1</f>
        <v>0</v>
      </c>
      <c r="G418" s="555">
        <f>'TUoS (t)'!$G$116*1</f>
        <v>0</v>
      </c>
      <c r="H418" s="555">
        <f>'JSO (t)'!$G$116*1</f>
        <v>0</v>
      </c>
      <c r="I418" s="664">
        <f>SUM(F418:H418)</f>
        <v>0</v>
      </c>
      <c r="J418" s="734"/>
      <c r="K418" s="733"/>
      <c r="L418" s="733"/>
      <c r="M418" s="664">
        <f>SUM(J418:L418)</f>
        <v>0</v>
      </c>
      <c r="N418" s="734"/>
      <c r="O418" s="733"/>
      <c r="P418" s="733"/>
      <c r="Q418" s="664">
        <f>SUM(N418:P418)</f>
        <v>0</v>
      </c>
      <c r="R418" s="663">
        <f t="shared" ref="R418:T421" si="52">SUM(F418,J418,N418)</f>
        <v>0</v>
      </c>
      <c r="S418" s="555">
        <f t="shared" si="52"/>
        <v>0</v>
      </c>
      <c r="T418" s="555">
        <f t="shared" si="52"/>
        <v>0</v>
      </c>
      <c r="U418" s="664">
        <f>SUM(R418:T418)</f>
        <v>0</v>
      </c>
    </row>
    <row r="419" spans="1:21" outlineLevel="1" x14ac:dyDescent="0.25">
      <c r="B419" s="544"/>
      <c r="C419" s="545" t="s">
        <v>375</v>
      </c>
      <c r="D419" s="545">
        <v>4</v>
      </c>
      <c r="E419" s="545" t="s">
        <v>294</v>
      </c>
      <c r="F419" s="663">
        <f>'DUoS (t)'!$S$116</f>
        <v>0</v>
      </c>
      <c r="G419" s="555">
        <f>'TUoS (t)'!$S$116</f>
        <v>0.1162</v>
      </c>
      <c r="H419" s="555">
        <f>'JSO (t)'!$S$116</f>
        <v>0</v>
      </c>
      <c r="I419" s="664">
        <f>SUM(F419:H419)</f>
        <v>0.1162</v>
      </c>
      <c r="J419" s="734"/>
      <c r="K419" s="733"/>
      <c r="L419" s="733"/>
      <c r="M419" s="664">
        <f>SUM(J419:L419)</f>
        <v>0</v>
      </c>
      <c r="N419" s="734"/>
      <c r="O419" s="733"/>
      <c r="P419" s="733"/>
      <c r="Q419" s="664">
        <f>SUM(N419:P419)</f>
        <v>0</v>
      </c>
      <c r="R419" s="663">
        <f t="shared" si="52"/>
        <v>0</v>
      </c>
      <c r="S419" s="555">
        <f t="shared" si="52"/>
        <v>0.1162</v>
      </c>
      <c r="T419" s="555">
        <f t="shared" si="52"/>
        <v>0</v>
      </c>
      <c r="U419" s="664">
        <f>SUM(R419:T419)</f>
        <v>0.1162</v>
      </c>
    </row>
    <row r="420" spans="1:21" outlineLevel="1" x14ac:dyDescent="0.25">
      <c r="B420" s="544"/>
      <c r="C420" s="545" t="s">
        <v>376</v>
      </c>
      <c r="D420" s="545">
        <v>4</v>
      </c>
      <c r="E420" s="545" t="s">
        <v>294</v>
      </c>
      <c r="F420" s="663">
        <f>'DUoS (t)'!$T$116</f>
        <v>4.07E-2</v>
      </c>
      <c r="G420" s="555">
        <f>'TUoS (t)'!$T$116</f>
        <v>0</v>
      </c>
      <c r="H420" s="555">
        <f>'JSO (t)'!$T$116</f>
        <v>0</v>
      </c>
      <c r="I420" s="664">
        <f>SUM(F420:H420)</f>
        <v>4.07E-2</v>
      </c>
      <c r="J420" s="734"/>
      <c r="K420" s="733"/>
      <c r="L420" s="733"/>
      <c r="M420" s="664">
        <f>SUM(J420:L420)</f>
        <v>0</v>
      </c>
      <c r="N420" s="734"/>
      <c r="O420" s="733"/>
      <c r="P420" s="733"/>
      <c r="Q420" s="664">
        <f>SUM(N420:P420)</f>
        <v>0</v>
      </c>
      <c r="R420" s="663">
        <f t="shared" si="52"/>
        <v>4.07E-2</v>
      </c>
      <c r="S420" s="555">
        <f t="shared" si="52"/>
        <v>0</v>
      </c>
      <c r="T420" s="555">
        <f t="shared" si="52"/>
        <v>0</v>
      </c>
      <c r="U420" s="664">
        <f>SUM(R420:T420)</f>
        <v>4.07E-2</v>
      </c>
    </row>
    <row r="421" spans="1:21" outlineLevel="1" x14ac:dyDescent="0.25">
      <c r="B421" s="546"/>
      <c r="C421" s="547" t="s">
        <v>293</v>
      </c>
      <c r="D421" s="547"/>
      <c r="E421" s="547" t="s">
        <v>288</v>
      </c>
      <c r="F421" s="556">
        <f>'DUoS (t)'!$H$116</f>
        <v>1.6000000000000001E-3</v>
      </c>
      <c r="G421" s="557">
        <f>'TUoS (t)'!$H$116</f>
        <v>8.8000000000000005E-3</v>
      </c>
      <c r="H421" s="557">
        <f>'JSO (t)'!$H$116</f>
        <v>8.9999999999999998E-4</v>
      </c>
      <c r="I421" s="558">
        <f>SUM(F421:H421)</f>
        <v>1.1300000000000001E-2</v>
      </c>
      <c r="J421" s="560"/>
      <c r="K421" s="561"/>
      <c r="L421" s="561"/>
      <c r="M421" s="558">
        <f>SUM(J421:L421)</f>
        <v>0</v>
      </c>
      <c r="N421" s="560"/>
      <c r="O421" s="561"/>
      <c r="P421" s="561"/>
      <c r="Q421" s="558">
        <f>SUM(N421:P421)</f>
        <v>0</v>
      </c>
      <c r="R421" s="556">
        <f t="shared" si="52"/>
        <v>1.6000000000000001E-3</v>
      </c>
      <c r="S421" s="557">
        <f t="shared" si="52"/>
        <v>8.8000000000000005E-3</v>
      </c>
      <c r="T421" s="557">
        <f t="shared" si="52"/>
        <v>8.9999999999999998E-4</v>
      </c>
      <c r="U421" s="558">
        <f>SUM(R421:T421)</f>
        <v>1.1300000000000001E-2</v>
      </c>
    </row>
    <row r="422" spans="1:21" outlineLevel="1" x14ac:dyDescent="0.25"/>
    <row r="423" spans="1:21" outlineLevel="1" x14ac:dyDescent="0.25"/>
    <row r="424" spans="1:21" x14ac:dyDescent="0.25">
      <c r="A424" s="563" t="s">
        <v>383</v>
      </c>
      <c r="N424" s="414" t="str">
        <f>C418</f>
        <v>Customers/Supply Ch</v>
      </c>
      <c r="O424" s="832">
        <f>SUMIF($C$16:$C$423,N424,$O$16:$O$423)</f>
        <v>18158.9192</v>
      </c>
    </row>
    <row r="425" spans="1:21" x14ac:dyDescent="0.25">
      <c r="N425" s="414" t="s">
        <v>375</v>
      </c>
      <c r="O425" s="832">
        <f>SUMIF($C$16:$C$423,N425,$O$16:$O$423)</f>
        <v>2.2061000000000002</v>
      </c>
    </row>
    <row r="426" spans="1:21" x14ac:dyDescent="0.25">
      <c r="N426" s="414" t="s">
        <v>376</v>
      </c>
      <c r="O426" s="832">
        <f>SUMIF($C$16:$C$423,N426,$O$16:$O$423)</f>
        <v>0</v>
      </c>
    </row>
    <row r="427" spans="1:21" x14ac:dyDescent="0.25">
      <c r="N427" s="414" t="s">
        <v>562</v>
      </c>
      <c r="O427" s="832">
        <f>SUMIF($C$16:$C$423,N427,$O$16:$O$423)</f>
        <v>0</v>
      </c>
    </row>
    <row r="428" spans="1:21" x14ac:dyDescent="0.25">
      <c r="N428" s="414" t="s">
        <v>563</v>
      </c>
      <c r="O428" s="832">
        <f>SUMIF($C$16:$C$423,N428,$O$16:$O$423)</f>
        <v>0</v>
      </c>
    </row>
  </sheetData>
  <mergeCells count="28">
    <mergeCell ref="F206:I206"/>
    <mergeCell ref="J206:M206"/>
    <mergeCell ref="N206:Q206"/>
    <mergeCell ref="R206:U206"/>
    <mergeCell ref="F3:I3"/>
    <mergeCell ref="J3:M3"/>
    <mergeCell ref="N3:Q3"/>
    <mergeCell ref="R3:U3"/>
    <mergeCell ref="F6:I6"/>
    <mergeCell ref="J6:M6"/>
    <mergeCell ref="N6:Q6"/>
    <mergeCell ref="R6:U6"/>
    <mergeCell ref="F130:I130"/>
    <mergeCell ref="J130:M130"/>
    <mergeCell ref="N130:Q130"/>
    <mergeCell ref="R130:U130"/>
    <mergeCell ref="F358:I358"/>
    <mergeCell ref="J358:M358"/>
    <mergeCell ref="N358:Q358"/>
    <mergeCell ref="R358:U358"/>
    <mergeCell ref="F259:I259"/>
    <mergeCell ref="J259:M259"/>
    <mergeCell ref="N259:Q259"/>
    <mergeCell ref="R259:U259"/>
    <mergeCell ref="F333:I333"/>
    <mergeCell ref="J333:M333"/>
    <mergeCell ref="N333:Q333"/>
    <mergeCell ref="R333:U333"/>
  </mergeCells>
  <pageMargins left="0.25" right="0.25" top="0.75" bottom="0.75" header="0.3" footer="0.3"/>
  <pageSetup paperSize="8" scale="53" fitToHeight="0" orientation="portrait" r:id="rId1"/>
  <rowBreaks count="3" manualBreakCount="3">
    <brk id="128" max="25" man="1"/>
    <brk id="204" max="25" man="1"/>
    <brk id="331" max="25"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E8752-86CF-4908-AA49-6120B7CF9CA6}">
  <sheetPr>
    <tabColor rgb="FFFF0000"/>
  </sheetPr>
  <dimension ref="A1:BR454"/>
  <sheetViews>
    <sheetView showGridLines="0" zoomScale="90" zoomScaleNormal="90" workbookViewId="0">
      <pane xSplit="4" ySplit="15" topLeftCell="BA120" activePane="bottomRight" state="frozenSplit"/>
      <selection activeCell="N80" sqref="N80"/>
      <selection pane="topRight" activeCell="N80" sqref="N80"/>
      <selection pane="bottomLeft" activeCell="N80" sqref="N80"/>
      <selection pane="bottomRight" activeCell="BM136" sqref="BM136"/>
    </sheetView>
  </sheetViews>
  <sheetFormatPr defaultRowHeight="15" x14ac:dyDescent="0.25"/>
  <cols>
    <col min="1" max="1" width="1.5703125" style="128" customWidth="1"/>
    <col min="2" max="2" width="6.85546875" style="128" customWidth="1"/>
    <col min="3" max="3" width="13.7109375" style="128" bestFit="1" customWidth="1"/>
    <col min="4" max="4" width="15" style="128" bestFit="1" customWidth="1"/>
    <col min="5" max="5" width="51.42578125" style="128" bestFit="1" customWidth="1"/>
    <col min="6" max="6" width="3.7109375" style="128" customWidth="1"/>
    <col min="7"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16384" width="9.140625" style="128"/>
  </cols>
  <sheetData>
    <row r="1" spans="2:69" ht="24" customHeight="1" x14ac:dyDescent="0.35">
      <c r="B1" s="1" t="str">
        <f>'Model Update'!D5</f>
        <v>SA Power Networks</v>
      </c>
      <c r="C1" s="141"/>
      <c r="D1" s="141"/>
      <c r="G1" s="1" t="s">
        <v>11</v>
      </c>
      <c r="X1" s="140"/>
      <c r="AO1" s="140"/>
    </row>
    <row r="2" spans="2:69" ht="21.75" customHeight="1" x14ac:dyDescent="0.3">
      <c r="B2" s="123" t="s">
        <v>12</v>
      </c>
      <c r="C2" s="141"/>
      <c r="D2" s="141"/>
      <c r="H2" s="142" t="s">
        <v>13</v>
      </c>
      <c r="I2" s="142"/>
      <c r="J2" s="142"/>
      <c r="K2" s="142"/>
      <c r="Y2" s="142"/>
      <c r="Z2" s="142"/>
      <c r="AA2" s="142"/>
      <c r="AB2" s="142"/>
      <c r="AP2" s="142"/>
      <c r="AQ2" s="142"/>
      <c r="AR2" s="142"/>
      <c r="AS2" s="142"/>
    </row>
    <row r="3" spans="2:69" ht="18" hidden="1" customHeight="1" x14ac:dyDescent="0.25">
      <c r="B3" s="143"/>
      <c r="C3" s="141"/>
      <c r="D3" s="141"/>
      <c r="H3" s="142"/>
      <c r="I3" s="142"/>
      <c r="J3" s="142"/>
      <c r="K3" s="142"/>
      <c r="Y3" s="142"/>
      <c r="Z3" s="142"/>
      <c r="AA3" s="142"/>
      <c r="AB3" s="142"/>
      <c r="AP3" s="142"/>
      <c r="AQ3" s="142"/>
      <c r="AR3" s="142"/>
      <c r="AS3" s="142"/>
    </row>
    <row r="4" spans="2:69" ht="18" hidden="1" customHeight="1" x14ac:dyDescent="0.25">
      <c r="B4" s="143"/>
      <c r="C4" s="141"/>
      <c r="D4" s="141"/>
      <c r="H4" s="142"/>
      <c r="I4" s="142"/>
      <c r="J4" s="142"/>
      <c r="K4" s="142"/>
      <c r="Y4" s="142"/>
      <c r="Z4" s="142"/>
      <c r="AA4" s="142"/>
      <c r="AB4" s="142"/>
      <c r="AP4" s="142"/>
      <c r="AQ4" s="142"/>
      <c r="AR4" s="142"/>
      <c r="AS4" s="142"/>
    </row>
    <row r="5" spans="2:69" ht="12.75" customHeight="1" x14ac:dyDescent="0.25">
      <c r="B5" s="143"/>
      <c r="C5" s="141"/>
      <c r="D5" s="141"/>
      <c r="H5" s="142"/>
      <c r="I5" s="142"/>
      <c r="J5" s="142"/>
      <c r="K5" s="142"/>
      <c r="Y5" s="142"/>
      <c r="Z5" s="142"/>
      <c r="AA5" s="142"/>
      <c r="AB5" s="142"/>
      <c r="AP5" s="142"/>
      <c r="AQ5" s="142"/>
      <c r="AR5" s="142"/>
      <c r="AS5" s="142"/>
      <c r="BE5" s="244">
        <f>X5/$BE$7</f>
        <v>0</v>
      </c>
      <c r="BF5" s="245">
        <f>SUM(AP5:AW5)</f>
        <v>0</v>
      </c>
    </row>
    <row r="6" spans="2:69" ht="12.75" customHeight="1" x14ac:dyDescent="0.25">
      <c r="B6" s="143"/>
      <c r="C6" s="141"/>
      <c r="D6" s="141"/>
      <c r="I6" s="142"/>
      <c r="J6" s="142"/>
      <c r="K6" s="142"/>
      <c r="Z6" s="142"/>
      <c r="AA6" s="142"/>
      <c r="AB6" s="142"/>
      <c r="AQ6" s="142"/>
      <c r="AR6" s="142"/>
      <c r="AS6" s="142"/>
    </row>
    <row r="7" spans="2:69" ht="18.75" x14ac:dyDescent="0.3">
      <c r="B7" s="7" t="str">
        <f>"Information for financial year ending 30 June "&amp;'Model Update'!C12</f>
        <v>Information for financial year ending 30 June 2022</v>
      </c>
      <c r="C7" s="141"/>
      <c r="D7" s="141"/>
      <c r="G7" s="128">
        <v>365</v>
      </c>
      <c r="H7" s="804">
        <f>0.0001/H18</f>
        <v>1.0834236186348864E-3</v>
      </c>
      <c r="I7" s="142"/>
      <c r="J7" s="142"/>
      <c r="K7" s="142"/>
      <c r="Y7" s="142"/>
      <c r="Z7" s="142"/>
      <c r="AA7" s="142"/>
      <c r="AB7" s="142"/>
      <c r="AP7" s="142"/>
      <c r="AQ7" s="142"/>
      <c r="AR7" s="142"/>
      <c r="AS7" s="142"/>
      <c r="BE7" s="251">
        <f>Days_Year</f>
        <v>365</v>
      </c>
    </row>
    <row r="8" spans="2:69" x14ac:dyDescent="0.25">
      <c r="B8" s="143"/>
      <c r="C8" s="141"/>
      <c r="D8" s="141"/>
    </row>
    <row r="9" spans="2:69" x14ac:dyDescent="0.25">
      <c r="B9" s="143"/>
      <c r="C9" s="141"/>
      <c r="D9" s="141"/>
      <c r="G9" s="898" t="s">
        <v>727</v>
      </c>
      <c r="H9" s="898"/>
      <c r="I9" s="898"/>
      <c r="J9" s="898"/>
      <c r="K9" s="898"/>
      <c r="L9" s="898"/>
      <c r="M9" s="898"/>
      <c r="N9" s="898"/>
      <c r="O9" s="898"/>
      <c r="P9" s="898"/>
      <c r="Q9" s="898"/>
      <c r="R9" s="898"/>
      <c r="S9" s="898"/>
      <c r="T9" s="898"/>
      <c r="U9" s="898"/>
      <c r="V9" s="909"/>
      <c r="X9" s="910" t="s">
        <v>726</v>
      </c>
      <c r="Y9" s="910"/>
      <c r="Z9" s="910"/>
      <c r="AA9" s="910"/>
      <c r="AB9" s="910"/>
      <c r="AC9" s="910"/>
      <c r="AD9" s="910"/>
      <c r="AE9" s="910"/>
      <c r="AF9" s="910"/>
      <c r="AG9" s="910"/>
      <c r="AH9" s="910"/>
      <c r="AI9" s="910"/>
      <c r="AJ9" s="910"/>
      <c r="AK9" s="910"/>
      <c r="AL9" s="910"/>
      <c r="AM9" s="911"/>
      <c r="AO9" s="898" t="s">
        <v>728</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ht="15" customHeight="1" x14ac:dyDescent="0.25">
      <c r="B11" s="146" t="s">
        <v>16</v>
      </c>
      <c r="C11" s="147"/>
      <c r="D11" s="147"/>
      <c r="E11" s="148"/>
      <c r="G11" s="149">
        <f>'Model Update'!C12-1</f>
        <v>2021</v>
      </c>
      <c r="H11" s="150">
        <f>$G$11</f>
        <v>2021</v>
      </c>
      <c r="I11" s="147"/>
      <c r="J11" s="151"/>
      <c r="K11" s="152"/>
      <c r="L11" s="150">
        <f>$G$11</f>
        <v>2021</v>
      </c>
      <c r="M11" s="153"/>
      <c r="N11" s="153"/>
      <c r="O11" s="152"/>
      <c r="P11" s="150">
        <f>$G$11</f>
        <v>2021</v>
      </c>
      <c r="Q11" s="147"/>
      <c r="R11" s="151"/>
      <c r="S11" s="150">
        <f>$G$11</f>
        <v>2021</v>
      </c>
      <c r="T11" s="154"/>
      <c r="U11" s="150">
        <f>$G$11</f>
        <v>2021</v>
      </c>
      <c r="V11" s="148"/>
      <c r="X11" s="150">
        <f>'Model Update'!C12</f>
        <v>2022</v>
      </c>
      <c r="Y11" s="150">
        <f>$X$11</f>
        <v>2022</v>
      </c>
      <c r="Z11" s="147"/>
      <c r="AA11" s="151"/>
      <c r="AB11" s="152"/>
      <c r="AC11" s="150">
        <f>$X$11</f>
        <v>2022</v>
      </c>
      <c r="AD11" s="153"/>
      <c r="AE11" s="153"/>
      <c r="AF11" s="152"/>
      <c r="AG11" s="150">
        <f>$X$11</f>
        <v>2022</v>
      </c>
      <c r="AH11" s="147"/>
      <c r="AI11" s="151"/>
      <c r="AJ11" s="150">
        <f>$X$11</f>
        <v>2022</v>
      </c>
      <c r="AK11" s="154"/>
      <c r="AL11" s="150">
        <f>$X$11</f>
        <v>2022</v>
      </c>
      <c r="AM11" s="148"/>
      <c r="AO11" s="150"/>
      <c r="AP11" s="150"/>
      <c r="AQ11" s="147"/>
      <c r="AR11" s="151"/>
      <c r="AS11" s="152"/>
      <c r="AT11" s="150"/>
      <c r="AU11" s="153"/>
      <c r="AV11" s="153"/>
      <c r="AW11" s="152"/>
      <c r="AX11" s="150"/>
      <c r="AY11" s="147"/>
      <c r="AZ11" s="151"/>
      <c r="BA11" s="150"/>
      <c r="BB11" s="154"/>
      <c r="BC11" s="150"/>
      <c r="BD11" s="148"/>
      <c r="BE11" s="899" t="s">
        <v>17</v>
      </c>
      <c r="BF11" s="900"/>
      <c r="BH11" s="901" t="s">
        <v>595</v>
      </c>
      <c r="BI11" s="902"/>
      <c r="BJ11" s="902"/>
      <c r="BK11" s="902"/>
      <c r="BL11" s="902"/>
      <c r="BM11" s="903"/>
    </row>
    <row r="12" spans="2:69" ht="15" customHeight="1"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826" t="s">
        <v>204</v>
      </c>
      <c r="BF12" s="827" t="s">
        <v>23</v>
      </c>
      <c r="BH12" s="232"/>
      <c r="BI12" s="233"/>
      <c r="BJ12" s="233"/>
      <c r="BK12" s="233"/>
      <c r="BL12" s="233"/>
      <c r="BM12" s="145"/>
    </row>
    <row r="13" spans="2:69" ht="15" customHeight="1"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761"/>
      <c r="BF13" s="827"/>
      <c r="BH13" s="825" t="s">
        <v>206</v>
      </c>
      <c r="BI13" s="826" t="s">
        <v>23</v>
      </c>
      <c r="BJ13" s="826" t="s">
        <v>23</v>
      </c>
      <c r="BK13" s="826" t="s">
        <v>210</v>
      </c>
      <c r="BL13" s="826" t="s">
        <v>211</v>
      </c>
      <c r="BM13" s="827" t="s">
        <v>212</v>
      </c>
      <c r="BO13" s="826" t="s">
        <v>600</v>
      </c>
      <c r="BQ13" s="126" t="s">
        <v>255</v>
      </c>
    </row>
    <row r="14" spans="2:69" s="129" customFormat="1" ht="15" customHeigh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826" t="s">
        <v>22</v>
      </c>
      <c r="BF14" s="827" t="s">
        <v>35</v>
      </c>
      <c r="BH14" s="825" t="s">
        <v>207</v>
      </c>
      <c r="BI14" s="826" t="s">
        <v>208</v>
      </c>
      <c r="BJ14" s="826" t="s">
        <v>209</v>
      </c>
      <c r="BK14" s="826"/>
      <c r="BL14" s="826"/>
      <c r="BM14" s="827"/>
    </row>
    <row r="15" spans="2:69" s="129" customFormat="1" ht="15" customHeigh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762" t="s">
        <v>22</v>
      </c>
      <c r="BF15" s="241" t="s">
        <v>35</v>
      </c>
      <c r="BH15" s="160"/>
      <c r="BI15" s="237"/>
      <c r="BJ15" s="237"/>
      <c r="BK15" s="237"/>
      <c r="BL15" s="237"/>
      <c r="BM15" s="158"/>
    </row>
    <row r="16" spans="2:69"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c r="Y16" s="169"/>
      <c r="Z16" s="170"/>
      <c r="AA16" s="170"/>
      <c r="AB16" s="171"/>
      <c r="AC16" s="170"/>
      <c r="AD16" s="170"/>
      <c r="AE16" s="170"/>
      <c r="AF16" s="171"/>
      <c r="AG16" s="169"/>
      <c r="AH16" s="170"/>
      <c r="AI16" s="171"/>
      <c r="AJ16" s="169"/>
      <c r="AK16" s="170"/>
      <c r="AL16" s="169"/>
      <c r="AM16" s="171"/>
      <c r="AO16" s="168"/>
      <c r="AP16" s="169"/>
      <c r="AQ16" s="170"/>
      <c r="AR16" s="170"/>
      <c r="AS16" s="171"/>
      <c r="AT16" s="170"/>
      <c r="AU16" s="170"/>
      <c r="AV16" s="170"/>
      <c r="AW16" s="171"/>
      <c r="AX16" s="169"/>
      <c r="AY16" s="170"/>
      <c r="AZ16" s="171"/>
      <c r="BA16" s="169"/>
      <c r="BB16" s="170"/>
      <c r="BC16" s="169"/>
      <c r="BD16" s="170"/>
      <c r="BE16" s="242"/>
      <c r="BF16" s="243"/>
      <c r="BH16" s="253">
        <f>SUBTOTAL(9,BH17:BH27)</f>
        <v>124867.8905405</v>
      </c>
      <c r="BI16" s="253">
        <f>SUBTOTAL(9,BI17:BI27)</f>
        <v>295598.08179999993</v>
      </c>
      <c r="BJ16" s="253">
        <f>SUBTOTAL(9,BJ17:BJ27)</f>
        <v>21503.789999999997</v>
      </c>
      <c r="BK16" s="253">
        <f>SUBTOTAL(9,BK17:BK27)</f>
        <v>0</v>
      </c>
      <c r="BL16" s="253">
        <f>SUBTOTAL(9,BL17:BL27)</f>
        <v>229.08991399999999</v>
      </c>
      <c r="BM16" s="254">
        <f>SUM(BH16:BL16)</f>
        <v>442198.85225449991</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c r="Y17" s="175"/>
      <c r="Z17" s="176"/>
      <c r="AA17" s="176"/>
      <c r="AB17" s="177"/>
      <c r="AC17" s="178"/>
      <c r="AD17" s="178"/>
      <c r="AE17" s="178"/>
      <c r="AF17" s="179"/>
      <c r="AG17" s="175"/>
      <c r="AH17" s="176"/>
      <c r="AI17" s="177"/>
      <c r="AJ17" s="175"/>
      <c r="AK17" s="176"/>
      <c r="AL17" s="175"/>
      <c r="AM17" s="177"/>
      <c r="AO17" s="174"/>
      <c r="AP17" s="175"/>
      <c r="AQ17" s="176"/>
      <c r="AR17" s="176"/>
      <c r="AS17" s="177"/>
      <c r="AT17" s="178"/>
      <c r="AU17" s="178"/>
      <c r="AV17" s="178"/>
      <c r="AW17" s="179"/>
      <c r="AX17" s="175"/>
      <c r="AY17" s="176"/>
      <c r="AZ17" s="177"/>
      <c r="BA17" s="175"/>
      <c r="BB17" s="176"/>
      <c r="BC17" s="175"/>
      <c r="BD17" s="176"/>
      <c r="BE17" s="244"/>
      <c r="BF17" s="245"/>
      <c r="BH17" s="252">
        <f>SUBTOTAL(9,BH18:BH19)</f>
        <v>98515.450559999997</v>
      </c>
      <c r="BI17" s="252">
        <f>SUBTOTAL(9,BI18:BI19)</f>
        <v>221529.22999999998</v>
      </c>
      <c r="BJ17" s="252">
        <f>SUBTOTAL(9,BJ18:BJ19)</f>
        <v>16692.059999999998</v>
      </c>
      <c r="BK17" s="260">
        <f>SUBTOTAL(9,BK18:BK19)</f>
        <v>0</v>
      </c>
      <c r="BL17" s="261">
        <f>SUBTOTAL(9,BL18:BL19)</f>
        <v>0</v>
      </c>
      <c r="BM17" s="257">
        <f>SUM(BH17:BL17)</f>
        <v>336736.74056000001</v>
      </c>
      <c r="BO17" s="714" t="str">
        <f t="shared" ref="BO17:BO80" si="0">IF(BF17=0,"",BM17*1000/BF17)</f>
        <v/>
      </c>
    </row>
    <row r="18" spans="2:67" ht="15" customHeight="1" x14ac:dyDescent="0.25">
      <c r="B18" s="156">
        <v>1</v>
      </c>
      <c r="C18" s="180" t="s">
        <v>44</v>
      </c>
      <c r="D18" s="181" t="str">
        <f>C18</f>
        <v>RSR</v>
      </c>
      <c r="E18" s="182" t="s">
        <v>641</v>
      </c>
      <c r="G18" s="463">
        <f>'[15]DUoS (t)'!G18</f>
        <v>0.42470000000000002</v>
      </c>
      <c r="H18" s="464">
        <f>'[15]DUoS (t)'!H18</f>
        <v>9.2299999999999993E-2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ref="AO18:AO80" si="1">G18*X18/1000</f>
        <v>98515.450559999997</v>
      </c>
      <c r="AP18" s="184">
        <f t="shared" ref="AP18:AW35" si="2">H18*Y18</f>
        <v>221529.22999999998</v>
      </c>
      <c r="AQ18" s="176">
        <f t="shared" si="2"/>
        <v>0</v>
      </c>
      <c r="AR18" s="176">
        <f t="shared" si="2"/>
        <v>0</v>
      </c>
      <c r="AS18" s="177">
        <f t="shared" si="2"/>
        <v>0</v>
      </c>
      <c r="AT18" s="178">
        <f t="shared" si="2"/>
        <v>0</v>
      </c>
      <c r="AU18" s="185">
        <f t="shared" si="2"/>
        <v>0</v>
      </c>
      <c r="AV18" s="185">
        <f t="shared" si="2"/>
        <v>0</v>
      </c>
      <c r="AW18" s="186">
        <f t="shared" si="2"/>
        <v>0</v>
      </c>
      <c r="AX18" s="175">
        <f t="shared" ref="AX18:BD52" si="3">P18*AG18/1000</f>
        <v>0</v>
      </c>
      <c r="AY18" s="176">
        <f t="shared" si="3"/>
        <v>0</v>
      </c>
      <c r="AZ18" s="177">
        <f t="shared" si="3"/>
        <v>0</v>
      </c>
      <c r="BA18" s="175">
        <f t="shared" si="3"/>
        <v>0</v>
      </c>
      <c r="BB18" s="176">
        <f t="shared" si="3"/>
        <v>0</v>
      </c>
      <c r="BC18" s="175">
        <f t="shared" si="3"/>
        <v>0</v>
      </c>
      <c r="BD18" s="176">
        <f t="shared" si="3"/>
        <v>0</v>
      </c>
      <c r="BE18" s="244">
        <f t="shared" ref="BE18:BE80" si="4">X18/$BE$7</f>
        <v>635520</v>
      </c>
      <c r="BF18" s="245">
        <f t="shared" ref="BF18:BF51" si="5">SUM(Y18:AF18)</f>
        <v>2400100</v>
      </c>
      <c r="BH18" s="255">
        <f>SUM(AO18)</f>
        <v>98515.450559999997</v>
      </c>
      <c r="BI18" s="255">
        <f>SUM(AP18:AS18)</f>
        <v>221529.22999999998</v>
      </c>
      <c r="BJ18" s="255">
        <f>SUM(AT18:AW18)</f>
        <v>0</v>
      </c>
      <c r="BK18" s="256">
        <f>SUM(AX18:BB18)</f>
        <v>0</v>
      </c>
      <c r="BL18" s="262">
        <f>SUM(BC18:BD18)</f>
        <v>0</v>
      </c>
      <c r="BM18" s="257">
        <f t="shared" ref="BM18:BM79" si="6">SUM(BH18:BL18)</f>
        <v>320044.68056000001</v>
      </c>
      <c r="BO18" s="714">
        <f t="shared" si="0"/>
        <v>133.34639413357777</v>
      </c>
    </row>
    <row r="19" spans="2:67" ht="15" customHeight="1" x14ac:dyDescent="0.25">
      <c r="B19" s="156">
        <f>B18+1</f>
        <v>2</v>
      </c>
      <c r="C19" s="180" t="s">
        <v>643</v>
      </c>
      <c r="D19" s="181" t="str">
        <f>C19</f>
        <v>RSROPCL</v>
      </c>
      <c r="E19" s="182" t="s">
        <v>47</v>
      </c>
      <c r="G19" s="463">
        <f>'[15]DUoS (t)'!G19</f>
        <v>0.42470000000000002</v>
      </c>
      <c r="H19" s="464">
        <f>'[15]DUoS (t)'!H19</f>
        <v>9.2299999999999993E-2</v>
      </c>
      <c r="I19" s="459"/>
      <c r="J19" s="459"/>
      <c r="K19" s="460"/>
      <c r="L19" s="465">
        <f>'[15]DUoS (t)'!L19</f>
        <v>4.6199999999999998E-2</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1"/>
        <v>0</v>
      </c>
      <c r="AP19" s="184">
        <f t="shared" si="2"/>
        <v>0</v>
      </c>
      <c r="AQ19" s="176">
        <f t="shared" si="2"/>
        <v>0</v>
      </c>
      <c r="AR19" s="176">
        <f t="shared" si="2"/>
        <v>0</v>
      </c>
      <c r="AS19" s="177">
        <f t="shared" si="2"/>
        <v>0</v>
      </c>
      <c r="AT19" s="178">
        <f t="shared" si="2"/>
        <v>16692.059999999998</v>
      </c>
      <c r="AU19" s="185">
        <f t="shared" si="2"/>
        <v>0</v>
      </c>
      <c r="AV19" s="185">
        <f t="shared" si="2"/>
        <v>0</v>
      </c>
      <c r="AW19" s="186">
        <f t="shared" si="2"/>
        <v>0</v>
      </c>
      <c r="AX19" s="175">
        <f t="shared" si="3"/>
        <v>0</v>
      </c>
      <c r="AY19" s="176">
        <f t="shared" si="3"/>
        <v>0</v>
      </c>
      <c r="AZ19" s="177">
        <f t="shared" si="3"/>
        <v>0</v>
      </c>
      <c r="BA19" s="175">
        <f t="shared" si="3"/>
        <v>0</v>
      </c>
      <c r="BB19" s="176">
        <f t="shared" si="3"/>
        <v>0</v>
      </c>
      <c r="BC19" s="175">
        <f t="shared" si="3"/>
        <v>0</v>
      </c>
      <c r="BD19" s="176">
        <f t="shared" si="3"/>
        <v>0</v>
      </c>
      <c r="BE19" s="244">
        <f t="shared" si="4"/>
        <v>0</v>
      </c>
      <c r="BF19" s="245">
        <f t="shared" si="5"/>
        <v>361300</v>
      </c>
      <c r="BH19" s="255">
        <f>SUM(AO19)</f>
        <v>0</v>
      </c>
      <c r="BI19" s="255">
        <f>SUM(AP19:AS19)</f>
        <v>0</v>
      </c>
      <c r="BJ19" s="255">
        <f>SUM(AT19:AW19)</f>
        <v>16692.059999999998</v>
      </c>
      <c r="BK19" s="256">
        <f>SUM(AX19:BB19)</f>
        <v>0</v>
      </c>
      <c r="BL19" s="262">
        <f>SUM(BC19:BD19)</f>
        <v>0</v>
      </c>
      <c r="BM19" s="257">
        <f t="shared" si="6"/>
        <v>16692.059999999998</v>
      </c>
      <c r="BO19" s="714">
        <f t="shared" si="0"/>
        <v>46.199999999999996</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1"/>
        <v>0</v>
      </c>
      <c r="AP20" s="175">
        <f t="shared" si="2"/>
        <v>0</v>
      </c>
      <c r="AQ20" s="176">
        <f t="shared" si="2"/>
        <v>0</v>
      </c>
      <c r="AR20" s="176">
        <f t="shared" si="2"/>
        <v>0</v>
      </c>
      <c r="AS20" s="177">
        <f t="shared" si="2"/>
        <v>0</v>
      </c>
      <c r="AT20" s="176">
        <f t="shared" si="2"/>
        <v>0</v>
      </c>
      <c r="AU20" s="176">
        <f t="shared" si="2"/>
        <v>0</v>
      </c>
      <c r="AV20" s="176">
        <f t="shared" si="2"/>
        <v>0</v>
      </c>
      <c r="AW20" s="177">
        <f t="shared" si="2"/>
        <v>0</v>
      </c>
      <c r="AX20" s="175">
        <f t="shared" si="3"/>
        <v>0</v>
      </c>
      <c r="AY20" s="176">
        <f t="shared" si="3"/>
        <v>0</v>
      </c>
      <c r="AZ20" s="177">
        <f t="shared" si="3"/>
        <v>0</v>
      </c>
      <c r="BA20" s="175">
        <f t="shared" si="3"/>
        <v>0</v>
      </c>
      <c r="BB20" s="176">
        <f t="shared" si="3"/>
        <v>0</v>
      </c>
      <c r="BC20" s="175">
        <f t="shared" si="3"/>
        <v>0</v>
      </c>
      <c r="BD20" s="176">
        <f t="shared" si="3"/>
        <v>0</v>
      </c>
      <c r="BE20" s="244">
        <f t="shared" si="4"/>
        <v>0</v>
      </c>
      <c r="BF20" s="245">
        <f t="shared" si="5"/>
        <v>0</v>
      </c>
      <c r="BH20" s="252">
        <f>SUBTOTAL(9,BH21:BH27)</f>
        <v>26352.439980500003</v>
      </c>
      <c r="BI20" s="252">
        <f>SUBTOTAL(9,BI21:BI27)</f>
        <v>74068.851799999989</v>
      </c>
      <c r="BJ20" s="252">
        <f>SUBTOTAL(9,BJ21:BJ27)</f>
        <v>4811.7299999999996</v>
      </c>
      <c r="BK20" s="252">
        <f>SUBTOTAL(9,BK21:BK27)</f>
        <v>0</v>
      </c>
      <c r="BL20" s="252">
        <f>SUBTOTAL(9,BL21:BL27)</f>
        <v>229.08991399999999</v>
      </c>
      <c r="BM20" s="257">
        <f>SUM(BH20:BL20)</f>
        <v>105462.11169449998</v>
      </c>
      <c r="BO20" s="714" t="str">
        <f t="shared" si="0"/>
        <v/>
      </c>
    </row>
    <row r="21" spans="2:67" ht="15" customHeight="1" x14ac:dyDescent="0.25">
      <c r="B21" s="156">
        <f>B19+1</f>
        <v>3</v>
      </c>
      <c r="C21" s="180" t="s">
        <v>46</v>
      </c>
      <c r="D21" s="181" t="s">
        <v>46</v>
      </c>
      <c r="E21" s="182" t="s">
        <v>642</v>
      </c>
      <c r="G21" s="463">
        <f>'[15]DUoS (t)'!G21</f>
        <v>0.42470000000000002</v>
      </c>
      <c r="H21" s="758">
        <f>'[15]DUoS (t)'!H21</f>
        <v>9.2299999999999993E-2</v>
      </c>
      <c r="I21" s="459"/>
      <c r="J21" s="459"/>
      <c r="K21" s="460"/>
      <c r="L21" s="414"/>
      <c r="M21" s="759">
        <f>'[15]DUoS (t)'!M21</f>
        <v>0.1154</v>
      </c>
      <c r="N21" s="759">
        <f>'[15]DUoS (t)'!N21</f>
        <v>4.6199999999999998E-2</v>
      </c>
      <c r="O21" s="760">
        <f>'[15]DUoS (t)'!O21</f>
        <v>2.3099999999999999E-2</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 t="shared" si="1"/>
        <v>0</v>
      </c>
      <c r="AP21" s="175">
        <f t="shared" si="2"/>
        <v>0</v>
      </c>
      <c r="AQ21" s="178">
        <f t="shared" si="2"/>
        <v>0</v>
      </c>
      <c r="AR21" s="178">
        <f t="shared" si="2"/>
        <v>0</v>
      </c>
      <c r="AS21" s="179">
        <f t="shared" si="2"/>
        <v>0</v>
      </c>
      <c r="AT21" s="185">
        <f t="shared" si="2"/>
        <v>0</v>
      </c>
      <c r="AU21" s="185">
        <f t="shared" si="2"/>
        <v>0</v>
      </c>
      <c r="AV21" s="185">
        <f t="shared" si="2"/>
        <v>0</v>
      </c>
      <c r="AW21" s="186">
        <f t="shared" si="2"/>
        <v>0</v>
      </c>
      <c r="AX21" s="175">
        <f t="shared" si="3"/>
        <v>0</v>
      </c>
      <c r="AY21" s="176">
        <f t="shared" si="3"/>
        <v>0</v>
      </c>
      <c r="AZ21" s="177">
        <f t="shared" si="3"/>
        <v>0</v>
      </c>
      <c r="BA21" s="175">
        <f t="shared" si="3"/>
        <v>0</v>
      </c>
      <c r="BB21" s="176">
        <f t="shared" si="3"/>
        <v>0</v>
      </c>
      <c r="BC21" s="175">
        <f t="shared" si="3"/>
        <v>0</v>
      </c>
      <c r="BD21" s="176">
        <f t="shared" si="3"/>
        <v>0</v>
      </c>
      <c r="BE21" s="244">
        <f t="shared" si="4"/>
        <v>0</v>
      </c>
      <c r="BF21" s="245">
        <f t="shared" si="5"/>
        <v>0</v>
      </c>
      <c r="BH21" s="255">
        <f t="shared" ref="BH21:BH27" si="7">SUM(AO21)</f>
        <v>0</v>
      </c>
      <c r="BI21" s="255">
        <f t="shared" ref="BI21:BI27" si="8">SUM(AP21:AS21)</f>
        <v>0</v>
      </c>
      <c r="BJ21" s="255">
        <f t="shared" ref="BJ21:BJ27" si="9">SUM(AT21:AW21)</f>
        <v>0</v>
      </c>
      <c r="BK21" s="256">
        <f t="shared" ref="BK21:BK27" si="10">SUM(AX21:BB21)</f>
        <v>0</v>
      </c>
      <c r="BL21" s="262">
        <f t="shared" ref="BL21:BL27" si="11">SUM(BC21:BD21)</f>
        <v>0</v>
      </c>
      <c r="BM21" s="257">
        <f>SUM(BH21:BL21)</f>
        <v>0</v>
      </c>
      <c r="BO21" s="714" t="str">
        <f t="shared" si="0"/>
        <v/>
      </c>
    </row>
    <row r="22" spans="2:67" ht="15" customHeight="1" x14ac:dyDescent="0.25">
      <c r="B22" s="156">
        <f t="shared" ref="B22:B27" si="12">B21+1</f>
        <v>4</v>
      </c>
      <c r="C22" s="180" t="s">
        <v>49</v>
      </c>
      <c r="D22" s="181" t="str">
        <f t="shared" ref="D22:D27" si="13">C22</f>
        <v>RTOU</v>
      </c>
      <c r="E22" s="182" t="s">
        <v>50</v>
      </c>
      <c r="G22" s="463">
        <f>'[15]DUoS (t)'!G22</f>
        <v>0.42470000000000002</v>
      </c>
      <c r="H22" s="458"/>
      <c r="I22" s="465">
        <f>'[15]DUoS (t)'!I22</f>
        <v>0.1154</v>
      </c>
      <c r="J22" s="465">
        <f>'[15]DUoS (t)'!J22</f>
        <v>4.6199999999999998E-2</v>
      </c>
      <c r="K22" s="466">
        <f>'[15]DUoS (t)'!K22</f>
        <v>2.3099999999999999E-2</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1"/>
        <v>26026.327372500004</v>
      </c>
      <c r="AP22" s="175">
        <f t="shared" si="2"/>
        <v>0</v>
      </c>
      <c r="AQ22" s="178">
        <f t="shared" si="2"/>
        <v>65731.839999999997</v>
      </c>
      <c r="AR22" s="178">
        <f t="shared" si="2"/>
        <v>5262.1799999999994</v>
      </c>
      <c r="AS22" s="179">
        <f t="shared" si="2"/>
        <v>2926.77</v>
      </c>
      <c r="AT22" s="185">
        <f t="shared" si="2"/>
        <v>0</v>
      </c>
      <c r="AU22" s="185">
        <f t="shared" si="2"/>
        <v>0</v>
      </c>
      <c r="AV22" s="185">
        <f t="shared" si="2"/>
        <v>0</v>
      </c>
      <c r="AW22" s="186">
        <f t="shared" si="2"/>
        <v>0</v>
      </c>
      <c r="AX22" s="175">
        <f t="shared" si="3"/>
        <v>0</v>
      </c>
      <c r="AY22" s="176">
        <f t="shared" si="3"/>
        <v>0</v>
      </c>
      <c r="AZ22" s="177">
        <f t="shared" si="3"/>
        <v>0</v>
      </c>
      <c r="BA22" s="175">
        <f t="shared" si="3"/>
        <v>0</v>
      </c>
      <c r="BB22" s="176">
        <f t="shared" si="3"/>
        <v>0</v>
      </c>
      <c r="BC22" s="175">
        <f t="shared" si="3"/>
        <v>0</v>
      </c>
      <c r="BD22" s="176">
        <f t="shared" si="3"/>
        <v>0</v>
      </c>
      <c r="BE22" s="244">
        <f t="shared" si="4"/>
        <v>167895</v>
      </c>
      <c r="BF22" s="245">
        <f t="shared" si="5"/>
        <v>810200</v>
      </c>
      <c r="BH22" s="255">
        <f t="shared" si="7"/>
        <v>26026.327372500004</v>
      </c>
      <c r="BI22" s="255">
        <f t="shared" si="8"/>
        <v>73920.789999999994</v>
      </c>
      <c r="BJ22" s="255">
        <f t="shared" si="9"/>
        <v>0</v>
      </c>
      <c r="BK22" s="256">
        <f t="shared" si="10"/>
        <v>0</v>
      </c>
      <c r="BL22" s="262">
        <f t="shared" si="11"/>
        <v>0</v>
      </c>
      <c r="BM22" s="257">
        <f t="shared" si="6"/>
        <v>99947.117372499997</v>
      </c>
      <c r="BO22" s="714">
        <f t="shared" si="0"/>
        <v>123.36104341212047</v>
      </c>
    </row>
    <row r="23" spans="2:67" ht="15" customHeight="1" x14ac:dyDescent="0.25">
      <c r="B23" s="156">
        <f t="shared" si="12"/>
        <v>5</v>
      </c>
      <c r="C23" s="180" t="s">
        <v>51</v>
      </c>
      <c r="D23" s="181" t="str">
        <f t="shared" si="13"/>
        <v>RTOUCL</v>
      </c>
      <c r="E23" s="182" t="s">
        <v>52</v>
      </c>
      <c r="G23" s="463">
        <f>'[15]DUoS (t)'!G23</f>
        <v>0.42470000000000002</v>
      </c>
      <c r="H23" s="458"/>
      <c r="I23" s="465">
        <f>'[15]DUoS (t)'!I23</f>
        <v>0.1154</v>
      </c>
      <c r="J23" s="465">
        <f>'[15]DUoS (t)'!J23</f>
        <v>4.6199999999999998E-2</v>
      </c>
      <c r="K23" s="466">
        <f>'[15]DUoS (t)'!K23</f>
        <v>2.3099999999999999E-2</v>
      </c>
      <c r="L23" s="414"/>
      <c r="M23" s="465">
        <f>'[15]DUoS (t)'!M23</f>
        <v>0.1154</v>
      </c>
      <c r="N23" s="465">
        <f>'[15]DUoS (t)'!N23</f>
        <v>4.6199999999999998E-2</v>
      </c>
      <c r="O23" s="465">
        <f>'[15]DUoS (t)'!O23</f>
        <v>2.3099999999999999E-2</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1"/>
        <v>0</v>
      </c>
      <c r="AP23" s="175">
        <f t="shared" si="2"/>
        <v>0</v>
      </c>
      <c r="AQ23" s="178">
        <f t="shared" si="2"/>
        <v>0</v>
      </c>
      <c r="AR23" s="178">
        <f t="shared" si="2"/>
        <v>0</v>
      </c>
      <c r="AS23" s="179">
        <f t="shared" si="2"/>
        <v>0</v>
      </c>
      <c r="AT23" s="185">
        <f t="shared" si="2"/>
        <v>0</v>
      </c>
      <c r="AU23" s="178">
        <f t="shared" si="2"/>
        <v>0</v>
      </c>
      <c r="AV23" s="178">
        <f t="shared" si="2"/>
        <v>4278.12</v>
      </c>
      <c r="AW23" s="178">
        <f t="shared" si="2"/>
        <v>533.61</v>
      </c>
      <c r="AX23" s="175">
        <f t="shared" si="3"/>
        <v>0</v>
      </c>
      <c r="AY23" s="176">
        <f t="shared" si="3"/>
        <v>0</v>
      </c>
      <c r="AZ23" s="177">
        <f t="shared" si="3"/>
        <v>0</v>
      </c>
      <c r="BA23" s="175">
        <f t="shared" si="3"/>
        <v>0</v>
      </c>
      <c r="BB23" s="176">
        <f t="shared" si="3"/>
        <v>0</v>
      </c>
      <c r="BC23" s="175">
        <f t="shared" si="3"/>
        <v>0</v>
      </c>
      <c r="BD23" s="176">
        <f t="shared" si="3"/>
        <v>0</v>
      </c>
      <c r="BE23" s="244">
        <f t="shared" si="4"/>
        <v>0</v>
      </c>
      <c r="BF23" s="245">
        <f t="shared" si="5"/>
        <v>115700</v>
      </c>
      <c r="BH23" s="255">
        <f t="shared" si="7"/>
        <v>0</v>
      </c>
      <c r="BI23" s="255">
        <f t="shared" si="8"/>
        <v>0</v>
      </c>
      <c r="BJ23" s="255">
        <f t="shared" si="9"/>
        <v>4811.7299999999996</v>
      </c>
      <c r="BK23" s="256">
        <f t="shared" si="10"/>
        <v>0</v>
      </c>
      <c r="BL23" s="262">
        <f t="shared" si="11"/>
        <v>0</v>
      </c>
      <c r="BM23" s="257">
        <f t="shared" si="6"/>
        <v>4811.7299999999996</v>
      </c>
      <c r="BO23" s="714">
        <f t="shared" si="0"/>
        <v>41.587986171132236</v>
      </c>
    </row>
    <row r="24" spans="2:67" ht="15" customHeight="1" x14ac:dyDescent="0.25">
      <c r="B24" s="156">
        <f t="shared" si="12"/>
        <v>6</v>
      </c>
      <c r="C24" s="180" t="s">
        <v>53</v>
      </c>
      <c r="D24" s="181" t="str">
        <f t="shared" si="13"/>
        <v>RPRO</v>
      </c>
      <c r="E24" s="182" t="s">
        <v>54</v>
      </c>
      <c r="G24" s="463">
        <f>'[15]DUoS (t)'!G24</f>
        <v>0.42470000000000002</v>
      </c>
      <c r="H24" s="458"/>
      <c r="I24" s="465">
        <f>'[15]DUoS (t)'!I24</f>
        <v>6.9199999999999998E-2</v>
      </c>
      <c r="J24" s="465">
        <f>'[15]DUoS (t)'!J24</f>
        <v>2.7699999999999999E-2</v>
      </c>
      <c r="K24" s="466">
        <f>'[15]DUoS (t)'!K24</f>
        <v>1.38E-2</v>
      </c>
      <c r="L24" s="414"/>
      <c r="M24" s="414"/>
      <c r="N24" s="414"/>
      <c r="O24" s="415"/>
      <c r="P24" s="458"/>
      <c r="Q24" s="459"/>
      <c r="R24" s="460"/>
      <c r="S24" s="458"/>
      <c r="T24" s="459"/>
      <c r="U24" s="464">
        <f>'[15]DUoS (t)'!U24</f>
        <v>0.51319999999999999</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1"/>
        <v>157.96079450000002</v>
      </c>
      <c r="AP24" s="175">
        <f t="shared" si="2"/>
        <v>0</v>
      </c>
      <c r="AQ24" s="178">
        <f t="shared" si="2"/>
        <v>31.14</v>
      </c>
      <c r="AR24" s="178">
        <f t="shared" si="2"/>
        <v>12.465</v>
      </c>
      <c r="AS24" s="179">
        <f t="shared" si="2"/>
        <v>3.4499999999999997</v>
      </c>
      <c r="AT24" s="185">
        <f t="shared" si="2"/>
        <v>0</v>
      </c>
      <c r="AU24" s="185">
        <f t="shared" si="2"/>
        <v>0</v>
      </c>
      <c r="AV24" s="185">
        <f t="shared" si="2"/>
        <v>0</v>
      </c>
      <c r="AW24" s="186">
        <f t="shared" si="2"/>
        <v>0</v>
      </c>
      <c r="AX24" s="175">
        <f t="shared" si="3"/>
        <v>0</v>
      </c>
      <c r="AY24" s="176">
        <f t="shared" si="3"/>
        <v>0</v>
      </c>
      <c r="AZ24" s="177">
        <f t="shared" si="3"/>
        <v>0</v>
      </c>
      <c r="BA24" s="175">
        <f t="shared" si="3"/>
        <v>0</v>
      </c>
      <c r="BB24" s="176">
        <f t="shared" si="3"/>
        <v>0</v>
      </c>
      <c r="BC24" s="184">
        <f t="shared" si="3"/>
        <v>229.08991399999999</v>
      </c>
      <c r="BD24" s="176">
        <f t="shared" si="3"/>
        <v>0</v>
      </c>
      <c r="BE24" s="244">
        <f t="shared" si="4"/>
        <v>1019</v>
      </c>
      <c r="BF24" s="245">
        <f t="shared" si="5"/>
        <v>1150</v>
      </c>
      <c r="BH24" s="255">
        <f t="shared" si="7"/>
        <v>157.96079450000002</v>
      </c>
      <c r="BI24" s="255">
        <f t="shared" si="8"/>
        <v>47.055000000000007</v>
      </c>
      <c r="BJ24" s="255">
        <f t="shared" si="9"/>
        <v>0</v>
      </c>
      <c r="BK24" s="256">
        <f t="shared" si="10"/>
        <v>0</v>
      </c>
      <c r="BL24" s="262">
        <f t="shared" si="11"/>
        <v>229.08991399999999</v>
      </c>
      <c r="BM24" s="257">
        <f t="shared" si="6"/>
        <v>434.10570849999999</v>
      </c>
      <c r="BO24" s="714"/>
    </row>
    <row r="25" spans="2:67" ht="15" customHeight="1" x14ac:dyDescent="0.25">
      <c r="B25" s="156">
        <f t="shared" si="12"/>
        <v>7</v>
      </c>
      <c r="C25" s="180" t="s">
        <v>55</v>
      </c>
      <c r="D25" s="181" t="str">
        <f t="shared" si="13"/>
        <v>RPROCL</v>
      </c>
      <c r="E25" s="182" t="s">
        <v>56</v>
      </c>
      <c r="G25" s="463">
        <f>'[15]DUoS (t)'!G25</f>
        <v>0.42470000000000002</v>
      </c>
      <c r="H25" s="458"/>
      <c r="I25" s="465">
        <f>'[15]DUoS (t)'!I25</f>
        <v>6.9199999999999998E-2</v>
      </c>
      <c r="J25" s="465">
        <f>'[15]DUoS (t)'!J25</f>
        <v>2.7699999999999999E-2</v>
      </c>
      <c r="K25" s="466">
        <f>'[15]DUoS (t)'!K25</f>
        <v>1.38E-2</v>
      </c>
      <c r="L25" s="414"/>
      <c r="M25" s="465">
        <f>'[15]DUoS (t)'!M25</f>
        <v>0.1154</v>
      </c>
      <c r="N25" s="465">
        <f>'[15]DUoS (t)'!N25</f>
        <v>4.6199999999999998E-2</v>
      </c>
      <c r="O25" s="465">
        <f>'[15]DUoS (t)'!O25</f>
        <v>2.3099999999999999E-2</v>
      </c>
      <c r="P25" s="458"/>
      <c r="Q25" s="459"/>
      <c r="R25" s="460"/>
      <c r="S25" s="458"/>
      <c r="T25" s="459"/>
      <c r="U25" s="464">
        <f>'[15]DUoS (t)'!U25</f>
        <v>0.51319999999999999</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1"/>
        <v>0</v>
      </c>
      <c r="AP25" s="175">
        <f t="shared" si="2"/>
        <v>0</v>
      </c>
      <c r="AQ25" s="178">
        <f t="shared" si="2"/>
        <v>0</v>
      </c>
      <c r="AR25" s="178">
        <f t="shared" si="2"/>
        <v>0</v>
      </c>
      <c r="AS25" s="179">
        <f t="shared" si="2"/>
        <v>0</v>
      </c>
      <c r="AT25" s="185">
        <f t="shared" si="2"/>
        <v>0</v>
      </c>
      <c r="AU25" s="178">
        <f t="shared" si="2"/>
        <v>0</v>
      </c>
      <c r="AV25" s="178">
        <f t="shared" si="2"/>
        <v>0</v>
      </c>
      <c r="AW25" s="178">
        <f t="shared" si="2"/>
        <v>0</v>
      </c>
      <c r="AX25" s="175">
        <f t="shared" si="3"/>
        <v>0</v>
      </c>
      <c r="AY25" s="176">
        <f t="shared" si="3"/>
        <v>0</v>
      </c>
      <c r="AZ25" s="177">
        <f t="shared" si="3"/>
        <v>0</v>
      </c>
      <c r="BA25" s="175">
        <f t="shared" si="3"/>
        <v>0</v>
      </c>
      <c r="BB25" s="176">
        <f t="shared" si="3"/>
        <v>0</v>
      </c>
      <c r="BC25" s="175">
        <f t="shared" si="3"/>
        <v>0</v>
      </c>
      <c r="BD25" s="176">
        <f t="shared" si="3"/>
        <v>0</v>
      </c>
      <c r="BE25" s="244">
        <f t="shared" si="4"/>
        <v>0</v>
      </c>
      <c r="BF25" s="245">
        <f t="shared" si="5"/>
        <v>0</v>
      </c>
      <c r="BH25" s="255">
        <f t="shared" si="7"/>
        <v>0</v>
      </c>
      <c r="BI25" s="255">
        <f t="shared" si="8"/>
        <v>0</v>
      </c>
      <c r="BJ25" s="255">
        <f t="shared" si="9"/>
        <v>0</v>
      </c>
      <c r="BK25" s="256">
        <f t="shared" si="10"/>
        <v>0</v>
      </c>
      <c r="BL25" s="262">
        <f t="shared" si="11"/>
        <v>0</v>
      </c>
      <c r="BM25" s="257">
        <f t="shared" si="6"/>
        <v>0</v>
      </c>
      <c r="BO25" s="714"/>
    </row>
    <row r="26" spans="2:67" ht="15" customHeight="1" x14ac:dyDescent="0.25">
      <c r="B26" s="156">
        <f t="shared" si="12"/>
        <v>8</v>
      </c>
      <c r="C26" s="180" t="s">
        <v>699</v>
      </c>
      <c r="D26" s="181" t="str">
        <f t="shared" si="13"/>
        <v>RTOU+TR</v>
      </c>
      <c r="E26" s="182" t="s">
        <v>701</v>
      </c>
      <c r="G26" s="862">
        <f>'DUoS (t)'!G26</f>
        <v>0.4521</v>
      </c>
      <c r="H26" s="458"/>
      <c r="I26" s="851">
        <f>'DUoS (t)'!I26</f>
        <v>0.28129999999999999</v>
      </c>
      <c r="J26" s="851">
        <f>'DUoS (t)'!J26</f>
        <v>7.2999999999999995E-2</v>
      </c>
      <c r="K26" s="852">
        <f>'DUoS (t)'!K26</f>
        <v>1.32E-2</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 t="shared" si="1"/>
        <v>168.1518135</v>
      </c>
      <c r="AP26" s="175">
        <f t="shared" si="2"/>
        <v>0</v>
      </c>
      <c r="AQ26" s="178">
        <f t="shared" si="2"/>
        <v>38.172409999999999</v>
      </c>
      <c r="AR26" s="178">
        <f t="shared" si="2"/>
        <v>60.360050000000001</v>
      </c>
      <c r="AS26" s="179">
        <f t="shared" si="2"/>
        <v>2.4743400000000002</v>
      </c>
      <c r="AT26" s="185">
        <f t="shared" si="2"/>
        <v>0</v>
      </c>
      <c r="AU26" s="185">
        <f t="shared" si="2"/>
        <v>0</v>
      </c>
      <c r="AV26" s="185">
        <f t="shared" si="2"/>
        <v>0</v>
      </c>
      <c r="AW26" s="186">
        <f t="shared" si="2"/>
        <v>0</v>
      </c>
      <c r="AX26" s="175">
        <f t="shared" si="3"/>
        <v>0</v>
      </c>
      <c r="AY26" s="176">
        <f t="shared" si="3"/>
        <v>0</v>
      </c>
      <c r="AZ26" s="177">
        <f t="shared" si="3"/>
        <v>0</v>
      </c>
      <c r="BA26" s="175">
        <f t="shared" si="3"/>
        <v>0</v>
      </c>
      <c r="BB26" s="176">
        <f t="shared" si="3"/>
        <v>0</v>
      </c>
      <c r="BC26" s="184">
        <f t="shared" si="3"/>
        <v>0</v>
      </c>
      <c r="BD26" s="176">
        <f t="shared" si="3"/>
        <v>0</v>
      </c>
      <c r="BE26" s="244">
        <f t="shared" si="4"/>
        <v>1019</v>
      </c>
      <c r="BF26" s="245">
        <f t="shared" si="5"/>
        <v>1150</v>
      </c>
      <c r="BH26" s="255">
        <f t="shared" si="7"/>
        <v>168.1518135</v>
      </c>
      <c r="BI26" s="255">
        <f t="shared" si="8"/>
        <v>101.0068</v>
      </c>
      <c r="BJ26" s="255">
        <f t="shared" si="9"/>
        <v>0</v>
      </c>
      <c r="BK26" s="256">
        <f t="shared" si="10"/>
        <v>0</v>
      </c>
      <c r="BL26" s="262">
        <f t="shared" si="11"/>
        <v>0</v>
      </c>
      <c r="BM26" s="257">
        <f>SUM(BH26:BL26)</f>
        <v>269.1586135</v>
      </c>
      <c r="BO26" s="714"/>
    </row>
    <row r="27" spans="2:67" ht="15" customHeight="1" x14ac:dyDescent="0.25">
      <c r="B27" s="162">
        <f t="shared" si="12"/>
        <v>9</v>
      </c>
      <c r="C27" s="187" t="s">
        <v>700</v>
      </c>
      <c r="D27" s="188" t="str">
        <f t="shared" si="13"/>
        <v>RTOU+CLTR</v>
      </c>
      <c r="E27" s="189" t="s">
        <v>702</v>
      </c>
      <c r="G27" s="879">
        <f>'DUoS (t)'!G27</f>
        <v>0.4521</v>
      </c>
      <c r="H27" s="468"/>
      <c r="I27" s="853">
        <f>'DUoS (t)'!I27</f>
        <v>0.28129999999999999</v>
      </c>
      <c r="J27" s="853">
        <f>'DUoS (t)'!J27</f>
        <v>7.2999999999999995E-2</v>
      </c>
      <c r="K27" s="854">
        <f>'DUoS (t)'!K27</f>
        <v>1.32E-2</v>
      </c>
      <c r="L27" s="416"/>
      <c r="M27" s="853">
        <f>M23</f>
        <v>0.1154</v>
      </c>
      <c r="N27" s="853">
        <f>N23</f>
        <v>4.6199999999999998E-2</v>
      </c>
      <c r="O27" s="853">
        <f>O23</f>
        <v>2.3099999999999999E-2</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 t="shared" si="1"/>
        <v>0</v>
      </c>
      <c r="AP27" s="191">
        <f t="shared" si="2"/>
        <v>0</v>
      </c>
      <c r="AQ27" s="192">
        <f t="shared" si="2"/>
        <v>0</v>
      </c>
      <c r="AR27" s="192">
        <f t="shared" si="2"/>
        <v>0</v>
      </c>
      <c r="AS27" s="193">
        <f t="shared" si="2"/>
        <v>0</v>
      </c>
      <c r="AT27" s="194">
        <f t="shared" si="2"/>
        <v>0</v>
      </c>
      <c r="AU27" s="192">
        <f t="shared" si="2"/>
        <v>0</v>
      </c>
      <c r="AV27" s="192">
        <f t="shared" si="2"/>
        <v>0</v>
      </c>
      <c r="AW27" s="192">
        <f t="shared" si="2"/>
        <v>0</v>
      </c>
      <c r="AX27" s="191">
        <f t="shared" si="3"/>
        <v>0</v>
      </c>
      <c r="AY27" s="195">
        <f t="shared" si="3"/>
        <v>0</v>
      </c>
      <c r="AZ27" s="196">
        <f t="shared" si="3"/>
        <v>0</v>
      </c>
      <c r="BA27" s="191">
        <f t="shared" si="3"/>
        <v>0</v>
      </c>
      <c r="BB27" s="195">
        <f t="shared" si="3"/>
        <v>0</v>
      </c>
      <c r="BC27" s="197">
        <f t="shared" si="3"/>
        <v>0</v>
      </c>
      <c r="BD27" s="195">
        <f t="shared" si="3"/>
        <v>0</v>
      </c>
      <c r="BE27" s="246">
        <f t="shared" si="4"/>
        <v>0</v>
      </c>
      <c r="BF27" s="247">
        <f t="shared" si="5"/>
        <v>0</v>
      </c>
      <c r="BH27" s="255">
        <f t="shared" si="7"/>
        <v>0</v>
      </c>
      <c r="BI27" s="255">
        <f t="shared" si="8"/>
        <v>0</v>
      </c>
      <c r="BJ27" s="255">
        <f t="shared" si="9"/>
        <v>0</v>
      </c>
      <c r="BK27" s="256">
        <f t="shared" si="10"/>
        <v>0</v>
      </c>
      <c r="BL27" s="262">
        <f t="shared" si="11"/>
        <v>0</v>
      </c>
      <c r="BM27" s="257">
        <f>SUM(BH27:BL27)</f>
        <v>0</v>
      </c>
      <c r="BO27" s="714" t="str">
        <f t="shared" si="0"/>
        <v/>
      </c>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c r="Y28" s="169"/>
      <c r="Z28" s="170"/>
      <c r="AA28" s="170"/>
      <c r="AB28" s="171"/>
      <c r="AC28" s="198"/>
      <c r="AD28" s="198"/>
      <c r="AE28" s="198"/>
      <c r="AF28" s="199"/>
      <c r="AG28" s="170"/>
      <c r="AH28" s="170"/>
      <c r="AI28" s="171"/>
      <c r="AJ28" s="169"/>
      <c r="AK28" s="170"/>
      <c r="AL28" s="169"/>
      <c r="AM28" s="171"/>
      <c r="AO28" s="168">
        <f t="shared" si="1"/>
        <v>0</v>
      </c>
      <c r="AP28" s="169">
        <f t="shared" si="2"/>
        <v>0</v>
      </c>
      <c r="AQ28" s="170">
        <f t="shared" si="2"/>
        <v>0</v>
      </c>
      <c r="AR28" s="170">
        <f t="shared" si="2"/>
        <v>0</v>
      </c>
      <c r="AS28" s="171">
        <f t="shared" si="2"/>
        <v>0</v>
      </c>
      <c r="AT28" s="198">
        <f t="shared" si="2"/>
        <v>0</v>
      </c>
      <c r="AU28" s="198">
        <f t="shared" si="2"/>
        <v>0</v>
      </c>
      <c r="AV28" s="198">
        <f t="shared" si="2"/>
        <v>0</v>
      </c>
      <c r="AW28" s="199">
        <f t="shared" si="2"/>
        <v>0</v>
      </c>
      <c r="AX28" s="170">
        <f t="shared" si="3"/>
        <v>0</v>
      </c>
      <c r="AY28" s="170">
        <f t="shared" si="3"/>
        <v>0</v>
      </c>
      <c r="AZ28" s="171">
        <f t="shared" si="3"/>
        <v>0</v>
      </c>
      <c r="BA28" s="169">
        <f t="shared" si="3"/>
        <v>0</v>
      </c>
      <c r="BB28" s="170">
        <f t="shared" si="3"/>
        <v>0</v>
      </c>
      <c r="BC28" s="169">
        <f t="shared" si="3"/>
        <v>0</v>
      </c>
      <c r="BD28" s="170">
        <f t="shared" si="3"/>
        <v>0</v>
      </c>
      <c r="BE28" s="242">
        <f t="shared" si="4"/>
        <v>0</v>
      </c>
      <c r="BF28" s="243">
        <f t="shared" si="5"/>
        <v>0</v>
      </c>
      <c r="BH28" s="253">
        <f>SUBTOTAL(9,BH29:BH41)</f>
        <v>16511.6481895</v>
      </c>
      <c r="BI28" s="253">
        <f>SUBTOTAL(9,BI29:BI41)</f>
        <v>117657.86</v>
      </c>
      <c r="BJ28" s="253">
        <f>SUBTOTAL(9,BJ29:BJ41)</f>
        <v>277.2</v>
      </c>
      <c r="BK28" s="253">
        <f>SUBTOTAL(9,BK29:BK41)</f>
        <v>3023.5144539000003</v>
      </c>
      <c r="BL28" s="253">
        <f>SUBTOTAL(9,BL29:BL41)</f>
        <v>0</v>
      </c>
      <c r="BM28" s="257">
        <f t="shared" si="6"/>
        <v>137470.22264339999</v>
      </c>
      <c r="BO28" s="714" t="str">
        <f t="shared" si="0"/>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c r="Y29" s="175"/>
      <c r="Z29" s="176"/>
      <c r="AA29" s="176"/>
      <c r="AB29" s="177"/>
      <c r="AC29" s="185"/>
      <c r="AD29" s="185"/>
      <c r="AE29" s="185"/>
      <c r="AF29" s="186"/>
      <c r="AG29" s="176"/>
      <c r="AH29" s="176"/>
      <c r="AI29" s="177"/>
      <c r="AJ29" s="175"/>
      <c r="AK29" s="176"/>
      <c r="AL29" s="175"/>
      <c r="AM29" s="177"/>
      <c r="AO29" s="174">
        <f t="shared" si="1"/>
        <v>0</v>
      </c>
      <c r="AP29" s="175">
        <f t="shared" si="2"/>
        <v>0</v>
      </c>
      <c r="AQ29" s="176">
        <f t="shared" si="2"/>
        <v>0</v>
      </c>
      <c r="AR29" s="176">
        <f t="shared" si="2"/>
        <v>0</v>
      </c>
      <c r="AS29" s="177">
        <f t="shared" si="2"/>
        <v>0</v>
      </c>
      <c r="AT29" s="185">
        <f t="shared" si="2"/>
        <v>0</v>
      </c>
      <c r="AU29" s="185">
        <f t="shared" si="2"/>
        <v>0</v>
      </c>
      <c r="AV29" s="185">
        <f t="shared" si="2"/>
        <v>0</v>
      </c>
      <c r="AW29" s="186">
        <f t="shared" si="2"/>
        <v>0</v>
      </c>
      <c r="AX29" s="176">
        <f t="shared" si="3"/>
        <v>0</v>
      </c>
      <c r="AY29" s="176">
        <f t="shared" si="3"/>
        <v>0</v>
      </c>
      <c r="AZ29" s="177">
        <f t="shared" si="3"/>
        <v>0</v>
      </c>
      <c r="BA29" s="175">
        <f t="shared" si="3"/>
        <v>0</v>
      </c>
      <c r="BB29" s="176">
        <f t="shared" si="3"/>
        <v>0</v>
      </c>
      <c r="BC29" s="175">
        <f t="shared" si="3"/>
        <v>0</v>
      </c>
      <c r="BD29" s="176">
        <f t="shared" si="3"/>
        <v>0</v>
      </c>
      <c r="BE29" s="244">
        <f t="shared" si="4"/>
        <v>0</v>
      </c>
      <c r="BF29" s="245">
        <f t="shared" si="5"/>
        <v>0</v>
      </c>
      <c r="BH29" s="252">
        <f>SUBTOTAL(9,BH30:BH31)</f>
        <v>0</v>
      </c>
      <c r="BI29" s="252">
        <f>SUBTOTAL(9,BI30:BI31)</f>
        <v>7344</v>
      </c>
      <c r="BJ29" s="252">
        <f>SUBTOTAL(9,BJ30:BJ31)</f>
        <v>0</v>
      </c>
      <c r="BK29" s="260">
        <f>SUBTOTAL(9,BK30:BK31)</f>
        <v>0</v>
      </c>
      <c r="BL29" s="261">
        <f>SUBTOTAL(9,BL30:BL31)</f>
        <v>0</v>
      </c>
      <c r="BM29" s="257">
        <f t="shared" si="6"/>
        <v>7344</v>
      </c>
      <c r="BO29" s="714" t="str">
        <f t="shared" si="0"/>
        <v/>
      </c>
    </row>
    <row r="30" spans="2:67" ht="15" customHeight="1" x14ac:dyDescent="0.25">
      <c r="B30" s="156">
        <v>1</v>
      </c>
      <c r="C30" s="180" t="s">
        <v>60</v>
      </c>
      <c r="D30" s="181" t="str">
        <f>C30</f>
        <v>LVUU</v>
      </c>
      <c r="E30" s="200" t="s">
        <v>61</v>
      </c>
      <c r="G30" s="477"/>
      <c r="H30" s="478">
        <f>'[15]DUoS (t)'!H28</f>
        <v>6.8000000000000005E-2</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1"/>
        <v>0</v>
      </c>
      <c r="AP30" s="184">
        <f t="shared" si="2"/>
        <v>6188</v>
      </c>
      <c r="AQ30" s="178">
        <f t="shared" si="2"/>
        <v>0</v>
      </c>
      <c r="AR30" s="178">
        <f t="shared" si="2"/>
        <v>0</v>
      </c>
      <c r="AS30" s="179">
        <f t="shared" si="2"/>
        <v>0</v>
      </c>
      <c r="AT30" s="178">
        <f t="shared" si="2"/>
        <v>0</v>
      </c>
      <c r="AU30" s="178">
        <f t="shared" si="2"/>
        <v>0</v>
      </c>
      <c r="AV30" s="178">
        <f t="shared" si="2"/>
        <v>0</v>
      </c>
      <c r="AW30" s="179">
        <f t="shared" si="2"/>
        <v>0</v>
      </c>
      <c r="AX30" s="178">
        <f t="shared" si="3"/>
        <v>0</v>
      </c>
      <c r="AY30" s="178">
        <f t="shared" si="3"/>
        <v>0</v>
      </c>
      <c r="AZ30" s="179">
        <f t="shared" si="3"/>
        <v>0</v>
      </c>
      <c r="BA30" s="184">
        <f t="shared" si="3"/>
        <v>0</v>
      </c>
      <c r="BB30" s="178">
        <f t="shared" si="3"/>
        <v>0</v>
      </c>
      <c r="BC30" s="184">
        <f t="shared" si="3"/>
        <v>0</v>
      </c>
      <c r="BD30" s="178">
        <f t="shared" si="3"/>
        <v>0</v>
      </c>
      <c r="BE30" s="244">
        <f t="shared" si="4"/>
        <v>0</v>
      </c>
      <c r="BF30" s="245">
        <f t="shared" si="5"/>
        <v>91000</v>
      </c>
      <c r="BH30" s="255">
        <f>SUM(AO30)</f>
        <v>0</v>
      </c>
      <c r="BI30" s="255">
        <f>SUM(AP30:AS30)</f>
        <v>6188</v>
      </c>
      <c r="BJ30" s="255">
        <f>SUM(AT30:AW30)</f>
        <v>0</v>
      </c>
      <c r="BK30" s="256">
        <f>SUM(AX30:BB30)</f>
        <v>0</v>
      </c>
      <c r="BL30" s="262">
        <f>SUM(BC30:BD30)</f>
        <v>0</v>
      </c>
      <c r="BM30" s="257">
        <f t="shared" si="6"/>
        <v>6188</v>
      </c>
      <c r="BO30" s="714">
        <f t="shared" si="0"/>
        <v>68</v>
      </c>
    </row>
    <row r="31" spans="2:67" ht="15" customHeight="1" x14ac:dyDescent="0.25">
      <c r="B31" s="156">
        <f>B30+1</f>
        <v>2</v>
      </c>
      <c r="C31" s="180" t="s">
        <v>62</v>
      </c>
      <c r="D31" s="181" t="str">
        <f>C31</f>
        <v>LVUU24</v>
      </c>
      <c r="E31" s="200" t="s">
        <v>63</v>
      </c>
      <c r="G31" s="477"/>
      <c r="H31" s="478">
        <f>'[15]DUoS (t)'!H29</f>
        <v>6.8000000000000005E-2</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1"/>
        <v>0</v>
      </c>
      <c r="AP31" s="184">
        <f t="shared" si="2"/>
        <v>1156</v>
      </c>
      <c r="AQ31" s="178">
        <f t="shared" si="2"/>
        <v>0</v>
      </c>
      <c r="AR31" s="178">
        <f t="shared" si="2"/>
        <v>0</v>
      </c>
      <c r="AS31" s="179">
        <f t="shared" si="2"/>
        <v>0</v>
      </c>
      <c r="AT31" s="178">
        <f t="shared" si="2"/>
        <v>0</v>
      </c>
      <c r="AU31" s="178">
        <f t="shared" si="2"/>
        <v>0</v>
      </c>
      <c r="AV31" s="178">
        <f t="shared" si="2"/>
        <v>0</v>
      </c>
      <c r="AW31" s="179">
        <f t="shared" si="2"/>
        <v>0</v>
      </c>
      <c r="AX31" s="178">
        <f t="shared" si="3"/>
        <v>0</v>
      </c>
      <c r="AY31" s="178">
        <f t="shared" si="3"/>
        <v>0</v>
      </c>
      <c r="AZ31" s="179">
        <f t="shared" si="3"/>
        <v>0</v>
      </c>
      <c r="BA31" s="184">
        <f t="shared" si="3"/>
        <v>0</v>
      </c>
      <c r="BB31" s="178">
        <f t="shared" si="3"/>
        <v>0</v>
      </c>
      <c r="BC31" s="184">
        <f t="shared" si="3"/>
        <v>0</v>
      </c>
      <c r="BD31" s="178">
        <f t="shared" si="3"/>
        <v>0</v>
      </c>
      <c r="BE31" s="244">
        <f t="shared" si="4"/>
        <v>0</v>
      </c>
      <c r="BF31" s="245">
        <f t="shared" si="5"/>
        <v>17000</v>
      </c>
      <c r="BH31" s="255">
        <f>SUM(AO31)</f>
        <v>0</v>
      </c>
      <c r="BI31" s="255">
        <f>SUM(AP31:AS31)</f>
        <v>1156</v>
      </c>
      <c r="BJ31" s="255">
        <f>SUM(AT31:AW31)</f>
        <v>0</v>
      </c>
      <c r="BK31" s="256">
        <f>SUM(AX31:BB31)</f>
        <v>0</v>
      </c>
      <c r="BL31" s="262">
        <f>SUM(BC31:BD31)</f>
        <v>0</v>
      </c>
      <c r="BM31" s="257">
        <f t="shared" si="6"/>
        <v>1156</v>
      </c>
      <c r="BO31" s="714">
        <f t="shared" si="0"/>
        <v>68</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1"/>
        <v>0</v>
      </c>
      <c r="AP32" s="184">
        <f t="shared" si="2"/>
        <v>0</v>
      </c>
      <c r="AQ32" s="178">
        <f t="shared" si="2"/>
        <v>0</v>
      </c>
      <c r="AR32" s="178">
        <f t="shared" si="2"/>
        <v>0</v>
      </c>
      <c r="AS32" s="179">
        <f t="shared" si="2"/>
        <v>0</v>
      </c>
      <c r="AT32" s="178">
        <f t="shared" si="2"/>
        <v>0</v>
      </c>
      <c r="AU32" s="178">
        <f t="shared" si="2"/>
        <v>0</v>
      </c>
      <c r="AV32" s="178">
        <f t="shared" si="2"/>
        <v>0</v>
      </c>
      <c r="AW32" s="179">
        <f t="shared" si="2"/>
        <v>0</v>
      </c>
      <c r="AX32" s="178">
        <f t="shared" si="3"/>
        <v>0</v>
      </c>
      <c r="AY32" s="178">
        <f t="shared" si="3"/>
        <v>0</v>
      </c>
      <c r="AZ32" s="179">
        <f t="shared" si="3"/>
        <v>0</v>
      </c>
      <c r="BA32" s="184">
        <f t="shared" si="3"/>
        <v>0</v>
      </c>
      <c r="BB32" s="178">
        <f t="shared" si="3"/>
        <v>0</v>
      </c>
      <c r="BC32" s="184">
        <f t="shared" si="3"/>
        <v>0</v>
      </c>
      <c r="BD32" s="178">
        <f t="shared" si="3"/>
        <v>0</v>
      </c>
      <c r="BE32" s="244">
        <f t="shared" si="4"/>
        <v>0</v>
      </c>
      <c r="BF32" s="245">
        <f t="shared" si="5"/>
        <v>0</v>
      </c>
      <c r="BH32" s="252">
        <f>SUBTOTAL(9,BH33:BH37)</f>
        <v>11742.592901</v>
      </c>
      <c r="BI32" s="252">
        <f>SUBTOTAL(9,BI33:BI37)</f>
        <v>61600.28</v>
      </c>
      <c r="BJ32" s="252">
        <f>SUBTOTAL(9,BJ33:BJ37)</f>
        <v>277.2</v>
      </c>
      <c r="BK32" s="252">
        <f>SUBTOTAL(9,BK33:BK37)</f>
        <v>0</v>
      </c>
      <c r="BL32" s="252">
        <f>SUBTOTAL(9,BL33:BL37)</f>
        <v>0</v>
      </c>
      <c r="BM32" s="257">
        <f t="shared" si="6"/>
        <v>73620.072900999992</v>
      </c>
      <c r="BO32" s="714" t="str">
        <f t="shared" si="0"/>
        <v/>
      </c>
    </row>
    <row r="33" spans="2:67" ht="15" customHeight="1" x14ac:dyDescent="0.25">
      <c r="B33" s="156">
        <f>B31+1</f>
        <v>3</v>
      </c>
      <c r="C33" s="180" t="s">
        <v>65</v>
      </c>
      <c r="D33" s="181" t="str">
        <f>C33</f>
        <v>BSR</v>
      </c>
      <c r="E33" s="200" t="s">
        <v>66</v>
      </c>
      <c r="G33" s="477">
        <f>'[15]DUoS (t)'!G31</f>
        <v>0.4657</v>
      </c>
      <c r="H33" s="478">
        <f>'[15]DUoS (t)'!H31</f>
        <v>0.1045</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1"/>
        <v>7806.3544625000004</v>
      </c>
      <c r="AP33" s="184">
        <f t="shared" si="2"/>
        <v>33669.9</v>
      </c>
      <c r="AQ33" s="178">
        <f t="shared" si="2"/>
        <v>0</v>
      </c>
      <c r="AR33" s="178">
        <f t="shared" si="2"/>
        <v>0</v>
      </c>
      <c r="AS33" s="179">
        <f t="shared" si="2"/>
        <v>0</v>
      </c>
      <c r="AT33" s="178">
        <f t="shared" si="2"/>
        <v>0</v>
      </c>
      <c r="AU33" s="178">
        <f t="shared" si="2"/>
        <v>0</v>
      </c>
      <c r="AV33" s="178">
        <f t="shared" si="2"/>
        <v>0</v>
      </c>
      <c r="AW33" s="179">
        <f t="shared" si="2"/>
        <v>0</v>
      </c>
      <c r="AX33" s="178">
        <f t="shared" si="3"/>
        <v>0</v>
      </c>
      <c r="AY33" s="178">
        <f t="shared" si="3"/>
        <v>0</v>
      </c>
      <c r="AZ33" s="179">
        <f t="shared" si="3"/>
        <v>0</v>
      </c>
      <c r="BA33" s="184">
        <f t="shared" si="3"/>
        <v>0</v>
      </c>
      <c r="BB33" s="178">
        <f t="shared" si="3"/>
        <v>0</v>
      </c>
      <c r="BC33" s="184">
        <f t="shared" si="3"/>
        <v>0</v>
      </c>
      <c r="BD33" s="178">
        <f t="shared" si="3"/>
        <v>0</v>
      </c>
      <c r="BE33" s="244">
        <f t="shared" si="4"/>
        <v>45925</v>
      </c>
      <c r="BF33" s="245">
        <f t="shared" si="5"/>
        <v>322200</v>
      </c>
      <c r="BH33" s="255">
        <f>SUM(AO33)</f>
        <v>7806.3544625000004</v>
      </c>
      <c r="BI33" s="255">
        <f>SUM(AP33:AS33)</f>
        <v>33669.9</v>
      </c>
      <c r="BJ33" s="255">
        <f>SUM(AT33:AW33)</f>
        <v>0</v>
      </c>
      <c r="BK33" s="256">
        <f>SUM(AX33:BB33)</f>
        <v>0</v>
      </c>
      <c r="BL33" s="262">
        <f>SUM(BC33:BD33)</f>
        <v>0</v>
      </c>
      <c r="BM33" s="257">
        <f t="shared" si="6"/>
        <v>41476.254462500001</v>
      </c>
      <c r="BO33" s="714">
        <f t="shared" si="0"/>
        <v>128.72828821384232</v>
      </c>
    </row>
    <row r="34" spans="2:67" ht="15" customHeight="1" x14ac:dyDescent="0.25">
      <c r="B34" s="156">
        <f>B33+1</f>
        <v>4</v>
      </c>
      <c r="C34" s="180" t="s">
        <v>67</v>
      </c>
      <c r="D34" s="181" t="str">
        <f>C34</f>
        <v>BSRCL</v>
      </c>
      <c r="E34" s="200" t="s">
        <v>68</v>
      </c>
      <c r="G34" s="477">
        <f>'[15]DUoS (t)'!G32</f>
        <v>0.4657</v>
      </c>
      <c r="H34" s="478">
        <f>'[15]DUoS (t)'!H32</f>
        <v>0.1045</v>
      </c>
      <c r="I34" s="461"/>
      <c r="J34" s="461"/>
      <c r="K34" s="462"/>
      <c r="L34" s="483">
        <f>'[15]DUoS (t)'!L32</f>
        <v>4.6199999999999998E-2</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1"/>
        <v>0</v>
      </c>
      <c r="AP34" s="184">
        <f t="shared" si="2"/>
        <v>0</v>
      </c>
      <c r="AQ34" s="178">
        <f t="shared" si="2"/>
        <v>0</v>
      </c>
      <c r="AR34" s="178">
        <f t="shared" si="2"/>
        <v>0</v>
      </c>
      <c r="AS34" s="179">
        <f t="shared" si="2"/>
        <v>0</v>
      </c>
      <c r="AT34" s="178">
        <f t="shared" si="2"/>
        <v>138.6</v>
      </c>
      <c r="AU34" s="178">
        <f t="shared" si="2"/>
        <v>0</v>
      </c>
      <c r="AV34" s="178">
        <f t="shared" si="2"/>
        <v>0</v>
      </c>
      <c r="AW34" s="179">
        <f t="shared" si="2"/>
        <v>0</v>
      </c>
      <c r="AX34" s="178">
        <f t="shared" si="3"/>
        <v>0</v>
      </c>
      <c r="AY34" s="178">
        <f t="shared" si="3"/>
        <v>0</v>
      </c>
      <c r="AZ34" s="179">
        <f t="shared" si="3"/>
        <v>0</v>
      </c>
      <c r="BA34" s="184">
        <f t="shared" si="3"/>
        <v>0</v>
      </c>
      <c r="BB34" s="178">
        <f t="shared" si="3"/>
        <v>0</v>
      </c>
      <c r="BC34" s="184">
        <f t="shared" si="3"/>
        <v>0</v>
      </c>
      <c r="BD34" s="178">
        <f t="shared" si="3"/>
        <v>0</v>
      </c>
      <c r="BE34" s="244">
        <f t="shared" si="4"/>
        <v>0</v>
      </c>
      <c r="BF34" s="245">
        <f t="shared" si="5"/>
        <v>3000</v>
      </c>
      <c r="BH34" s="255">
        <f>SUM(AO34)</f>
        <v>0</v>
      </c>
      <c r="BI34" s="255">
        <f>SUM(AP34:AS34)</f>
        <v>0</v>
      </c>
      <c r="BJ34" s="255">
        <f>SUM(AT34:AW34)</f>
        <v>138.6</v>
      </c>
      <c r="BK34" s="256">
        <f>SUM(AX34:BB34)</f>
        <v>0</v>
      </c>
      <c r="BL34" s="262">
        <f>SUM(BC34:BD34)</f>
        <v>0</v>
      </c>
      <c r="BM34" s="257">
        <f t="shared" si="6"/>
        <v>138.6</v>
      </c>
      <c r="BO34" s="714">
        <f t="shared" si="0"/>
        <v>46.2</v>
      </c>
    </row>
    <row r="35" spans="2:67" ht="15" customHeight="1" x14ac:dyDescent="0.25">
      <c r="B35" s="156">
        <f>B34+1</f>
        <v>5</v>
      </c>
      <c r="C35" s="180" t="s">
        <v>69</v>
      </c>
      <c r="D35" s="181" t="str">
        <f>C35</f>
        <v>B2R</v>
      </c>
      <c r="E35" s="200" t="s">
        <v>70</v>
      </c>
      <c r="G35" s="477">
        <f>'[15]DUoS (t)'!G33</f>
        <v>0.4657</v>
      </c>
      <c r="H35" s="479"/>
      <c r="I35" s="465">
        <f>'[15]DUoS (t)'!I33</f>
        <v>0.1178</v>
      </c>
      <c r="J35" s="461"/>
      <c r="K35" s="466">
        <f>'[15]DUoS (t)'!K33</f>
        <v>5.8900000000000001E-2</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1"/>
        <v>3936.2384385</v>
      </c>
      <c r="AP35" s="184">
        <f t="shared" si="2"/>
        <v>0</v>
      </c>
      <c r="AQ35" s="178">
        <f t="shared" si="2"/>
        <v>19260.3</v>
      </c>
      <c r="AR35" s="178">
        <f t="shared" si="2"/>
        <v>0</v>
      </c>
      <c r="AS35" s="179">
        <f t="shared" si="2"/>
        <v>8670.08</v>
      </c>
      <c r="AT35" s="178">
        <f t="shared" si="2"/>
        <v>0</v>
      </c>
      <c r="AU35" s="178">
        <f t="shared" si="2"/>
        <v>0</v>
      </c>
      <c r="AV35" s="178">
        <f t="shared" si="2"/>
        <v>0</v>
      </c>
      <c r="AW35" s="179">
        <f t="shared" si="2"/>
        <v>0</v>
      </c>
      <c r="AX35" s="178">
        <f t="shared" si="3"/>
        <v>0</v>
      </c>
      <c r="AY35" s="178">
        <f t="shared" si="3"/>
        <v>0</v>
      </c>
      <c r="AZ35" s="179">
        <f t="shared" si="3"/>
        <v>0</v>
      </c>
      <c r="BA35" s="184">
        <f t="shared" si="3"/>
        <v>0</v>
      </c>
      <c r="BB35" s="178">
        <f t="shared" si="3"/>
        <v>0</v>
      </c>
      <c r="BC35" s="184">
        <f t="shared" si="3"/>
        <v>0</v>
      </c>
      <c r="BD35" s="178">
        <f t="shared" si="3"/>
        <v>0</v>
      </c>
      <c r="BE35" s="244">
        <f t="shared" si="4"/>
        <v>23157</v>
      </c>
      <c r="BF35" s="245">
        <f t="shared" si="5"/>
        <v>310700</v>
      </c>
      <c r="BH35" s="255">
        <f>SUM(AO35)</f>
        <v>3936.2384385</v>
      </c>
      <c r="BI35" s="255">
        <f>SUM(AP35:AS35)</f>
        <v>27930.379999999997</v>
      </c>
      <c r="BJ35" s="255">
        <f>SUM(AT35:AW35)</f>
        <v>0</v>
      </c>
      <c r="BK35" s="256">
        <f>SUM(AX35:BB35)</f>
        <v>0</v>
      </c>
      <c r="BL35" s="262">
        <f>SUM(BC35:BD35)</f>
        <v>0</v>
      </c>
      <c r="BM35" s="257">
        <f t="shared" si="6"/>
        <v>31866.618438499998</v>
      </c>
      <c r="BO35" s="714">
        <f t="shared" si="0"/>
        <v>102.56394733987769</v>
      </c>
    </row>
    <row r="36" spans="2:67" ht="15" customHeight="1" x14ac:dyDescent="0.25">
      <c r="B36" s="156">
        <f>B35+1</f>
        <v>6</v>
      </c>
      <c r="C36" s="180" t="s">
        <v>71</v>
      </c>
      <c r="D36" s="181" t="str">
        <f>C36</f>
        <v>B2RCL</v>
      </c>
      <c r="E36" s="200" t="s">
        <v>72</v>
      </c>
      <c r="G36" s="477">
        <f>'[15]DUoS (t)'!G34</f>
        <v>0.4657</v>
      </c>
      <c r="H36" s="479"/>
      <c r="I36" s="465">
        <f>'[15]DUoS (t)'!I34</f>
        <v>0.1178</v>
      </c>
      <c r="J36" s="461"/>
      <c r="K36" s="466">
        <f>'[15]DUoS (t)'!K34</f>
        <v>5.8900000000000001E-2</v>
      </c>
      <c r="L36" s="483">
        <f>'[15]DUoS (t)'!L34</f>
        <v>4.6199999999999998E-2</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1"/>
        <v>0</v>
      </c>
      <c r="AP36" s="184">
        <f t="shared" ref="AP36:AW51" si="14">H36*Y36</f>
        <v>0</v>
      </c>
      <c r="AQ36" s="178">
        <f t="shared" si="14"/>
        <v>0</v>
      </c>
      <c r="AR36" s="178">
        <f t="shared" si="14"/>
        <v>0</v>
      </c>
      <c r="AS36" s="179">
        <f t="shared" si="14"/>
        <v>0</v>
      </c>
      <c r="AT36" s="178">
        <f t="shared" si="14"/>
        <v>138.6</v>
      </c>
      <c r="AU36" s="178">
        <f t="shared" si="14"/>
        <v>0</v>
      </c>
      <c r="AV36" s="178">
        <f t="shared" si="14"/>
        <v>0</v>
      </c>
      <c r="AW36" s="179">
        <f t="shared" si="14"/>
        <v>0</v>
      </c>
      <c r="AX36" s="178">
        <f t="shared" si="3"/>
        <v>0</v>
      </c>
      <c r="AY36" s="178">
        <f t="shared" si="3"/>
        <v>0</v>
      </c>
      <c r="AZ36" s="179">
        <f t="shared" si="3"/>
        <v>0</v>
      </c>
      <c r="BA36" s="184">
        <f t="shared" si="3"/>
        <v>0</v>
      </c>
      <c r="BB36" s="178">
        <f t="shared" si="3"/>
        <v>0</v>
      </c>
      <c r="BC36" s="184">
        <f t="shared" si="3"/>
        <v>0</v>
      </c>
      <c r="BD36" s="178">
        <f t="shared" si="3"/>
        <v>0</v>
      </c>
      <c r="BE36" s="244">
        <f t="shared" si="4"/>
        <v>0</v>
      </c>
      <c r="BF36" s="245">
        <f t="shared" si="5"/>
        <v>3000</v>
      </c>
      <c r="BH36" s="255">
        <f>SUM(AO36)</f>
        <v>0</v>
      </c>
      <c r="BI36" s="255">
        <f>SUM(AP36:AS36)</f>
        <v>0</v>
      </c>
      <c r="BJ36" s="255">
        <f>SUM(AT36:AW36)</f>
        <v>138.6</v>
      </c>
      <c r="BK36" s="256">
        <f>SUM(AX36:BB36)</f>
        <v>0</v>
      </c>
      <c r="BL36" s="262">
        <f>SUM(BC36:BD36)</f>
        <v>0</v>
      </c>
      <c r="BM36" s="257">
        <f t="shared" si="6"/>
        <v>138.6</v>
      </c>
      <c r="BO36" s="714">
        <f t="shared" si="0"/>
        <v>46.2</v>
      </c>
    </row>
    <row r="37" spans="2:67" ht="15" customHeight="1" x14ac:dyDescent="0.25">
      <c r="B37" s="156">
        <f>B36+1</f>
        <v>7</v>
      </c>
      <c r="C37" s="180" t="s">
        <v>73</v>
      </c>
      <c r="D37" s="181" t="str">
        <f>C37</f>
        <v>BCL</v>
      </c>
      <c r="E37" s="200" t="s">
        <v>74</v>
      </c>
      <c r="G37" s="477">
        <f>'[15]DUoS (t)'!G35</f>
        <v>0</v>
      </c>
      <c r="H37" s="479"/>
      <c r="I37" s="461"/>
      <c r="J37" s="461"/>
      <c r="K37" s="462"/>
      <c r="L37" s="483">
        <f>'[15]DUoS (t)'!L35</f>
        <v>4.6199999999999998E-2</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1"/>
        <v>0</v>
      </c>
      <c r="AP37" s="184">
        <f t="shared" si="14"/>
        <v>0</v>
      </c>
      <c r="AQ37" s="178">
        <f t="shared" si="14"/>
        <v>0</v>
      </c>
      <c r="AR37" s="178">
        <f t="shared" si="14"/>
        <v>0</v>
      </c>
      <c r="AS37" s="179">
        <f t="shared" si="14"/>
        <v>0</v>
      </c>
      <c r="AT37" s="178">
        <f t="shared" si="14"/>
        <v>0</v>
      </c>
      <c r="AU37" s="178">
        <f t="shared" si="14"/>
        <v>0</v>
      </c>
      <c r="AV37" s="178">
        <f t="shared" si="14"/>
        <v>0</v>
      </c>
      <c r="AW37" s="179">
        <f t="shared" si="14"/>
        <v>0</v>
      </c>
      <c r="AX37" s="178">
        <f t="shared" si="3"/>
        <v>0</v>
      </c>
      <c r="AY37" s="178">
        <f t="shared" si="3"/>
        <v>0</v>
      </c>
      <c r="AZ37" s="179">
        <f t="shared" si="3"/>
        <v>0</v>
      </c>
      <c r="BA37" s="184">
        <f t="shared" si="3"/>
        <v>0</v>
      </c>
      <c r="BB37" s="178">
        <f t="shared" si="3"/>
        <v>0</v>
      </c>
      <c r="BC37" s="184">
        <f t="shared" si="3"/>
        <v>0</v>
      </c>
      <c r="BD37" s="178">
        <f t="shared" si="3"/>
        <v>0</v>
      </c>
      <c r="BE37" s="244">
        <f t="shared" si="4"/>
        <v>0</v>
      </c>
      <c r="BF37" s="245">
        <f t="shared" si="5"/>
        <v>0</v>
      </c>
      <c r="BH37" s="255">
        <f>SUM(AO37)</f>
        <v>0</v>
      </c>
      <c r="BI37" s="255">
        <f>SUM(AP37:AS37)</f>
        <v>0</v>
      </c>
      <c r="BJ37" s="255">
        <f>SUM(AT37:AW37)</f>
        <v>0</v>
      </c>
      <c r="BK37" s="256">
        <f>SUM(AX37:BB37)</f>
        <v>0</v>
      </c>
      <c r="BL37" s="262">
        <f>SUM(BC37:BD37)</f>
        <v>0</v>
      </c>
      <c r="BM37" s="257">
        <f t="shared" si="6"/>
        <v>0</v>
      </c>
      <c r="BO37" s="714" t="str">
        <f t="shared" si="0"/>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1"/>
        <v>0</v>
      </c>
      <c r="AP38" s="184">
        <f t="shared" si="14"/>
        <v>0</v>
      </c>
      <c r="AQ38" s="178">
        <f t="shared" si="14"/>
        <v>0</v>
      </c>
      <c r="AR38" s="178">
        <f t="shared" si="14"/>
        <v>0</v>
      </c>
      <c r="AS38" s="179">
        <f t="shared" si="14"/>
        <v>0</v>
      </c>
      <c r="AT38" s="178">
        <f t="shared" si="14"/>
        <v>0</v>
      </c>
      <c r="AU38" s="178">
        <f t="shared" si="14"/>
        <v>0</v>
      </c>
      <c r="AV38" s="178">
        <f t="shared" si="14"/>
        <v>0</v>
      </c>
      <c r="AW38" s="179">
        <f t="shared" si="14"/>
        <v>0</v>
      </c>
      <c r="AX38" s="178">
        <f t="shared" si="3"/>
        <v>0</v>
      </c>
      <c r="AY38" s="178">
        <f t="shared" si="3"/>
        <v>0</v>
      </c>
      <c r="AZ38" s="179">
        <f t="shared" si="3"/>
        <v>0</v>
      </c>
      <c r="BA38" s="184">
        <f t="shared" si="3"/>
        <v>0</v>
      </c>
      <c r="BB38" s="178">
        <f t="shared" si="3"/>
        <v>0</v>
      </c>
      <c r="BC38" s="184">
        <f t="shared" si="3"/>
        <v>0</v>
      </c>
      <c r="BD38" s="178">
        <f t="shared" si="3"/>
        <v>0</v>
      </c>
      <c r="BE38" s="244">
        <f t="shared" si="4"/>
        <v>0</v>
      </c>
      <c r="BF38" s="245">
        <f t="shared" si="5"/>
        <v>0</v>
      </c>
      <c r="BH38" s="252">
        <f>SUBTOTAL(9,BH39:BH41)</f>
        <v>4769.0552885000006</v>
      </c>
      <c r="BI38" s="252">
        <f>SUBTOTAL(9,BI39:BI41)</f>
        <v>48713.580000000009</v>
      </c>
      <c r="BJ38" s="252">
        <f>SUBTOTAL(9,BJ39:BJ41)</f>
        <v>0</v>
      </c>
      <c r="BK38" s="252">
        <f>SUBTOTAL(9,BK39:BK41)</f>
        <v>3023.5144539000003</v>
      </c>
      <c r="BL38" s="252">
        <f>SUBTOTAL(9,BL39:BL41)</f>
        <v>0</v>
      </c>
      <c r="BM38" s="257">
        <f t="shared" si="6"/>
        <v>56506.149742400012</v>
      </c>
      <c r="BO38" s="714" t="str">
        <f t="shared" si="0"/>
        <v/>
      </c>
    </row>
    <row r="39" spans="2:67" ht="15" customHeight="1" x14ac:dyDescent="0.25">
      <c r="B39" s="156">
        <f>B37+1</f>
        <v>8</v>
      </c>
      <c r="C39" s="180" t="s">
        <v>76</v>
      </c>
      <c r="D39" s="181" t="str">
        <f>C39</f>
        <v>SBTOU</v>
      </c>
      <c r="E39" s="200" t="s">
        <v>77</v>
      </c>
      <c r="G39" s="477">
        <f>'[15]DUoS (t)'!G37</f>
        <v>0.4657</v>
      </c>
      <c r="H39" s="479"/>
      <c r="I39" s="483">
        <f>'[15]DUoS (t)'!I37</f>
        <v>0.15679999999999999</v>
      </c>
      <c r="J39" s="483">
        <f>'[15]DUoS (t)'!J37</f>
        <v>0.1091</v>
      </c>
      <c r="K39" s="484">
        <f>'[15]DUoS (t)'!K37</f>
        <v>5.8900000000000001E-2</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1"/>
        <v>3816.4021860000003</v>
      </c>
      <c r="AP39" s="184">
        <f t="shared" si="14"/>
        <v>0</v>
      </c>
      <c r="AQ39" s="178">
        <f t="shared" si="14"/>
        <v>5080.32</v>
      </c>
      <c r="AR39" s="178">
        <f t="shared" si="14"/>
        <v>25256.65</v>
      </c>
      <c r="AS39" s="179">
        <f t="shared" si="14"/>
        <v>12039.16</v>
      </c>
      <c r="AT39" s="178">
        <f t="shared" si="14"/>
        <v>0</v>
      </c>
      <c r="AU39" s="178">
        <f t="shared" si="14"/>
        <v>0</v>
      </c>
      <c r="AV39" s="178">
        <f t="shared" si="14"/>
        <v>0</v>
      </c>
      <c r="AW39" s="179">
        <f t="shared" si="14"/>
        <v>0</v>
      </c>
      <c r="AX39" s="178">
        <f t="shared" si="3"/>
        <v>0</v>
      </c>
      <c r="AY39" s="178">
        <f t="shared" si="3"/>
        <v>0</v>
      </c>
      <c r="AZ39" s="179">
        <f t="shared" si="3"/>
        <v>0</v>
      </c>
      <c r="BA39" s="184">
        <f t="shared" si="3"/>
        <v>0</v>
      </c>
      <c r="BB39" s="178">
        <f t="shared" si="3"/>
        <v>0</v>
      </c>
      <c r="BC39" s="184">
        <f t="shared" si="3"/>
        <v>0</v>
      </c>
      <c r="BD39" s="178">
        <f t="shared" si="3"/>
        <v>0</v>
      </c>
      <c r="BE39" s="244">
        <f t="shared" si="4"/>
        <v>22452</v>
      </c>
      <c r="BF39" s="245">
        <f t="shared" si="5"/>
        <v>468300</v>
      </c>
      <c r="BH39" s="255">
        <f>SUM(AO39)</f>
        <v>3816.4021860000003</v>
      </c>
      <c r="BI39" s="255">
        <f>SUM(AP39:AS39)</f>
        <v>42376.130000000005</v>
      </c>
      <c r="BJ39" s="255">
        <f>SUM(AT39:AW39)</f>
        <v>0</v>
      </c>
      <c r="BK39" s="256">
        <f>SUM(AX39:BB39)</f>
        <v>0</v>
      </c>
      <c r="BL39" s="262">
        <f>SUM(BC39:BD39)</f>
        <v>0</v>
      </c>
      <c r="BM39" s="257">
        <f t="shared" si="6"/>
        <v>46192.532186000004</v>
      </c>
      <c r="BO39" s="714">
        <f t="shared" si="0"/>
        <v>98.638761874866546</v>
      </c>
    </row>
    <row r="40" spans="2:67" ht="15" customHeight="1" x14ac:dyDescent="0.25">
      <c r="B40" s="156">
        <f>B39+1</f>
        <v>9</v>
      </c>
      <c r="C40" s="180" t="s">
        <v>78</v>
      </c>
      <c r="D40" s="181" t="str">
        <f>C40</f>
        <v>SBTOUD</v>
      </c>
      <c r="E40" s="200" t="s">
        <v>79</v>
      </c>
      <c r="G40" s="477">
        <f>'[15]DUoS (t)'!G38</f>
        <v>0.4657</v>
      </c>
      <c r="H40" s="479"/>
      <c r="I40" s="483">
        <f>'[15]DUoS (t)'!I38</f>
        <v>0.1255</v>
      </c>
      <c r="J40" s="483">
        <f>'[15]DUoS (t)'!J38</f>
        <v>8.7300000000000003E-2</v>
      </c>
      <c r="K40" s="484">
        <f>'[15]DUoS (t)'!K38</f>
        <v>4.7100000000000003E-2</v>
      </c>
      <c r="L40" s="461"/>
      <c r="M40" s="461"/>
      <c r="N40" s="461"/>
      <c r="O40" s="462"/>
      <c r="P40" s="461"/>
      <c r="Q40" s="461"/>
      <c r="R40" s="462"/>
      <c r="S40" s="479"/>
      <c r="T40" s="483">
        <f>'[15]DUoS (t)'!T38</f>
        <v>8.14E-2</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1"/>
        <v>264.65963850000003</v>
      </c>
      <c r="AP40" s="184">
        <f t="shared" si="14"/>
        <v>0</v>
      </c>
      <c r="AQ40" s="178">
        <f t="shared" si="14"/>
        <v>589.85</v>
      </c>
      <c r="AR40" s="178">
        <f t="shared" si="14"/>
        <v>3561.84</v>
      </c>
      <c r="AS40" s="179">
        <f t="shared" si="14"/>
        <v>1299.96</v>
      </c>
      <c r="AT40" s="178">
        <f t="shared" si="14"/>
        <v>0</v>
      </c>
      <c r="AU40" s="178">
        <f t="shared" si="14"/>
        <v>0</v>
      </c>
      <c r="AV40" s="178">
        <f t="shared" si="14"/>
        <v>0</v>
      </c>
      <c r="AW40" s="179">
        <f t="shared" si="14"/>
        <v>0</v>
      </c>
      <c r="AX40" s="178">
        <f t="shared" si="3"/>
        <v>0</v>
      </c>
      <c r="AY40" s="178">
        <f t="shared" si="3"/>
        <v>0</v>
      </c>
      <c r="AZ40" s="179">
        <f t="shared" si="3"/>
        <v>0</v>
      </c>
      <c r="BA40" s="184">
        <f t="shared" si="3"/>
        <v>0</v>
      </c>
      <c r="BB40" s="178">
        <f t="shared" si="3"/>
        <v>2276.189421</v>
      </c>
      <c r="BC40" s="184">
        <f t="shared" si="3"/>
        <v>0</v>
      </c>
      <c r="BD40" s="178">
        <f t="shared" si="3"/>
        <v>0</v>
      </c>
      <c r="BE40" s="244">
        <f t="shared" si="4"/>
        <v>1557</v>
      </c>
      <c r="BF40" s="245">
        <f t="shared" si="5"/>
        <v>73100</v>
      </c>
      <c r="BH40" s="255">
        <f>SUM(AO40)</f>
        <v>264.65963850000003</v>
      </c>
      <c r="BI40" s="255">
        <f>SUM(AP40:AS40)</f>
        <v>5451.6500000000005</v>
      </c>
      <c r="BJ40" s="255">
        <f>SUM(AT40:AW40)</f>
        <v>0</v>
      </c>
      <c r="BK40" s="256">
        <f>SUM(AX40:BB40)</f>
        <v>2276.189421</v>
      </c>
      <c r="BL40" s="262">
        <f>SUM(BC40:BD40)</f>
        <v>0</v>
      </c>
      <c r="BM40" s="257">
        <f t="shared" si="6"/>
        <v>7992.4990595000008</v>
      </c>
      <c r="BO40" s="714">
        <f t="shared" si="0"/>
        <v>109.33651244186048</v>
      </c>
    </row>
    <row r="41" spans="2:67" ht="15" customHeight="1" x14ac:dyDescent="0.25">
      <c r="B41" s="162">
        <f>B40+1</f>
        <v>10</v>
      </c>
      <c r="C41" s="187" t="s">
        <v>80</v>
      </c>
      <c r="D41" s="188" t="str">
        <f>C41</f>
        <v>SBD</v>
      </c>
      <c r="E41" s="203" t="s">
        <v>81</v>
      </c>
      <c r="G41" s="485">
        <f>'[15]DUoS (t)'!G39</f>
        <v>2.7397</v>
      </c>
      <c r="H41" s="486">
        <f>'[15]DUoS (t)'!H39</f>
        <v>5.1499999999999997E-2</v>
      </c>
      <c r="I41" s="487"/>
      <c r="J41" s="487"/>
      <c r="K41" s="488"/>
      <c r="L41" s="487"/>
      <c r="M41" s="487"/>
      <c r="N41" s="487"/>
      <c r="O41" s="488"/>
      <c r="P41" s="487"/>
      <c r="Q41" s="489">
        <f>'[15]DUoS (t)'!Q39</f>
        <v>0.30940000000000001</v>
      </c>
      <c r="R41" s="490">
        <f>'[15]DUoS (t)'!R39</f>
        <v>0.15310000000000001</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1"/>
        <v>687.99346400000002</v>
      </c>
      <c r="AP41" s="197">
        <f t="shared" si="14"/>
        <v>885.8</v>
      </c>
      <c r="AQ41" s="192">
        <f t="shared" si="14"/>
        <v>0</v>
      </c>
      <c r="AR41" s="192">
        <f t="shared" si="14"/>
        <v>0</v>
      </c>
      <c r="AS41" s="193">
        <f t="shared" si="14"/>
        <v>0</v>
      </c>
      <c r="AT41" s="192">
        <f t="shared" si="14"/>
        <v>0</v>
      </c>
      <c r="AU41" s="192">
        <f t="shared" si="14"/>
        <v>0</v>
      </c>
      <c r="AV41" s="192">
        <f t="shared" si="14"/>
        <v>0</v>
      </c>
      <c r="AW41" s="193">
        <f t="shared" si="14"/>
        <v>0</v>
      </c>
      <c r="AX41" s="192">
        <f t="shared" si="3"/>
        <v>0</v>
      </c>
      <c r="AY41" s="192">
        <f t="shared" si="3"/>
        <v>331.28726540000002</v>
      </c>
      <c r="AZ41" s="193">
        <f t="shared" si="3"/>
        <v>416.03776750000003</v>
      </c>
      <c r="BA41" s="197">
        <f t="shared" si="3"/>
        <v>0</v>
      </c>
      <c r="BB41" s="192">
        <f t="shared" si="3"/>
        <v>0</v>
      </c>
      <c r="BC41" s="197">
        <f t="shared" si="3"/>
        <v>0</v>
      </c>
      <c r="BD41" s="192">
        <f t="shared" si="3"/>
        <v>0</v>
      </c>
      <c r="BE41" s="246">
        <f t="shared" si="4"/>
        <v>688</v>
      </c>
      <c r="BF41" s="247">
        <f t="shared" si="5"/>
        <v>17200</v>
      </c>
      <c r="BH41" s="255">
        <f>SUM(AO41)</f>
        <v>687.99346400000002</v>
      </c>
      <c r="BI41" s="255">
        <f>SUM(AP41:AS41)</f>
        <v>885.8</v>
      </c>
      <c r="BJ41" s="255">
        <f>SUM(AT41:AW41)</f>
        <v>0</v>
      </c>
      <c r="BK41" s="256">
        <f>SUM(AX41:BB41)</f>
        <v>747.3250329</v>
      </c>
      <c r="BL41" s="262">
        <f>SUM(BC41:BD41)</f>
        <v>0</v>
      </c>
      <c r="BM41" s="257">
        <f t="shared" si="6"/>
        <v>2321.1184968999996</v>
      </c>
      <c r="BO41" s="714">
        <f t="shared" si="0"/>
        <v>134.94874981976741</v>
      </c>
    </row>
    <row r="42" spans="2:67" ht="15" customHeight="1" x14ac:dyDescent="0.25">
      <c r="B42" s="167" t="s">
        <v>82</v>
      </c>
      <c r="C42" s="151" t="s">
        <v>83</v>
      </c>
      <c r="D42" s="151"/>
      <c r="E42" s="204"/>
      <c r="G42" s="494"/>
      <c r="H42" s="495"/>
      <c r="I42" s="496"/>
      <c r="J42" s="496"/>
      <c r="K42" s="497"/>
      <c r="L42" s="496"/>
      <c r="M42" s="496"/>
      <c r="N42" s="496"/>
      <c r="O42" s="497"/>
      <c r="P42" s="496"/>
      <c r="Q42" s="496"/>
      <c r="R42" s="497"/>
      <c r="S42" s="495"/>
      <c r="T42" s="496"/>
      <c r="U42" s="495"/>
      <c r="V42" s="497"/>
      <c r="X42" s="205"/>
      <c r="Y42" s="206"/>
      <c r="Z42" s="207"/>
      <c r="AA42" s="207"/>
      <c r="AB42" s="208"/>
      <c r="AC42" s="207"/>
      <c r="AD42" s="207"/>
      <c r="AE42" s="207"/>
      <c r="AF42" s="208"/>
      <c r="AG42" s="207"/>
      <c r="AH42" s="207"/>
      <c r="AI42" s="208"/>
      <c r="AJ42" s="206"/>
      <c r="AK42" s="207"/>
      <c r="AL42" s="206"/>
      <c r="AM42" s="208"/>
      <c r="AO42" s="205">
        <f t="shared" si="1"/>
        <v>0</v>
      </c>
      <c r="AP42" s="206">
        <f t="shared" si="14"/>
        <v>0</v>
      </c>
      <c r="AQ42" s="207">
        <f t="shared" si="14"/>
        <v>0</v>
      </c>
      <c r="AR42" s="207">
        <f t="shared" si="14"/>
        <v>0</v>
      </c>
      <c r="AS42" s="208">
        <f t="shared" si="14"/>
        <v>0</v>
      </c>
      <c r="AT42" s="207">
        <f t="shared" si="14"/>
        <v>0</v>
      </c>
      <c r="AU42" s="207">
        <f t="shared" si="14"/>
        <v>0</v>
      </c>
      <c r="AV42" s="207">
        <f t="shared" si="14"/>
        <v>0</v>
      </c>
      <c r="AW42" s="208">
        <f t="shared" si="14"/>
        <v>0</v>
      </c>
      <c r="AX42" s="207">
        <f t="shared" si="3"/>
        <v>0</v>
      </c>
      <c r="AY42" s="207">
        <f t="shared" si="3"/>
        <v>0</v>
      </c>
      <c r="AZ42" s="208">
        <f t="shared" si="3"/>
        <v>0</v>
      </c>
      <c r="BA42" s="206">
        <f t="shared" si="3"/>
        <v>0</v>
      </c>
      <c r="BB42" s="207">
        <f t="shared" si="3"/>
        <v>0</v>
      </c>
      <c r="BC42" s="206">
        <f t="shared" si="3"/>
        <v>0</v>
      </c>
      <c r="BD42" s="207">
        <f t="shared" si="3"/>
        <v>0</v>
      </c>
      <c r="BE42" s="242">
        <f t="shared" si="4"/>
        <v>0</v>
      </c>
      <c r="BF42" s="243">
        <f t="shared" si="5"/>
        <v>0</v>
      </c>
      <c r="BH42" s="253">
        <f>SUBTOTAL(9,BH43:BH69)</f>
        <v>13418.970229999999</v>
      </c>
      <c r="BI42" s="253">
        <f>SUBTOTAL(9,BI43:BI69)</f>
        <v>91162.613900000026</v>
      </c>
      <c r="BJ42" s="253">
        <f>SUBTOTAL(9,BJ43:BJ69)</f>
        <v>0</v>
      </c>
      <c r="BK42" s="253">
        <f>SUBTOTAL(9,BK43:BK69)</f>
        <v>71772.905412900014</v>
      </c>
      <c r="BL42" s="253">
        <f>SUBTOTAL(9,BL43:BL69)</f>
        <v>0</v>
      </c>
      <c r="BM42" s="257">
        <f t="shared" si="6"/>
        <v>176354.48954290006</v>
      </c>
      <c r="BO42" s="714" t="str">
        <f t="shared" si="0"/>
        <v/>
      </c>
    </row>
    <row r="43" spans="2:67" ht="15" customHeight="1" x14ac:dyDescent="0.25">
      <c r="B43" s="156"/>
      <c r="C43" s="126" t="s">
        <v>84</v>
      </c>
      <c r="D43" s="173"/>
      <c r="E43" s="202"/>
      <c r="G43" s="482"/>
      <c r="H43" s="479"/>
      <c r="I43" s="461"/>
      <c r="J43" s="461"/>
      <c r="K43" s="462"/>
      <c r="L43" s="461"/>
      <c r="M43" s="461"/>
      <c r="N43" s="461"/>
      <c r="O43" s="462"/>
      <c r="P43" s="461"/>
      <c r="Q43" s="461"/>
      <c r="R43" s="462"/>
      <c r="S43" s="479"/>
      <c r="T43" s="461"/>
      <c r="U43" s="479"/>
      <c r="V43" s="462"/>
      <c r="X43" s="183"/>
      <c r="Y43" s="184"/>
      <c r="Z43" s="178"/>
      <c r="AA43" s="178"/>
      <c r="AB43" s="179"/>
      <c r="AC43" s="178"/>
      <c r="AD43" s="178"/>
      <c r="AE43" s="178"/>
      <c r="AF43" s="179"/>
      <c r="AG43" s="178"/>
      <c r="AH43" s="178"/>
      <c r="AI43" s="179"/>
      <c r="AJ43" s="184"/>
      <c r="AK43" s="178"/>
      <c r="AL43" s="184"/>
      <c r="AM43" s="179"/>
      <c r="AO43" s="183">
        <f t="shared" si="1"/>
        <v>0</v>
      </c>
      <c r="AP43" s="184">
        <f t="shared" si="14"/>
        <v>0</v>
      </c>
      <c r="AQ43" s="178">
        <f t="shared" si="14"/>
        <v>0</v>
      </c>
      <c r="AR43" s="178">
        <f t="shared" si="14"/>
        <v>0</v>
      </c>
      <c r="AS43" s="179">
        <f t="shared" si="14"/>
        <v>0</v>
      </c>
      <c r="AT43" s="178">
        <f t="shared" si="14"/>
        <v>0</v>
      </c>
      <c r="AU43" s="178">
        <f t="shared" si="14"/>
        <v>0</v>
      </c>
      <c r="AV43" s="178">
        <f t="shared" si="14"/>
        <v>0</v>
      </c>
      <c r="AW43" s="179">
        <f t="shared" si="14"/>
        <v>0</v>
      </c>
      <c r="AX43" s="178">
        <f t="shared" si="3"/>
        <v>0</v>
      </c>
      <c r="AY43" s="178">
        <f t="shared" si="3"/>
        <v>0</v>
      </c>
      <c r="AZ43" s="179">
        <f t="shared" si="3"/>
        <v>0</v>
      </c>
      <c r="BA43" s="184">
        <f t="shared" si="3"/>
        <v>0</v>
      </c>
      <c r="BB43" s="178">
        <f t="shared" si="3"/>
        <v>0</v>
      </c>
      <c r="BC43" s="184">
        <f t="shared" si="3"/>
        <v>0</v>
      </c>
      <c r="BD43" s="178">
        <f t="shared" si="3"/>
        <v>0</v>
      </c>
      <c r="BE43" s="244">
        <f t="shared" si="4"/>
        <v>0</v>
      </c>
      <c r="BF43" s="245">
        <f t="shared" si="5"/>
        <v>0</v>
      </c>
      <c r="BH43" s="252">
        <f>SUBTOTAL(9,BH44:BH47)</f>
        <v>0</v>
      </c>
      <c r="BI43" s="252">
        <f>SUBTOTAL(9,BI44:BI47)</f>
        <v>0</v>
      </c>
      <c r="BJ43" s="252">
        <f>SUBTOTAL(9,BJ44:BJ47)</f>
        <v>0</v>
      </c>
      <c r="BK43" s="252">
        <f>SUBTOTAL(9,BK44:BK47)</f>
        <v>0</v>
      </c>
      <c r="BL43" s="252">
        <f>SUBTOTAL(9,BL44:BL47)</f>
        <v>0</v>
      </c>
      <c r="BM43" s="257">
        <f t="shared" si="6"/>
        <v>0</v>
      </c>
      <c r="BO43" s="714" t="str">
        <f t="shared" si="0"/>
        <v/>
      </c>
    </row>
    <row r="44" spans="2:67" ht="15" customHeight="1" x14ac:dyDescent="0.25">
      <c r="B44" s="156">
        <f>B43+1</f>
        <v>1</v>
      </c>
      <c r="C44" s="180" t="s">
        <v>85</v>
      </c>
      <c r="D44" s="181" t="str">
        <f>C44</f>
        <v>LBSR</v>
      </c>
      <c r="E44" s="200" t="s">
        <v>86</v>
      </c>
      <c r="G44" s="477">
        <f>'[15]DUoS (t)'!G42</f>
        <v>0.4657</v>
      </c>
      <c r="H44" s="478">
        <f>'[15]DUoS (t)'!H42</f>
        <v>0.1255</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1"/>
        <v>0</v>
      </c>
      <c r="AP44" s="184">
        <f t="shared" si="14"/>
        <v>0</v>
      </c>
      <c r="AQ44" s="178">
        <f t="shared" si="14"/>
        <v>0</v>
      </c>
      <c r="AR44" s="178">
        <f t="shared" si="14"/>
        <v>0</v>
      </c>
      <c r="AS44" s="179">
        <f t="shared" si="14"/>
        <v>0</v>
      </c>
      <c r="AT44" s="178">
        <f t="shared" si="14"/>
        <v>0</v>
      </c>
      <c r="AU44" s="178">
        <f t="shared" si="14"/>
        <v>0</v>
      </c>
      <c r="AV44" s="178">
        <f t="shared" si="14"/>
        <v>0</v>
      </c>
      <c r="AW44" s="179">
        <f t="shared" si="14"/>
        <v>0</v>
      </c>
      <c r="AX44" s="178">
        <f t="shared" si="3"/>
        <v>0</v>
      </c>
      <c r="AY44" s="178">
        <f t="shared" si="3"/>
        <v>0</v>
      </c>
      <c r="AZ44" s="179">
        <f t="shared" si="3"/>
        <v>0</v>
      </c>
      <c r="BA44" s="184">
        <f t="shared" si="3"/>
        <v>0</v>
      </c>
      <c r="BB44" s="178">
        <f t="shared" si="3"/>
        <v>0</v>
      </c>
      <c r="BC44" s="184">
        <f t="shared" si="3"/>
        <v>0</v>
      </c>
      <c r="BD44" s="178">
        <f t="shared" si="3"/>
        <v>0</v>
      </c>
      <c r="BE44" s="244">
        <f t="shared" si="4"/>
        <v>0</v>
      </c>
      <c r="BF44" s="245">
        <f t="shared" si="5"/>
        <v>0</v>
      </c>
      <c r="BH44" s="255">
        <f>SUM(AO44)</f>
        <v>0</v>
      </c>
      <c r="BI44" s="255">
        <f>SUM(AP44:AS44)</f>
        <v>0</v>
      </c>
      <c r="BJ44" s="255">
        <f>SUM(AT44:AW44)</f>
        <v>0</v>
      </c>
      <c r="BK44" s="256">
        <f>SUM(AX44:BB44)</f>
        <v>0</v>
      </c>
      <c r="BL44" s="262">
        <f>SUM(BC44:BD44)</f>
        <v>0</v>
      </c>
      <c r="BM44" s="257">
        <f t="shared" si="6"/>
        <v>0</v>
      </c>
      <c r="BO44" s="714" t="str">
        <f t="shared" si="0"/>
        <v/>
      </c>
    </row>
    <row r="45" spans="2:67" ht="15" customHeight="1" x14ac:dyDescent="0.25">
      <c r="B45" s="156">
        <f>B44+1</f>
        <v>2</v>
      </c>
      <c r="C45" s="180" t="s">
        <v>87</v>
      </c>
      <c r="D45" s="181" t="str">
        <f>C45</f>
        <v>LBSRCL</v>
      </c>
      <c r="E45" s="200" t="s">
        <v>88</v>
      </c>
      <c r="G45" s="477">
        <f>'[15]DUoS (t)'!G43</f>
        <v>0.4657</v>
      </c>
      <c r="H45" s="478">
        <f>'[15]DUoS (t)'!H43</f>
        <v>0.1255</v>
      </c>
      <c r="I45" s="461"/>
      <c r="J45" s="461"/>
      <c r="K45" s="462"/>
      <c r="L45" s="483">
        <f>'[15]DUoS (t)'!L43</f>
        <v>4.6199999999999998E-2</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1"/>
        <v>0</v>
      </c>
      <c r="AP45" s="184">
        <f t="shared" si="14"/>
        <v>0</v>
      </c>
      <c r="AQ45" s="178">
        <f t="shared" si="14"/>
        <v>0</v>
      </c>
      <c r="AR45" s="178">
        <f t="shared" si="14"/>
        <v>0</v>
      </c>
      <c r="AS45" s="179">
        <f t="shared" si="14"/>
        <v>0</v>
      </c>
      <c r="AT45" s="178">
        <f t="shared" si="14"/>
        <v>0</v>
      </c>
      <c r="AU45" s="178">
        <f t="shared" si="14"/>
        <v>0</v>
      </c>
      <c r="AV45" s="178">
        <f t="shared" si="14"/>
        <v>0</v>
      </c>
      <c r="AW45" s="179">
        <f t="shared" si="14"/>
        <v>0</v>
      </c>
      <c r="AX45" s="178">
        <f t="shared" si="3"/>
        <v>0</v>
      </c>
      <c r="AY45" s="178">
        <f t="shared" si="3"/>
        <v>0</v>
      </c>
      <c r="AZ45" s="179">
        <f t="shared" si="3"/>
        <v>0</v>
      </c>
      <c r="BA45" s="184">
        <f t="shared" si="3"/>
        <v>0</v>
      </c>
      <c r="BB45" s="178">
        <f t="shared" si="3"/>
        <v>0</v>
      </c>
      <c r="BC45" s="184">
        <f t="shared" si="3"/>
        <v>0</v>
      </c>
      <c r="BD45" s="178">
        <f t="shared" si="3"/>
        <v>0</v>
      </c>
      <c r="BE45" s="244">
        <f t="shared" si="4"/>
        <v>0</v>
      </c>
      <c r="BF45" s="245">
        <f t="shared" si="5"/>
        <v>0</v>
      </c>
      <c r="BH45" s="255">
        <f>SUM(AO45)</f>
        <v>0</v>
      </c>
      <c r="BI45" s="255">
        <f>SUM(AP45:AS45)</f>
        <v>0</v>
      </c>
      <c r="BJ45" s="255">
        <f>SUM(AT45:AW45)</f>
        <v>0</v>
      </c>
      <c r="BK45" s="256">
        <f>SUM(AX45:BB45)</f>
        <v>0</v>
      </c>
      <c r="BL45" s="262">
        <f>SUM(BC45:BD45)</f>
        <v>0</v>
      </c>
      <c r="BM45" s="257">
        <f t="shared" si="6"/>
        <v>0</v>
      </c>
      <c r="BO45" s="714" t="str">
        <f t="shared" si="0"/>
        <v/>
      </c>
    </row>
    <row r="46" spans="2:67" ht="15" customHeight="1" x14ac:dyDescent="0.25">
      <c r="B46" s="156">
        <f>B45+1</f>
        <v>3</v>
      </c>
      <c r="C46" s="180" t="s">
        <v>89</v>
      </c>
      <c r="D46" s="181" t="str">
        <f>C46</f>
        <v>LB2R</v>
      </c>
      <c r="E46" s="200" t="s">
        <v>90</v>
      </c>
      <c r="G46" s="477">
        <f>'[15]DUoS (t)'!G44</f>
        <v>0.4657</v>
      </c>
      <c r="H46" s="479"/>
      <c r="I46" s="483">
        <f>'[15]DUoS (t)'!I44</f>
        <v>0.1414</v>
      </c>
      <c r="J46" s="461"/>
      <c r="K46" s="484">
        <f>'[15]DUoS (t)'!K44</f>
        <v>7.0699999999999999E-2</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1"/>
        <v>0</v>
      </c>
      <c r="AP46" s="184">
        <f t="shared" si="14"/>
        <v>0</v>
      </c>
      <c r="AQ46" s="178">
        <f t="shared" si="14"/>
        <v>0</v>
      </c>
      <c r="AR46" s="178">
        <f t="shared" si="14"/>
        <v>0</v>
      </c>
      <c r="AS46" s="179">
        <f t="shared" si="14"/>
        <v>0</v>
      </c>
      <c r="AT46" s="178">
        <f t="shared" si="14"/>
        <v>0</v>
      </c>
      <c r="AU46" s="178">
        <f t="shared" si="14"/>
        <v>0</v>
      </c>
      <c r="AV46" s="178">
        <f t="shared" si="14"/>
        <v>0</v>
      </c>
      <c r="AW46" s="179">
        <f t="shared" si="14"/>
        <v>0</v>
      </c>
      <c r="AX46" s="178">
        <f t="shared" si="3"/>
        <v>0</v>
      </c>
      <c r="AY46" s="178">
        <f t="shared" si="3"/>
        <v>0</v>
      </c>
      <c r="AZ46" s="179">
        <f t="shared" si="3"/>
        <v>0</v>
      </c>
      <c r="BA46" s="184">
        <f t="shared" si="3"/>
        <v>0</v>
      </c>
      <c r="BB46" s="178">
        <f t="shared" si="3"/>
        <v>0</v>
      </c>
      <c r="BC46" s="184">
        <f t="shared" si="3"/>
        <v>0</v>
      </c>
      <c r="BD46" s="178">
        <f t="shared" si="3"/>
        <v>0</v>
      </c>
      <c r="BE46" s="244">
        <f t="shared" si="4"/>
        <v>0</v>
      </c>
      <c r="BF46" s="245">
        <f t="shared" si="5"/>
        <v>0</v>
      </c>
      <c r="BH46" s="255">
        <f>SUM(AO46)</f>
        <v>0</v>
      </c>
      <c r="BI46" s="255">
        <f>SUM(AP46:AS46)</f>
        <v>0</v>
      </c>
      <c r="BJ46" s="255">
        <f>SUM(AT46:AW46)</f>
        <v>0</v>
      </c>
      <c r="BK46" s="256">
        <f>SUM(AX46:BB46)</f>
        <v>0</v>
      </c>
      <c r="BL46" s="262">
        <f>SUM(BC46:BD46)</f>
        <v>0</v>
      </c>
      <c r="BM46" s="257">
        <f t="shared" si="6"/>
        <v>0</v>
      </c>
      <c r="BO46" s="714" t="str">
        <f t="shared" si="0"/>
        <v/>
      </c>
    </row>
    <row r="47" spans="2:67" ht="15" customHeight="1" x14ac:dyDescent="0.25">
      <c r="B47" s="156">
        <f>B46+1</f>
        <v>4</v>
      </c>
      <c r="C47" s="180" t="s">
        <v>91</v>
      </c>
      <c r="D47" s="181" t="str">
        <f>C47</f>
        <v>LB2RCL</v>
      </c>
      <c r="E47" s="209" t="s">
        <v>92</v>
      </c>
      <c r="G47" s="477">
        <f>'[15]DUoS (t)'!G45</f>
        <v>0.4657</v>
      </c>
      <c r="H47" s="479"/>
      <c r="I47" s="483">
        <f>'[15]DUoS (t)'!I45</f>
        <v>0.1414</v>
      </c>
      <c r="J47" s="461"/>
      <c r="K47" s="484">
        <f>'[15]DUoS (t)'!K45</f>
        <v>7.0699999999999999E-2</v>
      </c>
      <c r="L47" s="483">
        <f>'[15]DUoS (t)'!L45</f>
        <v>4.6199999999999998E-2</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1"/>
        <v>0</v>
      </c>
      <c r="AP47" s="184">
        <f t="shared" si="14"/>
        <v>0</v>
      </c>
      <c r="AQ47" s="178">
        <f t="shared" si="14"/>
        <v>0</v>
      </c>
      <c r="AR47" s="178">
        <f t="shared" si="14"/>
        <v>0</v>
      </c>
      <c r="AS47" s="179">
        <f t="shared" si="14"/>
        <v>0</v>
      </c>
      <c r="AT47" s="178">
        <f t="shared" si="14"/>
        <v>0</v>
      </c>
      <c r="AU47" s="178">
        <f t="shared" si="14"/>
        <v>0</v>
      </c>
      <c r="AV47" s="178">
        <f t="shared" si="14"/>
        <v>0</v>
      </c>
      <c r="AW47" s="179">
        <f t="shared" si="14"/>
        <v>0</v>
      </c>
      <c r="AX47" s="178">
        <f t="shared" si="3"/>
        <v>0</v>
      </c>
      <c r="AY47" s="178">
        <f t="shared" si="3"/>
        <v>0</v>
      </c>
      <c r="AZ47" s="179">
        <f t="shared" si="3"/>
        <v>0</v>
      </c>
      <c r="BA47" s="184">
        <f t="shared" si="3"/>
        <v>0</v>
      </c>
      <c r="BB47" s="178">
        <f t="shared" si="3"/>
        <v>0</v>
      </c>
      <c r="BC47" s="184">
        <f t="shared" si="3"/>
        <v>0</v>
      </c>
      <c r="BD47" s="178">
        <f t="shared" si="3"/>
        <v>0</v>
      </c>
      <c r="BE47" s="244">
        <f t="shared" si="4"/>
        <v>0</v>
      </c>
      <c r="BF47" s="245">
        <f t="shared" si="5"/>
        <v>0</v>
      </c>
      <c r="BH47" s="255">
        <f>SUM(AO47)</f>
        <v>0</v>
      </c>
      <c r="BI47" s="255">
        <f>SUM(AP47:AS47)</f>
        <v>0</v>
      </c>
      <c r="BJ47" s="255">
        <f>SUM(AT47:AW47)</f>
        <v>0</v>
      </c>
      <c r="BK47" s="256">
        <f>SUM(AX47:BB47)</f>
        <v>0</v>
      </c>
      <c r="BL47" s="262">
        <f>SUM(BC47:BD47)</f>
        <v>0</v>
      </c>
      <c r="BM47" s="257">
        <f t="shared" si="6"/>
        <v>0</v>
      </c>
      <c r="BO47" s="714" t="str">
        <f t="shared" si="0"/>
        <v/>
      </c>
    </row>
    <row r="48" spans="2:67" ht="15" customHeight="1" x14ac:dyDescent="0.25">
      <c r="B48" s="156"/>
      <c r="C48" s="126" t="s">
        <v>93</v>
      </c>
      <c r="D48" s="173"/>
      <c r="E48" s="202"/>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1"/>
        <v>0</v>
      </c>
      <c r="AP48" s="184">
        <f t="shared" si="14"/>
        <v>0</v>
      </c>
      <c r="AQ48" s="178">
        <f t="shared" si="14"/>
        <v>0</v>
      </c>
      <c r="AR48" s="178">
        <f t="shared" si="14"/>
        <v>0</v>
      </c>
      <c r="AS48" s="179">
        <f t="shared" si="14"/>
        <v>0</v>
      </c>
      <c r="AT48" s="178">
        <f t="shared" si="14"/>
        <v>0</v>
      </c>
      <c r="AU48" s="178">
        <f t="shared" si="14"/>
        <v>0</v>
      </c>
      <c r="AV48" s="178">
        <f t="shared" si="14"/>
        <v>0</v>
      </c>
      <c r="AW48" s="179">
        <f t="shared" si="14"/>
        <v>0</v>
      </c>
      <c r="AX48" s="178">
        <f t="shared" si="3"/>
        <v>0</v>
      </c>
      <c r="AY48" s="178">
        <f t="shared" si="3"/>
        <v>0</v>
      </c>
      <c r="AZ48" s="179">
        <f t="shared" si="3"/>
        <v>0</v>
      </c>
      <c r="BA48" s="184">
        <f t="shared" si="3"/>
        <v>0</v>
      </c>
      <c r="BB48" s="178">
        <f t="shared" si="3"/>
        <v>0</v>
      </c>
      <c r="BC48" s="184">
        <f t="shared" si="3"/>
        <v>0</v>
      </c>
      <c r="BD48" s="178">
        <f t="shared" si="3"/>
        <v>0</v>
      </c>
      <c r="BE48" s="244">
        <f t="shared" si="4"/>
        <v>0</v>
      </c>
      <c r="BF48" s="245">
        <f t="shared" si="5"/>
        <v>0</v>
      </c>
      <c r="BH48" s="252">
        <f>SUBTOTAL(9,BH49:BH69)</f>
        <v>13418.970229999999</v>
      </c>
      <c r="BI48" s="252">
        <f>SUBTOTAL(9,BI49:BI69)</f>
        <v>91162.613900000026</v>
      </c>
      <c r="BJ48" s="252">
        <f>SUBTOTAL(9,BJ49:BJ69)</f>
        <v>0</v>
      </c>
      <c r="BK48" s="252">
        <f>SUBTOTAL(9,BK49:BK69)</f>
        <v>71772.905412900014</v>
      </c>
      <c r="BL48" s="252">
        <f>SUBTOTAL(9,BL49:BL69)</f>
        <v>0</v>
      </c>
      <c r="BM48" s="257">
        <f t="shared" si="6"/>
        <v>176354.48954290006</v>
      </c>
      <c r="BO48" s="714" t="str">
        <f t="shared" si="0"/>
        <v/>
      </c>
    </row>
    <row r="49" spans="2:67" ht="15" customHeight="1" x14ac:dyDescent="0.25">
      <c r="B49" s="156">
        <f>B47+1</f>
        <v>5</v>
      </c>
      <c r="C49" s="180" t="s">
        <v>579</v>
      </c>
      <c r="D49" s="181" t="s">
        <v>580</v>
      </c>
      <c r="E49" s="210" t="s">
        <v>94</v>
      </c>
      <c r="G49" s="477">
        <f>'[15]DUoS (t)'!G47</f>
        <v>6.8493000000000004</v>
      </c>
      <c r="H49" s="479"/>
      <c r="I49" s="483">
        <f>'[15]DUoS (t)'!I47</f>
        <v>4.2099999999999999E-2</v>
      </c>
      <c r="J49" s="461"/>
      <c r="K49" s="484">
        <f>'[15]DUoS (t)'!K47</f>
        <v>2.63E-2</v>
      </c>
      <c r="L49" s="461"/>
      <c r="M49" s="461"/>
      <c r="N49" s="461"/>
      <c r="O49" s="462"/>
      <c r="P49" s="461"/>
      <c r="Q49" s="461"/>
      <c r="R49" s="462"/>
      <c r="S49" s="478">
        <f>'[15]DUoS (t)'!S47</f>
        <v>0.14499999999999999</v>
      </c>
      <c r="T49" s="483">
        <f>'[15]DUoS (t)'!T47</f>
        <v>0.1036</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1"/>
        <v>12562.472362500001</v>
      </c>
      <c r="AP49" s="184">
        <f t="shared" si="14"/>
        <v>0</v>
      </c>
      <c r="AQ49" s="178">
        <f t="shared" si="14"/>
        <v>54302.642899999999</v>
      </c>
      <c r="AR49" s="178">
        <f t="shared" si="14"/>
        <v>0</v>
      </c>
      <c r="AS49" s="179">
        <f t="shared" si="14"/>
        <v>30290.946100000001</v>
      </c>
      <c r="AT49" s="178">
        <f t="shared" si="14"/>
        <v>0</v>
      </c>
      <c r="AU49" s="178">
        <f t="shared" si="14"/>
        <v>0</v>
      </c>
      <c r="AV49" s="178">
        <f t="shared" si="14"/>
        <v>0</v>
      </c>
      <c r="AW49" s="179">
        <f t="shared" si="14"/>
        <v>0</v>
      </c>
      <c r="AX49" s="178">
        <f t="shared" si="3"/>
        <v>0</v>
      </c>
      <c r="AY49" s="178">
        <f t="shared" si="3"/>
        <v>0</v>
      </c>
      <c r="AZ49" s="179">
        <f t="shared" si="3"/>
        <v>0</v>
      </c>
      <c r="BA49" s="184">
        <f t="shared" si="3"/>
        <v>32942.054824999999</v>
      </c>
      <c r="BB49" s="178">
        <f t="shared" si="3"/>
        <v>32228.267175999998</v>
      </c>
      <c r="BC49" s="184">
        <f t="shared" si="3"/>
        <v>0</v>
      </c>
      <c r="BD49" s="178">
        <f t="shared" si="3"/>
        <v>0</v>
      </c>
      <c r="BE49" s="244">
        <f t="shared" si="4"/>
        <v>5025</v>
      </c>
      <c r="BF49" s="245">
        <f t="shared" si="5"/>
        <v>2441596</v>
      </c>
      <c r="BH49" s="255">
        <f t="shared" ref="BH49:BH54" si="15">SUM(AO49)</f>
        <v>12562.472362500001</v>
      </c>
      <c r="BI49" s="255">
        <f t="shared" ref="BI49:BI54" si="16">SUM(AP49:AS49)</f>
        <v>84593.589000000007</v>
      </c>
      <c r="BJ49" s="255">
        <f t="shared" ref="BJ49:BJ54" si="17">SUM(AT49:AW49)</f>
        <v>0</v>
      </c>
      <c r="BK49" s="256">
        <f t="shared" ref="BK49:BK54" si="18">SUM(AX49:BB49)</f>
        <v>65170.322000999993</v>
      </c>
      <c r="BL49" s="262">
        <f t="shared" ref="BL49:BL54" si="19">SUM(BC49:BD49)</f>
        <v>0</v>
      </c>
      <c r="BM49" s="257">
        <f t="shared" si="6"/>
        <v>162326.3833635</v>
      </c>
      <c r="BO49" s="714">
        <f t="shared" si="0"/>
        <v>66.483719404643523</v>
      </c>
    </row>
    <row r="50" spans="2:67" ht="15" customHeight="1" x14ac:dyDescent="0.25">
      <c r="B50" s="156">
        <f>B49+1</f>
        <v>6</v>
      </c>
      <c r="C50" s="180" t="s">
        <v>577</v>
      </c>
      <c r="D50" s="181" t="s">
        <v>581</v>
      </c>
      <c r="E50" s="210" t="s">
        <v>95</v>
      </c>
      <c r="G50" s="477">
        <f>'[15]DUoS (t)'!G48</f>
        <v>6.8493000000000004</v>
      </c>
      <c r="H50" s="479"/>
      <c r="I50" s="483">
        <f>'[15]DUoS (t)'!I48</f>
        <v>4.2099999999999999E-2</v>
      </c>
      <c r="J50" s="461"/>
      <c r="K50" s="484">
        <f>'[15]DUoS (t)'!K48</f>
        <v>2.63E-2</v>
      </c>
      <c r="L50" s="461"/>
      <c r="M50" s="461"/>
      <c r="N50" s="461"/>
      <c r="O50" s="462"/>
      <c r="P50" s="483">
        <f>'[15]DUoS (t)'!P48</f>
        <v>0.52569999999999995</v>
      </c>
      <c r="Q50" s="461"/>
      <c r="R50" s="462"/>
      <c r="S50" s="479"/>
      <c r="T50" s="483">
        <f>'[15]DUoS (t)'!T48</f>
        <v>0.1036</v>
      </c>
      <c r="U50" s="480"/>
      <c r="V50" s="481"/>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1"/>
        <v>692.49847650000004</v>
      </c>
      <c r="AP50" s="184">
        <f t="shared" si="14"/>
        <v>0</v>
      </c>
      <c r="AQ50" s="178">
        <f>I50*Z50</f>
        <v>3048.8820000000001</v>
      </c>
      <c r="AR50" s="178">
        <f t="shared" si="14"/>
        <v>0</v>
      </c>
      <c r="AS50" s="179">
        <f t="shared" si="14"/>
        <v>1373.6490000000001</v>
      </c>
      <c r="AT50" s="178">
        <f t="shared" si="14"/>
        <v>0</v>
      </c>
      <c r="AU50" s="178">
        <f t="shared" si="14"/>
        <v>0</v>
      </c>
      <c r="AV50" s="178">
        <f t="shared" si="14"/>
        <v>0</v>
      </c>
      <c r="AW50" s="179">
        <f t="shared" si="14"/>
        <v>0</v>
      </c>
      <c r="AX50" s="178">
        <f t="shared" si="3"/>
        <v>1805.3552600999999</v>
      </c>
      <c r="AY50" s="178">
        <f t="shared" si="3"/>
        <v>0</v>
      </c>
      <c r="AZ50" s="179">
        <f t="shared" si="3"/>
        <v>0</v>
      </c>
      <c r="BA50" s="184">
        <f t="shared" si="3"/>
        <v>0</v>
      </c>
      <c r="BB50" s="178">
        <f t="shared" si="3"/>
        <v>2840.7389359999997</v>
      </c>
      <c r="BC50" s="184">
        <f t="shared" si="3"/>
        <v>0</v>
      </c>
      <c r="BD50" s="178">
        <f t="shared" si="3"/>
        <v>0</v>
      </c>
      <c r="BE50" s="244">
        <f t="shared" si="4"/>
        <v>277</v>
      </c>
      <c r="BF50" s="245">
        <f t="shared" si="5"/>
        <v>124650</v>
      </c>
      <c r="BH50" s="255">
        <f t="shared" si="15"/>
        <v>692.49847650000004</v>
      </c>
      <c r="BI50" s="255">
        <f t="shared" si="16"/>
        <v>4422.5309999999999</v>
      </c>
      <c r="BJ50" s="255">
        <f t="shared" si="17"/>
        <v>0</v>
      </c>
      <c r="BK50" s="256">
        <f t="shared" si="18"/>
        <v>4646.0941960999999</v>
      </c>
      <c r="BL50" s="262">
        <f t="shared" si="19"/>
        <v>0</v>
      </c>
      <c r="BM50" s="257">
        <f t="shared" si="6"/>
        <v>9761.1236725999988</v>
      </c>
      <c r="BO50" s="714">
        <f t="shared" si="0"/>
        <v>78.308252487765742</v>
      </c>
    </row>
    <row r="51" spans="2:67" ht="15" customHeight="1" x14ac:dyDescent="0.25">
      <c r="B51" s="156">
        <f>B50+1</f>
        <v>7</v>
      </c>
      <c r="C51" s="842" t="s">
        <v>578</v>
      </c>
      <c r="D51" s="843" t="s">
        <v>582</v>
      </c>
      <c r="E51" s="844" t="s">
        <v>96</v>
      </c>
      <c r="G51" s="477"/>
      <c r="H51" s="479"/>
      <c r="I51" s="483"/>
      <c r="J51" s="461"/>
      <c r="K51" s="484"/>
      <c r="L51" s="461"/>
      <c r="M51" s="461"/>
      <c r="N51" s="461"/>
      <c r="O51" s="462"/>
      <c r="P51" s="461"/>
      <c r="Q51" s="461"/>
      <c r="R51" s="462"/>
      <c r="S51" s="479"/>
      <c r="T51" s="461"/>
      <c r="U51" s="480"/>
      <c r="V51" s="481"/>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1"/>
        <v>0</v>
      </c>
      <c r="AP51" s="184">
        <f t="shared" si="14"/>
        <v>0</v>
      </c>
      <c r="AQ51" s="178">
        <f t="shared" si="14"/>
        <v>0</v>
      </c>
      <c r="AR51" s="178">
        <f t="shared" si="14"/>
        <v>0</v>
      </c>
      <c r="AS51" s="179">
        <f t="shared" si="14"/>
        <v>0</v>
      </c>
      <c r="AT51" s="178">
        <f t="shared" si="14"/>
        <v>0</v>
      </c>
      <c r="AU51" s="178">
        <f t="shared" si="14"/>
        <v>0</v>
      </c>
      <c r="AV51" s="178">
        <f t="shared" si="14"/>
        <v>0</v>
      </c>
      <c r="AW51" s="179">
        <f t="shared" si="14"/>
        <v>0</v>
      </c>
      <c r="AX51" s="178">
        <f t="shared" si="3"/>
        <v>0</v>
      </c>
      <c r="AY51" s="178">
        <f t="shared" si="3"/>
        <v>0</v>
      </c>
      <c r="AZ51" s="179">
        <f t="shared" si="3"/>
        <v>0</v>
      </c>
      <c r="BA51" s="184">
        <f t="shared" si="3"/>
        <v>0</v>
      </c>
      <c r="BB51" s="178">
        <f t="shared" si="3"/>
        <v>0</v>
      </c>
      <c r="BC51" s="184">
        <f t="shared" si="3"/>
        <v>0</v>
      </c>
      <c r="BD51" s="178">
        <f t="shared" si="3"/>
        <v>0</v>
      </c>
      <c r="BE51" s="244">
        <f t="shared" si="4"/>
        <v>0</v>
      </c>
      <c r="BF51" s="245">
        <f t="shared" si="5"/>
        <v>0</v>
      </c>
      <c r="BH51" s="255">
        <f t="shared" si="15"/>
        <v>0</v>
      </c>
      <c r="BI51" s="255">
        <f t="shared" si="16"/>
        <v>0</v>
      </c>
      <c r="BJ51" s="255">
        <f t="shared" si="17"/>
        <v>0</v>
      </c>
      <c r="BK51" s="256">
        <f t="shared" si="18"/>
        <v>0</v>
      </c>
      <c r="BL51" s="262">
        <f t="shared" si="19"/>
        <v>0</v>
      </c>
      <c r="BM51" s="257">
        <f t="shared" si="6"/>
        <v>0</v>
      </c>
      <c r="BO51" s="714" t="str">
        <f t="shared" si="0"/>
        <v/>
      </c>
    </row>
    <row r="52" spans="2:67" ht="15" customHeight="1" x14ac:dyDescent="0.25">
      <c r="B52" s="156">
        <f>B51+1</f>
        <v>8</v>
      </c>
      <c r="C52" s="180" t="s">
        <v>97</v>
      </c>
      <c r="D52" s="181" t="s">
        <v>97</v>
      </c>
      <c r="E52" s="210" t="s">
        <v>98</v>
      </c>
      <c r="G52" s="477">
        <f>'[15]DUoS (t)'!G50</f>
        <v>2.7397</v>
      </c>
      <c r="H52" s="478">
        <f>'[15]DUoS (t)'!H50</f>
        <v>5.1499999999999997E-2</v>
      </c>
      <c r="I52" s="461"/>
      <c r="J52" s="461"/>
      <c r="K52" s="462"/>
      <c r="L52" s="461"/>
      <c r="M52" s="461"/>
      <c r="N52" s="461"/>
      <c r="O52" s="462"/>
      <c r="P52" s="461"/>
      <c r="Q52" s="483">
        <f>'[15]DUoS (t)'!Q50</f>
        <v>0.30940000000000001</v>
      </c>
      <c r="R52" s="484">
        <f>'[15]DUoS (t)'!R50</f>
        <v>0.15310000000000001</v>
      </c>
      <c r="S52" s="479"/>
      <c r="T52" s="461"/>
      <c r="U52" s="480"/>
      <c r="V52" s="481"/>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1"/>
        <v>33.999677000000005</v>
      </c>
      <c r="AP52" s="184">
        <f t="shared" ref="AP52:AW54" si="20">H52*Y52</f>
        <v>515</v>
      </c>
      <c r="AQ52" s="178">
        <f t="shared" si="20"/>
        <v>0</v>
      </c>
      <c r="AR52" s="178">
        <f t="shared" si="20"/>
        <v>0</v>
      </c>
      <c r="AS52" s="179">
        <f t="shared" si="20"/>
        <v>0</v>
      </c>
      <c r="AT52" s="178">
        <f t="shared" si="20"/>
        <v>0</v>
      </c>
      <c r="AU52" s="178">
        <f t="shared" si="20"/>
        <v>0</v>
      </c>
      <c r="AV52" s="178">
        <f t="shared" si="20"/>
        <v>0</v>
      </c>
      <c r="AW52" s="179">
        <f t="shared" si="20"/>
        <v>0</v>
      </c>
      <c r="AX52" s="178">
        <f t="shared" si="3"/>
        <v>0</v>
      </c>
      <c r="AY52" s="178">
        <f t="shared" si="3"/>
        <v>234.48466859999999</v>
      </c>
      <c r="AZ52" s="179">
        <f t="shared" si="3"/>
        <v>249.84618650000002</v>
      </c>
      <c r="BA52" s="184">
        <f t="shared" ref="BA52:BD114" si="21">S52*AJ52/1000</f>
        <v>0</v>
      </c>
      <c r="BB52" s="178">
        <f t="shared" si="21"/>
        <v>0</v>
      </c>
      <c r="BC52" s="184">
        <f t="shared" si="21"/>
        <v>0</v>
      </c>
      <c r="BD52" s="178">
        <f t="shared" si="21"/>
        <v>0</v>
      </c>
      <c r="BE52" s="244">
        <f t="shared" si="4"/>
        <v>34</v>
      </c>
      <c r="BF52" s="245">
        <f t="shared" ref="BF52:BF79" si="22">SUM(Y52:AF52)</f>
        <v>10000</v>
      </c>
      <c r="BH52" s="255">
        <f t="shared" si="15"/>
        <v>33.999677000000005</v>
      </c>
      <c r="BI52" s="255">
        <f t="shared" si="16"/>
        <v>515</v>
      </c>
      <c r="BJ52" s="255">
        <f t="shared" si="17"/>
        <v>0</v>
      </c>
      <c r="BK52" s="256">
        <f t="shared" si="18"/>
        <v>484.33085510000001</v>
      </c>
      <c r="BL52" s="262">
        <f t="shared" si="19"/>
        <v>0</v>
      </c>
      <c r="BM52" s="257">
        <f t="shared" si="6"/>
        <v>1033.3305321</v>
      </c>
      <c r="BO52" s="714">
        <f t="shared" si="0"/>
        <v>103.33305321</v>
      </c>
    </row>
    <row r="53" spans="2:67" ht="15" customHeight="1" x14ac:dyDescent="0.25">
      <c r="B53" s="156">
        <f>B52+1</f>
        <v>9</v>
      </c>
      <c r="C53" s="180" t="s">
        <v>583</v>
      </c>
      <c r="D53" s="181" t="s">
        <v>584</v>
      </c>
      <c r="E53" s="210" t="s">
        <v>99</v>
      </c>
      <c r="G53" s="477">
        <f>'[15]DUoS (t)'!G51</f>
        <v>6.8493000000000004</v>
      </c>
      <c r="H53" s="479"/>
      <c r="I53" s="483">
        <f>'[15]DUoS (t)'!I51</f>
        <v>0</v>
      </c>
      <c r="J53" s="461"/>
      <c r="K53" s="484">
        <f>'[15]DUoS (t)'!K51</f>
        <v>0</v>
      </c>
      <c r="L53" s="461"/>
      <c r="M53" s="461"/>
      <c r="N53" s="461"/>
      <c r="O53" s="462"/>
      <c r="P53" s="461"/>
      <c r="Q53" s="461"/>
      <c r="R53" s="462"/>
      <c r="S53" s="478">
        <f>'[15]DUoS (t)'!S51</f>
        <v>0.14499999999999999</v>
      </c>
      <c r="T53" s="483">
        <f>'[15]DUoS (t)'!T51</f>
        <v>0.1036</v>
      </c>
      <c r="U53" s="480"/>
      <c r="V53" s="481"/>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1"/>
        <v>9.9999780000000005</v>
      </c>
      <c r="AP53" s="184">
        <f t="shared" si="20"/>
        <v>0</v>
      </c>
      <c r="AQ53" s="178">
        <f t="shared" si="20"/>
        <v>0</v>
      </c>
      <c r="AR53" s="178">
        <f t="shared" si="20"/>
        <v>0</v>
      </c>
      <c r="AS53" s="179">
        <f t="shared" si="20"/>
        <v>0</v>
      </c>
      <c r="AT53" s="178">
        <f t="shared" si="20"/>
        <v>0</v>
      </c>
      <c r="AU53" s="178">
        <f t="shared" si="20"/>
        <v>0</v>
      </c>
      <c r="AV53" s="178">
        <f t="shared" si="20"/>
        <v>0</v>
      </c>
      <c r="AW53" s="179">
        <f t="shared" si="20"/>
        <v>0</v>
      </c>
      <c r="AX53" s="178">
        <f t="shared" ref="AX53:AZ54" si="23">P53*AG53/1000</f>
        <v>0</v>
      </c>
      <c r="AY53" s="178">
        <f t="shared" si="23"/>
        <v>0</v>
      </c>
      <c r="AZ53" s="179">
        <f t="shared" si="23"/>
        <v>0</v>
      </c>
      <c r="BA53" s="184">
        <f t="shared" si="21"/>
        <v>0</v>
      </c>
      <c r="BB53" s="178">
        <f t="shared" si="21"/>
        <v>16.902858000000002</v>
      </c>
      <c r="BC53" s="184">
        <f t="shared" si="21"/>
        <v>0</v>
      </c>
      <c r="BD53" s="178">
        <f t="shared" si="21"/>
        <v>0</v>
      </c>
      <c r="BE53" s="244">
        <f t="shared" si="4"/>
        <v>4</v>
      </c>
      <c r="BF53" s="245">
        <f t="shared" si="22"/>
        <v>1300</v>
      </c>
      <c r="BH53" s="255">
        <f t="shared" si="15"/>
        <v>9.9999780000000005</v>
      </c>
      <c r="BI53" s="255">
        <f t="shared" si="16"/>
        <v>0</v>
      </c>
      <c r="BJ53" s="255">
        <f t="shared" si="17"/>
        <v>0</v>
      </c>
      <c r="BK53" s="256">
        <f t="shared" si="18"/>
        <v>16.902858000000002</v>
      </c>
      <c r="BL53" s="262">
        <f t="shared" si="19"/>
        <v>0</v>
      </c>
      <c r="BM53" s="257">
        <f t="shared" si="6"/>
        <v>26.902836000000001</v>
      </c>
      <c r="BO53" s="714">
        <f t="shared" si="0"/>
        <v>20.694489230769229</v>
      </c>
    </row>
    <row r="54" spans="2:67" ht="15" customHeight="1" x14ac:dyDescent="0.25">
      <c r="B54" s="156"/>
      <c r="C54" s="211"/>
      <c r="D54" s="212"/>
      <c r="E54" s="213"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si="1"/>
        <v>0</v>
      </c>
      <c r="AP54" s="184">
        <f t="shared" si="20"/>
        <v>0</v>
      </c>
      <c r="AQ54" s="178">
        <f t="shared" si="20"/>
        <v>0</v>
      </c>
      <c r="AR54" s="178">
        <f t="shared" si="20"/>
        <v>0</v>
      </c>
      <c r="AS54" s="179">
        <f t="shared" si="20"/>
        <v>0</v>
      </c>
      <c r="AT54" s="178">
        <f t="shared" si="20"/>
        <v>0</v>
      </c>
      <c r="AU54" s="178">
        <f t="shared" si="20"/>
        <v>0</v>
      </c>
      <c r="AV54" s="178">
        <f t="shared" si="20"/>
        <v>0</v>
      </c>
      <c r="AW54" s="179">
        <f t="shared" si="20"/>
        <v>0</v>
      </c>
      <c r="AX54" s="178">
        <f t="shared" si="23"/>
        <v>0</v>
      </c>
      <c r="AY54" s="178">
        <f t="shared" si="23"/>
        <v>0</v>
      </c>
      <c r="AZ54" s="179">
        <f t="shared" si="23"/>
        <v>0</v>
      </c>
      <c r="BA54" s="184">
        <f t="shared" si="21"/>
        <v>0</v>
      </c>
      <c r="BB54" s="178">
        <f t="shared" si="21"/>
        <v>0</v>
      </c>
      <c r="BC54" s="184">
        <f t="shared" si="21"/>
        <v>0</v>
      </c>
      <c r="BD54" s="178">
        <f t="shared" si="21"/>
        <v>0</v>
      </c>
      <c r="BE54" s="244">
        <f t="shared" si="4"/>
        <v>0</v>
      </c>
      <c r="BF54" s="245">
        <f t="shared" si="22"/>
        <v>0</v>
      </c>
      <c r="BH54" s="255">
        <f t="shared" si="15"/>
        <v>0</v>
      </c>
      <c r="BI54" s="255">
        <f t="shared" si="16"/>
        <v>0</v>
      </c>
      <c r="BJ54" s="255">
        <f t="shared" si="17"/>
        <v>0</v>
      </c>
      <c r="BK54" s="256">
        <f t="shared" si="18"/>
        <v>0</v>
      </c>
      <c r="BL54" s="262">
        <f t="shared" si="19"/>
        <v>0</v>
      </c>
      <c r="BM54" s="257">
        <f t="shared" si="6"/>
        <v>0</v>
      </c>
      <c r="BO54" s="714" t="str">
        <f t="shared" si="0"/>
        <v/>
      </c>
    </row>
    <row r="55" spans="2:67" ht="15" customHeight="1" x14ac:dyDescent="0.25">
      <c r="B55" s="19">
        <f>B53+1</f>
        <v>10</v>
      </c>
      <c r="C55" s="44" t="s">
        <v>705</v>
      </c>
      <c r="D55" s="45"/>
      <c r="E55" s="105" t="s">
        <v>94</v>
      </c>
      <c r="G55" s="862">
        <f>G$49</f>
        <v>6.8493000000000004</v>
      </c>
      <c r="H55" s="479"/>
      <c r="I55" s="851">
        <f>I$49</f>
        <v>4.2099999999999999E-2</v>
      </c>
      <c r="J55" s="461"/>
      <c r="K55" s="852">
        <f>K$49</f>
        <v>2.63E-2</v>
      </c>
      <c r="L55" s="461"/>
      <c r="M55" s="461"/>
      <c r="N55" s="461"/>
      <c r="O55" s="462"/>
      <c r="P55" s="461"/>
      <c r="Q55" s="461"/>
      <c r="R55" s="462"/>
      <c r="S55" s="863">
        <f>S$49</f>
        <v>0.14499999999999999</v>
      </c>
      <c r="T55" s="851">
        <f>T$49</f>
        <v>0.1036</v>
      </c>
      <c r="U55" s="480"/>
      <c r="V55" s="481"/>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ref="AO55:AO66" si="24">G55*X55/1000</f>
        <v>2.4999945000000001</v>
      </c>
      <c r="AP55" s="184">
        <f t="shared" ref="AP55:AP66" si="25">H55*Y55</f>
        <v>0</v>
      </c>
      <c r="AQ55" s="178">
        <f t="shared" ref="AQ55:AQ66" si="26">I55*Z55</f>
        <v>37.6374</v>
      </c>
      <c r="AR55" s="178">
        <f t="shared" ref="AR55:AR66" si="27">J55*AA55</f>
        <v>0</v>
      </c>
      <c r="AS55" s="179">
        <f t="shared" ref="AS55:AS66" si="28">K55*AB55</f>
        <v>27.746500000000001</v>
      </c>
      <c r="AT55" s="178">
        <f t="shared" ref="AT55:AT66" si="29">L55*AC55</f>
        <v>0</v>
      </c>
      <c r="AU55" s="178">
        <f t="shared" ref="AU55:AU66" si="30">M55*AD55</f>
        <v>0</v>
      </c>
      <c r="AV55" s="178">
        <f t="shared" ref="AV55:AV66" si="31">N55*AE55</f>
        <v>0</v>
      </c>
      <c r="AW55" s="179">
        <f t="shared" ref="AW55:AW66" si="32">O55*AF55</f>
        <v>0</v>
      </c>
      <c r="AX55" s="178">
        <f t="shared" ref="AX55:AX66" si="33">P55*AG55/1000</f>
        <v>0</v>
      </c>
      <c r="AY55" s="178">
        <f t="shared" ref="AY55:AY66" si="34">Q55*AH55/1000</f>
        <v>0</v>
      </c>
      <c r="AZ55" s="179">
        <f t="shared" ref="AZ55:AZ66" si="35">R55*AI55/1000</f>
        <v>0</v>
      </c>
      <c r="BA55" s="184">
        <f t="shared" ref="BA55:BA66" si="36">S55*AJ55/1000</f>
        <v>44.774549999999998</v>
      </c>
      <c r="BB55" s="178">
        <f t="shared" ref="BB55:BB66" si="37">T55*AK55/1000</f>
        <v>33.919157999999996</v>
      </c>
      <c r="BC55" s="184">
        <f t="shared" ref="BC55:BC66" si="38">U55*AL55/1000</f>
        <v>0</v>
      </c>
      <c r="BD55" s="178">
        <f t="shared" ref="BD55:BD66" si="39">V55*AM55/1000</f>
        <v>0</v>
      </c>
      <c r="BE55" s="244">
        <f t="shared" ref="BE55:BE66" si="40">X55/$BE$7</f>
        <v>1</v>
      </c>
      <c r="BF55" s="245">
        <f t="shared" ref="BF55:BF66" si="41">SUM(Y55:AF55)</f>
        <v>1949</v>
      </c>
      <c r="BH55" s="255">
        <f t="shared" ref="BH55:BH66" si="42">SUM(AO55)</f>
        <v>2.4999945000000001</v>
      </c>
      <c r="BI55" s="255">
        <f t="shared" ref="BI55:BI66" si="43">SUM(AP55:AS55)</f>
        <v>65.383899999999997</v>
      </c>
      <c r="BJ55" s="255">
        <f t="shared" ref="BJ55:BJ66" si="44">SUM(AT55:AW55)</f>
        <v>0</v>
      </c>
      <c r="BK55" s="256">
        <f t="shared" ref="BK55:BK66" si="45">SUM(AX55:BB55)</f>
        <v>78.693707999999987</v>
      </c>
      <c r="BL55" s="262">
        <f t="shared" ref="BL55:BL66" si="46">SUM(BC55:BD55)</f>
        <v>0</v>
      </c>
      <c r="BM55" s="257">
        <f t="shared" ref="BM55:BM66" si="47">SUM(BH55:BL55)</f>
        <v>146.57760249999998</v>
      </c>
      <c r="BO55" s="714">
        <f t="shared" ref="BO55:BO66" si="48">IF(BF55=0,"",BM55*1000/BF55)</f>
        <v>75.206568753206767</v>
      </c>
    </row>
    <row r="56" spans="2:67" ht="15" customHeight="1" x14ac:dyDescent="0.25">
      <c r="B56" s="19">
        <f t="shared" ref="B56:B69" si="49">B55+1</f>
        <v>11</v>
      </c>
      <c r="C56" s="44" t="s">
        <v>567</v>
      </c>
      <c r="D56" s="834"/>
      <c r="E56" s="105" t="s">
        <v>94</v>
      </c>
      <c r="G56" s="477">
        <f>'[15]DUoS (t)'!G53</f>
        <v>41.095800000000004</v>
      </c>
      <c r="H56" s="479"/>
      <c r="I56" s="483">
        <f>'[15]DUoS (t)'!I53</f>
        <v>4.2099999999999999E-2</v>
      </c>
      <c r="J56" s="461"/>
      <c r="K56" s="484">
        <f>'[15]DUoS (t)'!K53</f>
        <v>2.63E-2</v>
      </c>
      <c r="L56" s="461"/>
      <c r="M56" s="461"/>
      <c r="N56" s="461"/>
      <c r="O56" s="462"/>
      <c r="P56" s="461"/>
      <c r="Q56" s="461"/>
      <c r="R56" s="462"/>
      <c r="S56" s="478">
        <f>'[15]DUoS (t)'!S53</f>
        <v>0.14499999999999999</v>
      </c>
      <c r="T56" s="483">
        <f>'[15]DUoS (t)'!T53</f>
        <v>0.1036</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4"/>
        <v>14.999967000000002</v>
      </c>
      <c r="AP56" s="184">
        <f t="shared" si="25"/>
        <v>0</v>
      </c>
      <c r="AQ56" s="178">
        <f t="shared" si="26"/>
        <v>24.8811</v>
      </c>
      <c r="AR56" s="178">
        <f t="shared" si="27"/>
        <v>0</v>
      </c>
      <c r="AS56" s="179">
        <f t="shared" si="28"/>
        <v>51.337600000000002</v>
      </c>
      <c r="AT56" s="178">
        <f t="shared" si="29"/>
        <v>0</v>
      </c>
      <c r="AU56" s="178">
        <f t="shared" si="30"/>
        <v>0</v>
      </c>
      <c r="AV56" s="178">
        <f t="shared" si="31"/>
        <v>0</v>
      </c>
      <c r="AW56" s="179">
        <f t="shared" si="32"/>
        <v>0</v>
      </c>
      <c r="AX56" s="178">
        <f t="shared" si="33"/>
        <v>0</v>
      </c>
      <c r="AY56" s="178">
        <f t="shared" si="34"/>
        <v>0</v>
      </c>
      <c r="AZ56" s="179">
        <f t="shared" si="35"/>
        <v>0</v>
      </c>
      <c r="BA56" s="184">
        <f t="shared" si="36"/>
        <v>29.373374999999996</v>
      </c>
      <c r="BB56" s="178">
        <f t="shared" si="37"/>
        <v>33.767901999999999</v>
      </c>
      <c r="BC56" s="184">
        <f t="shared" si="38"/>
        <v>0</v>
      </c>
      <c r="BD56" s="178">
        <f t="shared" si="39"/>
        <v>0</v>
      </c>
      <c r="BE56" s="244">
        <f t="shared" si="40"/>
        <v>1</v>
      </c>
      <c r="BF56" s="245">
        <f t="shared" si="41"/>
        <v>2543</v>
      </c>
      <c r="BH56" s="255">
        <f t="shared" si="42"/>
        <v>14.999967000000002</v>
      </c>
      <c r="BI56" s="255">
        <f t="shared" si="43"/>
        <v>76.218699999999998</v>
      </c>
      <c r="BJ56" s="255">
        <f t="shared" si="44"/>
        <v>0</v>
      </c>
      <c r="BK56" s="256">
        <f t="shared" si="45"/>
        <v>63.141276999999995</v>
      </c>
      <c r="BL56" s="262">
        <f t="shared" si="46"/>
        <v>0</v>
      </c>
      <c r="BM56" s="257">
        <f t="shared" si="47"/>
        <v>154.35994399999998</v>
      </c>
      <c r="BO56" s="714">
        <f t="shared" si="48"/>
        <v>60.699938655131731</v>
      </c>
    </row>
    <row r="57" spans="2:67" ht="15" customHeight="1" x14ac:dyDescent="0.25">
      <c r="B57" s="19">
        <f t="shared" si="49"/>
        <v>12</v>
      </c>
      <c r="C57" s="833" t="s">
        <v>568</v>
      </c>
      <c r="D57" s="834"/>
      <c r="E57" s="835" t="s">
        <v>94</v>
      </c>
      <c r="G57" s="477">
        <f>'[15]DUoS (t)'!G54</f>
        <v>34.246500000000005</v>
      </c>
      <c r="H57" s="479"/>
      <c r="I57" s="483">
        <f>'[15]DUoS (t)'!I54</f>
        <v>4.2099999999999999E-2</v>
      </c>
      <c r="J57" s="461"/>
      <c r="K57" s="484">
        <f>'[15]DUoS (t)'!K54</f>
        <v>2.63E-2</v>
      </c>
      <c r="L57" s="461"/>
      <c r="M57" s="461"/>
      <c r="N57" s="461"/>
      <c r="O57" s="462"/>
      <c r="P57" s="461"/>
      <c r="Q57" s="461"/>
      <c r="R57" s="462"/>
      <c r="S57" s="478">
        <f>'[15]DUoS (t)'!S54</f>
        <v>0.14499999999999999</v>
      </c>
      <c r="T57" s="483">
        <f>'[15]DUoS (t)'!T54</f>
        <v>0.1036</v>
      </c>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4"/>
        <v>0</v>
      </c>
      <c r="AP57" s="184">
        <f t="shared" si="25"/>
        <v>0</v>
      </c>
      <c r="AQ57" s="178">
        <f t="shared" si="26"/>
        <v>0</v>
      </c>
      <c r="AR57" s="178">
        <f t="shared" si="27"/>
        <v>0</v>
      </c>
      <c r="AS57" s="179">
        <f t="shared" si="28"/>
        <v>0</v>
      </c>
      <c r="AT57" s="178">
        <f t="shared" si="29"/>
        <v>0</v>
      </c>
      <c r="AU57" s="178">
        <f t="shared" si="30"/>
        <v>0</v>
      </c>
      <c r="AV57" s="178">
        <f t="shared" si="31"/>
        <v>0</v>
      </c>
      <c r="AW57" s="179">
        <f t="shared" si="32"/>
        <v>0</v>
      </c>
      <c r="AX57" s="178">
        <f t="shared" si="33"/>
        <v>0</v>
      </c>
      <c r="AY57" s="178">
        <f t="shared" si="34"/>
        <v>0</v>
      </c>
      <c r="AZ57" s="179">
        <f t="shared" si="35"/>
        <v>0</v>
      </c>
      <c r="BA57" s="184">
        <f t="shared" si="36"/>
        <v>0</v>
      </c>
      <c r="BB57" s="178">
        <f t="shared" si="37"/>
        <v>0</v>
      </c>
      <c r="BC57" s="184">
        <f t="shared" si="38"/>
        <v>0</v>
      </c>
      <c r="BD57" s="178">
        <f t="shared" si="39"/>
        <v>0</v>
      </c>
      <c r="BE57" s="244">
        <f t="shared" si="40"/>
        <v>0</v>
      </c>
      <c r="BF57" s="245">
        <f t="shared" si="41"/>
        <v>0</v>
      </c>
      <c r="BH57" s="255">
        <f t="shared" si="42"/>
        <v>0</v>
      </c>
      <c r="BI57" s="255">
        <f t="shared" si="43"/>
        <v>0</v>
      </c>
      <c r="BJ57" s="255">
        <f t="shared" si="44"/>
        <v>0</v>
      </c>
      <c r="BK57" s="256">
        <f t="shared" si="45"/>
        <v>0</v>
      </c>
      <c r="BL57" s="262">
        <f t="shared" si="46"/>
        <v>0</v>
      </c>
      <c r="BM57" s="257">
        <f t="shared" si="47"/>
        <v>0</v>
      </c>
      <c r="BO57" s="714" t="str">
        <f t="shared" si="48"/>
        <v/>
      </c>
    </row>
    <row r="58" spans="2:67" ht="15" customHeight="1" x14ac:dyDescent="0.25">
      <c r="B58" s="19">
        <f t="shared" si="49"/>
        <v>13</v>
      </c>
      <c r="C58" s="44" t="s">
        <v>569</v>
      </c>
      <c r="D58" s="834"/>
      <c r="E58" s="105" t="s">
        <v>94</v>
      </c>
      <c r="G58" s="477">
        <f>'[15]DUoS (t)'!G55</f>
        <v>27.397200000000002</v>
      </c>
      <c r="H58" s="479"/>
      <c r="I58" s="483">
        <f>'[15]DUoS (t)'!I55</f>
        <v>4.2099999999999999E-2</v>
      </c>
      <c r="J58" s="461"/>
      <c r="K58" s="484">
        <f>'[15]DUoS (t)'!K55</f>
        <v>2.63E-2</v>
      </c>
      <c r="L58" s="461"/>
      <c r="M58" s="461"/>
      <c r="N58" s="461"/>
      <c r="O58" s="462"/>
      <c r="P58" s="461"/>
      <c r="Q58" s="461"/>
      <c r="R58" s="462"/>
      <c r="S58" s="478">
        <f>'[15]DUoS (t)'!S55</f>
        <v>0.14499999999999999</v>
      </c>
      <c r="T58" s="483">
        <f>'[15]DUoS (t)'!T55</f>
        <v>0.1036</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4"/>
        <v>9.9999780000000005</v>
      </c>
      <c r="AP58" s="184">
        <f t="shared" si="25"/>
        <v>0</v>
      </c>
      <c r="AQ58" s="178">
        <f t="shared" si="26"/>
        <v>41.384299999999996</v>
      </c>
      <c r="AR58" s="178">
        <f t="shared" si="27"/>
        <v>0</v>
      </c>
      <c r="AS58" s="179">
        <f t="shared" si="28"/>
        <v>30.245000000000001</v>
      </c>
      <c r="AT58" s="178">
        <f t="shared" si="29"/>
        <v>0</v>
      </c>
      <c r="AU58" s="178">
        <f t="shared" si="30"/>
        <v>0</v>
      </c>
      <c r="AV58" s="178">
        <f t="shared" si="31"/>
        <v>0</v>
      </c>
      <c r="AW58" s="179">
        <f t="shared" si="32"/>
        <v>0</v>
      </c>
      <c r="AX58" s="178">
        <f t="shared" si="33"/>
        <v>0</v>
      </c>
      <c r="AY58" s="178">
        <f t="shared" si="34"/>
        <v>0</v>
      </c>
      <c r="AZ58" s="179">
        <f t="shared" si="35"/>
        <v>0</v>
      </c>
      <c r="BA58" s="184">
        <f t="shared" si="36"/>
        <v>42.392924999999998</v>
      </c>
      <c r="BB58" s="178">
        <f t="shared" si="37"/>
        <v>35.998927999999999</v>
      </c>
      <c r="BC58" s="184">
        <f t="shared" si="38"/>
        <v>0</v>
      </c>
      <c r="BD58" s="178">
        <f t="shared" si="39"/>
        <v>0</v>
      </c>
      <c r="BE58" s="244">
        <f t="shared" si="40"/>
        <v>1</v>
      </c>
      <c r="BF58" s="245">
        <f t="shared" si="41"/>
        <v>2133</v>
      </c>
      <c r="BH58" s="255">
        <f t="shared" si="42"/>
        <v>9.9999780000000005</v>
      </c>
      <c r="BI58" s="255">
        <f t="shared" si="43"/>
        <v>71.629300000000001</v>
      </c>
      <c r="BJ58" s="255">
        <f t="shared" si="44"/>
        <v>0</v>
      </c>
      <c r="BK58" s="256">
        <f t="shared" si="45"/>
        <v>78.391852999999998</v>
      </c>
      <c r="BL58" s="262">
        <f t="shared" si="46"/>
        <v>0</v>
      </c>
      <c r="BM58" s="257">
        <f t="shared" si="47"/>
        <v>160.021131</v>
      </c>
      <c r="BO58" s="714">
        <f t="shared" si="48"/>
        <v>75.021627285513361</v>
      </c>
    </row>
    <row r="59" spans="2:67" ht="15" customHeight="1" x14ac:dyDescent="0.25">
      <c r="B59" s="19">
        <f t="shared" si="49"/>
        <v>14</v>
      </c>
      <c r="C59" s="44" t="s">
        <v>570</v>
      </c>
      <c r="D59" s="834"/>
      <c r="E59" s="105" t="s">
        <v>94</v>
      </c>
      <c r="G59" s="477">
        <f>'[15]DUoS (t)'!G56</f>
        <v>13.698600000000001</v>
      </c>
      <c r="H59" s="479"/>
      <c r="I59" s="483">
        <f>'[15]DUoS (t)'!I56</f>
        <v>4.2099999999999999E-2</v>
      </c>
      <c r="J59" s="461"/>
      <c r="K59" s="484">
        <f>'[15]DUoS (t)'!K56</f>
        <v>2.63E-2</v>
      </c>
      <c r="L59" s="461"/>
      <c r="M59" s="461"/>
      <c r="N59" s="461"/>
      <c r="O59" s="462"/>
      <c r="P59" s="461"/>
      <c r="Q59" s="461"/>
      <c r="R59" s="462"/>
      <c r="S59" s="478">
        <f>'[15]DUoS (t)'!S56</f>
        <v>0.14499999999999999</v>
      </c>
      <c r="T59" s="483">
        <f>'[15]DUoS (t)'!T56</f>
        <v>0.1036</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4"/>
        <v>4.9999890000000002</v>
      </c>
      <c r="AP59" s="184">
        <f t="shared" si="25"/>
        <v>0</v>
      </c>
      <c r="AQ59" s="178">
        <f t="shared" si="26"/>
        <v>42.015799999999999</v>
      </c>
      <c r="AR59" s="178">
        <f t="shared" si="27"/>
        <v>0</v>
      </c>
      <c r="AS59" s="179">
        <f t="shared" si="28"/>
        <v>53.625700000000002</v>
      </c>
      <c r="AT59" s="178">
        <f t="shared" si="29"/>
        <v>0</v>
      </c>
      <c r="AU59" s="178">
        <f t="shared" si="30"/>
        <v>0</v>
      </c>
      <c r="AV59" s="178">
        <f t="shared" si="31"/>
        <v>0</v>
      </c>
      <c r="AW59" s="179">
        <f t="shared" si="32"/>
        <v>0</v>
      </c>
      <c r="AX59" s="178">
        <f t="shared" si="33"/>
        <v>0</v>
      </c>
      <c r="AY59" s="178">
        <f t="shared" si="34"/>
        <v>0</v>
      </c>
      <c r="AZ59" s="179">
        <f t="shared" si="35"/>
        <v>0</v>
      </c>
      <c r="BA59" s="184">
        <f t="shared" si="36"/>
        <v>32.760574999999996</v>
      </c>
      <c r="BB59" s="178">
        <f t="shared" si="37"/>
        <v>30.175571999999999</v>
      </c>
      <c r="BC59" s="184">
        <f t="shared" si="38"/>
        <v>0</v>
      </c>
      <c r="BD59" s="178">
        <f t="shared" si="39"/>
        <v>0</v>
      </c>
      <c r="BE59" s="244">
        <f t="shared" si="40"/>
        <v>1</v>
      </c>
      <c r="BF59" s="245">
        <f t="shared" si="41"/>
        <v>3037</v>
      </c>
      <c r="BH59" s="255">
        <f t="shared" si="42"/>
        <v>4.9999890000000002</v>
      </c>
      <c r="BI59" s="255">
        <f t="shared" si="43"/>
        <v>95.641500000000008</v>
      </c>
      <c r="BJ59" s="255">
        <f t="shared" si="44"/>
        <v>0</v>
      </c>
      <c r="BK59" s="256">
        <f t="shared" si="45"/>
        <v>62.936146999999991</v>
      </c>
      <c r="BL59" s="262">
        <f t="shared" si="46"/>
        <v>0</v>
      </c>
      <c r="BM59" s="257">
        <f t="shared" si="47"/>
        <v>163.57763599999998</v>
      </c>
      <c r="BO59" s="714">
        <f t="shared" si="48"/>
        <v>53.861585775436282</v>
      </c>
    </row>
    <row r="60" spans="2:67" ht="15" customHeight="1" x14ac:dyDescent="0.25">
      <c r="B60" s="19">
        <f t="shared" si="49"/>
        <v>15</v>
      </c>
      <c r="C60" s="44" t="s">
        <v>572</v>
      </c>
      <c r="D60" s="45"/>
      <c r="E60" s="105" t="s">
        <v>94</v>
      </c>
      <c r="G60" s="477">
        <f>'[15]DUoS (t)'!G57</f>
        <v>13.698600000000001</v>
      </c>
      <c r="H60" s="479"/>
      <c r="I60" s="483">
        <f>'[15]DUoS (t)'!I57</f>
        <v>4.2099999999999999E-2</v>
      </c>
      <c r="J60" s="461"/>
      <c r="K60" s="484">
        <f>'[15]DUoS (t)'!K57</f>
        <v>2.63E-2</v>
      </c>
      <c r="L60" s="461"/>
      <c r="M60" s="461"/>
      <c r="N60" s="461"/>
      <c r="O60" s="462"/>
      <c r="P60" s="461"/>
      <c r="Q60" s="461"/>
      <c r="R60" s="462"/>
      <c r="S60" s="478">
        <f>'[15]DUoS (t)'!S57</f>
        <v>0.14499999999999999</v>
      </c>
      <c r="T60" s="483">
        <f>'[15]DUoS (t)'!T57</f>
        <v>0.1036</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4"/>
        <v>4.9999890000000002</v>
      </c>
      <c r="AP60" s="184">
        <f t="shared" si="25"/>
        <v>0</v>
      </c>
      <c r="AQ60" s="178">
        <f t="shared" si="26"/>
        <v>149.3287</v>
      </c>
      <c r="AR60" s="178">
        <f t="shared" si="27"/>
        <v>0</v>
      </c>
      <c r="AS60" s="179">
        <f t="shared" si="28"/>
        <v>83.844400000000007</v>
      </c>
      <c r="AT60" s="178">
        <f t="shared" si="29"/>
        <v>0</v>
      </c>
      <c r="AU60" s="178">
        <f t="shared" si="30"/>
        <v>0</v>
      </c>
      <c r="AV60" s="178">
        <f t="shared" si="31"/>
        <v>0</v>
      </c>
      <c r="AW60" s="179">
        <f t="shared" si="32"/>
        <v>0</v>
      </c>
      <c r="AX60" s="178">
        <f t="shared" si="33"/>
        <v>0</v>
      </c>
      <c r="AY60" s="178">
        <f t="shared" si="34"/>
        <v>0</v>
      </c>
      <c r="AZ60" s="179">
        <f t="shared" si="35"/>
        <v>0</v>
      </c>
      <c r="BA60" s="184">
        <f t="shared" si="36"/>
        <v>117.54642499999999</v>
      </c>
      <c r="BB60" s="178">
        <f t="shared" si="37"/>
        <v>90.564530000000005</v>
      </c>
      <c r="BC60" s="184">
        <f t="shared" si="38"/>
        <v>0</v>
      </c>
      <c r="BD60" s="178">
        <f t="shared" si="39"/>
        <v>0</v>
      </c>
      <c r="BE60" s="244">
        <f t="shared" si="40"/>
        <v>1</v>
      </c>
      <c r="BF60" s="245">
        <f t="shared" si="41"/>
        <v>6735</v>
      </c>
      <c r="BH60" s="255">
        <f t="shared" si="42"/>
        <v>4.9999890000000002</v>
      </c>
      <c r="BI60" s="255">
        <f t="shared" si="43"/>
        <v>233.17310000000001</v>
      </c>
      <c r="BJ60" s="255">
        <f t="shared" si="44"/>
        <v>0</v>
      </c>
      <c r="BK60" s="256">
        <f t="shared" si="45"/>
        <v>208.11095499999999</v>
      </c>
      <c r="BL60" s="262">
        <f t="shared" si="46"/>
        <v>0</v>
      </c>
      <c r="BM60" s="257">
        <f t="shared" si="47"/>
        <v>446.28404399999999</v>
      </c>
      <c r="BO60" s="714">
        <f t="shared" si="48"/>
        <v>66.263406681514482</v>
      </c>
    </row>
    <row r="61" spans="2:67" ht="15" customHeight="1" x14ac:dyDescent="0.25">
      <c r="B61" s="19">
        <f t="shared" si="49"/>
        <v>16</v>
      </c>
      <c r="C61" s="44" t="s">
        <v>651</v>
      </c>
      <c r="D61" s="45"/>
      <c r="E61" s="105" t="s">
        <v>94</v>
      </c>
      <c r="G61" s="477">
        <f>'[15]DUoS (t)'!G58</f>
        <v>47.945100000000004</v>
      </c>
      <c r="H61" s="479"/>
      <c r="I61" s="483">
        <f>'[15]DUoS (t)'!I58</f>
        <v>4.2099999999999999E-2</v>
      </c>
      <c r="J61" s="461"/>
      <c r="K61" s="484">
        <f>'[15]DUoS (t)'!K58</f>
        <v>2.63E-2</v>
      </c>
      <c r="L61" s="461"/>
      <c r="M61" s="461"/>
      <c r="N61" s="461"/>
      <c r="O61" s="462"/>
      <c r="P61" s="461"/>
      <c r="Q61" s="461"/>
      <c r="R61" s="462"/>
      <c r="S61" s="478">
        <f>'[15]DUoS (t)'!S58</f>
        <v>0.14499999999999999</v>
      </c>
      <c r="T61" s="483">
        <f>'[15]DUoS (t)'!T58</f>
        <v>0.1036</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4"/>
        <v>17.499961500000001</v>
      </c>
      <c r="AP61" s="184">
        <f t="shared" si="25"/>
        <v>0</v>
      </c>
      <c r="AQ61" s="178">
        <f t="shared" si="26"/>
        <v>15.7875</v>
      </c>
      <c r="AR61" s="178">
        <f t="shared" si="27"/>
        <v>0</v>
      </c>
      <c r="AS61" s="179">
        <f t="shared" si="28"/>
        <v>28.640699999999999</v>
      </c>
      <c r="AT61" s="178">
        <f t="shared" si="29"/>
        <v>0</v>
      </c>
      <c r="AU61" s="178">
        <f t="shared" si="30"/>
        <v>0</v>
      </c>
      <c r="AV61" s="178">
        <f t="shared" si="31"/>
        <v>0</v>
      </c>
      <c r="AW61" s="179">
        <f t="shared" si="32"/>
        <v>0</v>
      </c>
      <c r="AX61" s="178">
        <f t="shared" si="33"/>
        <v>0</v>
      </c>
      <c r="AY61" s="178">
        <f t="shared" si="34"/>
        <v>0</v>
      </c>
      <c r="AZ61" s="179">
        <f t="shared" si="35"/>
        <v>0</v>
      </c>
      <c r="BA61" s="184">
        <f t="shared" si="36"/>
        <v>65.574074999999993</v>
      </c>
      <c r="BB61" s="178">
        <f t="shared" si="37"/>
        <v>50.292619999999992</v>
      </c>
      <c r="BC61" s="184">
        <f t="shared" si="38"/>
        <v>0</v>
      </c>
      <c r="BD61" s="178">
        <f t="shared" si="39"/>
        <v>0</v>
      </c>
      <c r="BE61" s="244">
        <f t="shared" si="40"/>
        <v>1</v>
      </c>
      <c r="BF61" s="245">
        <f t="shared" si="41"/>
        <v>1464</v>
      </c>
      <c r="BH61" s="255">
        <f t="shared" si="42"/>
        <v>17.499961500000001</v>
      </c>
      <c r="BI61" s="255">
        <f t="shared" si="43"/>
        <v>44.428199999999997</v>
      </c>
      <c r="BJ61" s="255">
        <f t="shared" si="44"/>
        <v>0</v>
      </c>
      <c r="BK61" s="256">
        <f t="shared" si="45"/>
        <v>115.86669499999999</v>
      </c>
      <c r="BL61" s="262">
        <f t="shared" si="46"/>
        <v>0</v>
      </c>
      <c r="BM61" s="257">
        <f t="shared" si="47"/>
        <v>177.79485649999998</v>
      </c>
      <c r="BO61" s="714">
        <f t="shared" si="48"/>
        <v>121.44457411202185</v>
      </c>
    </row>
    <row r="62" spans="2:67" ht="15" customHeight="1" x14ac:dyDescent="0.25">
      <c r="B62" s="19">
        <f t="shared" si="49"/>
        <v>17</v>
      </c>
      <c r="C62" s="44" t="s">
        <v>707</v>
      </c>
      <c r="D62" s="45"/>
      <c r="E62" s="105" t="s">
        <v>94</v>
      </c>
      <c r="G62" s="862">
        <f>G$49</f>
        <v>6.8493000000000004</v>
      </c>
      <c r="H62" s="479"/>
      <c r="I62" s="851">
        <f>I$49</f>
        <v>4.2099999999999999E-2</v>
      </c>
      <c r="J62" s="461"/>
      <c r="K62" s="852">
        <f>K$49</f>
        <v>2.63E-2</v>
      </c>
      <c r="L62" s="461"/>
      <c r="M62" s="461"/>
      <c r="N62" s="461"/>
      <c r="O62" s="462"/>
      <c r="P62" s="461"/>
      <c r="Q62" s="461"/>
      <c r="R62" s="462"/>
      <c r="S62" s="863">
        <f>S$49</f>
        <v>0.14499999999999999</v>
      </c>
      <c r="T62" s="851">
        <f>T$49</f>
        <v>0.1036</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4"/>
        <v>2.4999945000000001</v>
      </c>
      <c r="AP62" s="184">
        <f t="shared" si="25"/>
        <v>0</v>
      </c>
      <c r="AQ62" s="178">
        <f t="shared" si="26"/>
        <v>49.509599999999999</v>
      </c>
      <c r="AR62" s="178">
        <f t="shared" si="27"/>
        <v>0</v>
      </c>
      <c r="AS62" s="179">
        <f t="shared" si="28"/>
        <v>54.151699999999998</v>
      </c>
      <c r="AT62" s="178">
        <f t="shared" si="29"/>
        <v>0</v>
      </c>
      <c r="AU62" s="178">
        <f t="shared" si="30"/>
        <v>0</v>
      </c>
      <c r="AV62" s="178">
        <f t="shared" si="31"/>
        <v>0</v>
      </c>
      <c r="AW62" s="179">
        <f t="shared" si="32"/>
        <v>0</v>
      </c>
      <c r="AX62" s="178">
        <f t="shared" si="33"/>
        <v>0</v>
      </c>
      <c r="AY62" s="178">
        <f t="shared" si="34"/>
        <v>0</v>
      </c>
      <c r="AZ62" s="179">
        <f t="shared" si="35"/>
        <v>0</v>
      </c>
      <c r="BA62" s="184">
        <f t="shared" si="36"/>
        <v>44.774549999999998</v>
      </c>
      <c r="BB62" s="178">
        <f t="shared" si="37"/>
        <v>33.919157999999996</v>
      </c>
      <c r="BC62" s="184">
        <f t="shared" si="38"/>
        <v>0</v>
      </c>
      <c r="BD62" s="178">
        <f t="shared" si="39"/>
        <v>0</v>
      </c>
      <c r="BE62" s="244">
        <f t="shared" si="40"/>
        <v>1</v>
      </c>
      <c r="BF62" s="245">
        <f t="shared" si="41"/>
        <v>3235</v>
      </c>
      <c r="BH62" s="255">
        <f t="shared" si="42"/>
        <v>2.4999945000000001</v>
      </c>
      <c r="BI62" s="255">
        <f t="shared" si="43"/>
        <v>103.6613</v>
      </c>
      <c r="BJ62" s="255">
        <f t="shared" si="44"/>
        <v>0</v>
      </c>
      <c r="BK62" s="256">
        <f t="shared" si="45"/>
        <v>78.693707999999987</v>
      </c>
      <c r="BL62" s="262">
        <f t="shared" si="46"/>
        <v>0</v>
      </c>
      <c r="BM62" s="257">
        <f t="shared" si="47"/>
        <v>184.85500249999998</v>
      </c>
      <c r="BO62" s="714">
        <f t="shared" si="48"/>
        <v>57.142195517774333</v>
      </c>
    </row>
    <row r="63" spans="2:67" ht="15" customHeight="1" x14ac:dyDescent="0.25">
      <c r="B63" s="19">
        <f t="shared" si="49"/>
        <v>18</v>
      </c>
      <c r="C63" s="44" t="s">
        <v>571</v>
      </c>
      <c r="D63" s="45"/>
      <c r="E63" s="105" t="s">
        <v>94</v>
      </c>
      <c r="G63" s="477">
        <f>'[15]DUoS (t)'!G59</f>
        <v>20.547900000000002</v>
      </c>
      <c r="H63" s="479"/>
      <c r="I63" s="483">
        <f>'[15]DUoS (t)'!I59</f>
        <v>4.2099999999999999E-2</v>
      </c>
      <c r="J63" s="461"/>
      <c r="K63" s="484">
        <f>'[15]DUoS (t)'!K59</f>
        <v>2.63E-2</v>
      </c>
      <c r="L63" s="461"/>
      <c r="M63" s="461"/>
      <c r="N63" s="461"/>
      <c r="O63" s="462"/>
      <c r="P63" s="461"/>
      <c r="Q63" s="461"/>
      <c r="R63" s="462"/>
      <c r="S63" s="478">
        <f>'[15]DUoS (t)'!S59</f>
        <v>0.14499999999999999</v>
      </c>
      <c r="T63" s="483">
        <f>'[15]DUoS (t)'!T59</f>
        <v>0.1036</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4"/>
        <v>7.4999835000000008</v>
      </c>
      <c r="AP63" s="184">
        <f t="shared" si="25"/>
        <v>0</v>
      </c>
      <c r="AQ63" s="178">
        <f t="shared" si="26"/>
        <v>18.102999999999998</v>
      </c>
      <c r="AR63" s="178">
        <f t="shared" si="27"/>
        <v>0</v>
      </c>
      <c r="AS63" s="179">
        <f t="shared" si="28"/>
        <v>14.8858</v>
      </c>
      <c r="AT63" s="178">
        <f t="shared" si="29"/>
        <v>0</v>
      </c>
      <c r="AU63" s="178">
        <f t="shared" si="30"/>
        <v>0</v>
      </c>
      <c r="AV63" s="178">
        <f t="shared" si="31"/>
        <v>0</v>
      </c>
      <c r="AW63" s="179">
        <f t="shared" si="32"/>
        <v>0</v>
      </c>
      <c r="AX63" s="178">
        <f t="shared" si="33"/>
        <v>0</v>
      </c>
      <c r="AY63" s="178">
        <f t="shared" si="34"/>
        <v>0</v>
      </c>
      <c r="AZ63" s="179">
        <f t="shared" si="35"/>
        <v>0</v>
      </c>
      <c r="BA63" s="184">
        <f t="shared" si="36"/>
        <v>14.713149999999999</v>
      </c>
      <c r="BB63" s="178">
        <f t="shared" si="37"/>
        <v>11.835782</v>
      </c>
      <c r="BC63" s="184">
        <f t="shared" si="38"/>
        <v>0</v>
      </c>
      <c r="BD63" s="178">
        <f t="shared" si="39"/>
        <v>0</v>
      </c>
      <c r="BE63" s="244">
        <f t="shared" si="40"/>
        <v>1</v>
      </c>
      <c r="BF63" s="245">
        <f t="shared" si="41"/>
        <v>996</v>
      </c>
      <c r="BH63" s="255">
        <f t="shared" si="42"/>
        <v>7.4999835000000008</v>
      </c>
      <c r="BI63" s="255">
        <f t="shared" si="43"/>
        <v>32.988799999999998</v>
      </c>
      <c r="BJ63" s="255">
        <f t="shared" si="44"/>
        <v>0</v>
      </c>
      <c r="BK63" s="256">
        <f t="shared" si="45"/>
        <v>26.548932000000001</v>
      </c>
      <c r="BL63" s="262">
        <f t="shared" si="46"/>
        <v>0</v>
      </c>
      <c r="BM63" s="257">
        <f t="shared" si="47"/>
        <v>67.03771549999999</v>
      </c>
      <c r="BO63" s="714">
        <f t="shared" si="48"/>
        <v>67.306943273092358</v>
      </c>
    </row>
    <row r="64" spans="2:67" ht="15" customHeight="1" x14ac:dyDescent="0.25">
      <c r="B64" s="19">
        <f t="shared" si="49"/>
        <v>19</v>
      </c>
      <c r="C64" s="44" t="s">
        <v>573</v>
      </c>
      <c r="D64" s="45"/>
      <c r="E64" s="105" t="s">
        <v>94</v>
      </c>
      <c r="G64" s="477">
        <f>'[15]DUoS (t)'!G60</f>
        <v>13.698600000000001</v>
      </c>
      <c r="H64" s="479"/>
      <c r="I64" s="483">
        <f>'[15]DUoS (t)'!I60</f>
        <v>4.2099999999999999E-2</v>
      </c>
      <c r="J64" s="461"/>
      <c r="K64" s="484">
        <f>'[15]DUoS (t)'!K60</f>
        <v>2.63E-2</v>
      </c>
      <c r="L64" s="461"/>
      <c r="M64" s="461"/>
      <c r="N64" s="461"/>
      <c r="O64" s="462"/>
      <c r="P64" s="461"/>
      <c r="Q64" s="461"/>
      <c r="R64" s="462"/>
      <c r="S64" s="478">
        <f>'[15]DUoS (t)'!S60</f>
        <v>0.14499999999999999</v>
      </c>
      <c r="T64" s="483">
        <f>'[15]DUoS (t)'!T60</f>
        <v>0.1036</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4"/>
        <v>4.9999890000000002</v>
      </c>
      <c r="AP64" s="184">
        <f t="shared" si="25"/>
        <v>0</v>
      </c>
      <c r="AQ64" s="178">
        <f t="shared" si="26"/>
        <v>15.9138</v>
      </c>
      <c r="AR64" s="178">
        <f t="shared" si="27"/>
        <v>0</v>
      </c>
      <c r="AS64" s="179">
        <f t="shared" si="28"/>
        <v>15.8063</v>
      </c>
      <c r="AT64" s="178">
        <f t="shared" si="29"/>
        <v>0</v>
      </c>
      <c r="AU64" s="178">
        <f t="shared" si="30"/>
        <v>0</v>
      </c>
      <c r="AV64" s="178">
        <f t="shared" si="31"/>
        <v>0</v>
      </c>
      <c r="AW64" s="179">
        <f t="shared" si="32"/>
        <v>0</v>
      </c>
      <c r="AX64" s="178">
        <f t="shared" si="33"/>
        <v>0</v>
      </c>
      <c r="AY64" s="178">
        <f t="shared" si="34"/>
        <v>0</v>
      </c>
      <c r="AZ64" s="179">
        <f t="shared" si="35"/>
        <v>0</v>
      </c>
      <c r="BA64" s="184">
        <f t="shared" si="36"/>
        <v>15.930425</v>
      </c>
      <c r="BB64" s="178">
        <f t="shared" si="37"/>
        <v>13.197085999999999</v>
      </c>
      <c r="BC64" s="184">
        <f t="shared" si="38"/>
        <v>0</v>
      </c>
      <c r="BD64" s="178">
        <f t="shared" si="39"/>
        <v>0</v>
      </c>
      <c r="BE64" s="244">
        <f t="shared" si="40"/>
        <v>1</v>
      </c>
      <c r="BF64" s="245">
        <f t="shared" si="41"/>
        <v>979</v>
      </c>
      <c r="BH64" s="255">
        <f t="shared" si="42"/>
        <v>4.9999890000000002</v>
      </c>
      <c r="BI64" s="255">
        <f t="shared" si="43"/>
        <v>31.720100000000002</v>
      </c>
      <c r="BJ64" s="255">
        <f t="shared" si="44"/>
        <v>0</v>
      </c>
      <c r="BK64" s="256">
        <f t="shared" si="45"/>
        <v>29.127510999999998</v>
      </c>
      <c r="BL64" s="262">
        <f t="shared" si="46"/>
        <v>0</v>
      </c>
      <c r="BM64" s="257">
        <f t="shared" si="47"/>
        <v>65.8476</v>
      </c>
      <c r="BO64" s="714">
        <f t="shared" si="48"/>
        <v>67.260061287027582</v>
      </c>
    </row>
    <row r="65" spans="2:67" ht="15" customHeight="1" x14ac:dyDescent="0.25">
      <c r="B65" s="19">
        <f t="shared" si="49"/>
        <v>20</v>
      </c>
      <c r="C65" s="833" t="s">
        <v>574</v>
      </c>
      <c r="D65" s="834"/>
      <c r="E65" s="835" t="s">
        <v>94</v>
      </c>
      <c r="G65" s="477">
        <f>'[15]DUoS (t)'!G61</f>
        <v>13.698600000000001</v>
      </c>
      <c r="H65" s="479"/>
      <c r="I65" s="483">
        <f>'[15]DUoS (t)'!I61</f>
        <v>4.2099999999999999E-2</v>
      </c>
      <c r="J65" s="461"/>
      <c r="K65" s="484">
        <f>'[15]DUoS (t)'!K61</f>
        <v>2.63E-2</v>
      </c>
      <c r="L65" s="461"/>
      <c r="M65" s="461"/>
      <c r="N65" s="461"/>
      <c r="O65" s="462"/>
      <c r="P65" s="461"/>
      <c r="Q65" s="461"/>
      <c r="R65" s="462"/>
      <c r="S65" s="478">
        <f>'[15]DUoS (t)'!S61</f>
        <v>0.14499999999999999</v>
      </c>
      <c r="T65" s="483">
        <f>'[15]DUoS (t)'!T61</f>
        <v>0.1036</v>
      </c>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4"/>
        <v>0</v>
      </c>
      <c r="AP65" s="184">
        <f t="shared" si="25"/>
        <v>0</v>
      </c>
      <c r="AQ65" s="178">
        <f t="shared" si="26"/>
        <v>0</v>
      </c>
      <c r="AR65" s="178">
        <f t="shared" si="27"/>
        <v>0</v>
      </c>
      <c r="AS65" s="179">
        <f t="shared" si="28"/>
        <v>0</v>
      </c>
      <c r="AT65" s="178">
        <f t="shared" si="29"/>
        <v>0</v>
      </c>
      <c r="AU65" s="178">
        <f t="shared" si="30"/>
        <v>0</v>
      </c>
      <c r="AV65" s="178">
        <f t="shared" si="31"/>
        <v>0</v>
      </c>
      <c r="AW65" s="179">
        <f t="shared" si="32"/>
        <v>0</v>
      </c>
      <c r="AX65" s="178">
        <f t="shared" si="33"/>
        <v>0</v>
      </c>
      <c r="AY65" s="178">
        <f t="shared" si="34"/>
        <v>0</v>
      </c>
      <c r="AZ65" s="179">
        <f t="shared" si="35"/>
        <v>0</v>
      </c>
      <c r="BA65" s="184">
        <f t="shared" si="36"/>
        <v>0</v>
      </c>
      <c r="BB65" s="178">
        <f t="shared" si="37"/>
        <v>0</v>
      </c>
      <c r="BC65" s="184">
        <f t="shared" si="38"/>
        <v>0</v>
      </c>
      <c r="BD65" s="178">
        <f t="shared" si="39"/>
        <v>0</v>
      </c>
      <c r="BE65" s="244">
        <f t="shared" si="40"/>
        <v>0</v>
      </c>
      <c r="BF65" s="245">
        <f t="shared" si="41"/>
        <v>0</v>
      </c>
      <c r="BH65" s="255">
        <f t="shared" si="42"/>
        <v>0</v>
      </c>
      <c r="BI65" s="255">
        <f t="shared" si="43"/>
        <v>0</v>
      </c>
      <c r="BJ65" s="255">
        <f t="shared" si="44"/>
        <v>0</v>
      </c>
      <c r="BK65" s="256">
        <f t="shared" si="45"/>
        <v>0</v>
      </c>
      <c r="BL65" s="262">
        <f t="shared" si="46"/>
        <v>0</v>
      </c>
      <c r="BM65" s="257">
        <f t="shared" si="47"/>
        <v>0</v>
      </c>
      <c r="BO65" s="714" t="str">
        <f t="shared" si="48"/>
        <v/>
      </c>
    </row>
    <row r="66" spans="2:67" ht="15" customHeight="1" x14ac:dyDescent="0.25">
      <c r="B66" s="19">
        <f t="shared" si="49"/>
        <v>21</v>
      </c>
      <c r="C66" s="44" t="s">
        <v>706</v>
      </c>
      <c r="D66" s="45"/>
      <c r="E66" s="105" t="s">
        <v>94</v>
      </c>
      <c r="G66" s="862">
        <f>G$49</f>
        <v>6.8493000000000004</v>
      </c>
      <c r="H66" s="479"/>
      <c r="I66" s="851">
        <f>I$49</f>
        <v>4.2099999999999999E-2</v>
      </c>
      <c r="J66" s="461"/>
      <c r="K66" s="852">
        <f>K$49</f>
        <v>2.63E-2</v>
      </c>
      <c r="L66" s="461"/>
      <c r="M66" s="461"/>
      <c r="N66" s="461"/>
      <c r="O66" s="462"/>
      <c r="P66" s="461"/>
      <c r="Q66" s="461"/>
      <c r="R66" s="462"/>
      <c r="S66" s="863">
        <f>S$49</f>
        <v>0.14499999999999999</v>
      </c>
      <c r="T66" s="851">
        <f>T$49</f>
        <v>0.1036</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4"/>
        <v>2.4999945000000001</v>
      </c>
      <c r="AP66" s="184">
        <f t="shared" si="25"/>
        <v>0</v>
      </c>
      <c r="AQ66" s="178">
        <f t="shared" si="26"/>
        <v>275.20769999999999</v>
      </c>
      <c r="AR66" s="178">
        <f t="shared" si="27"/>
        <v>0</v>
      </c>
      <c r="AS66" s="179">
        <f t="shared" si="28"/>
        <v>181.8382</v>
      </c>
      <c r="AT66" s="178">
        <f t="shared" si="29"/>
        <v>0</v>
      </c>
      <c r="AU66" s="178">
        <f t="shared" si="30"/>
        <v>0</v>
      </c>
      <c r="AV66" s="178">
        <f t="shared" si="31"/>
        <v>0</v>
      </c>
      <c r="AW66" s="179">
        <f t="shared" si="32"/>
        <v>0</v>
      </c>
      <c r="AX66" s="178">
        <f t="shared" si="33"/>
        <v>0</v>
      </c>
      <c r="AY66" s="178">
        <f t="shared" si="34"/>
        <v>0</v>
      </c>
      <c r="AZ66" s="179">
        <f t="shared" si="35"/>
        <v>0</v>
      </c>
      <c r="BA66" s="184">
        <f t="shared" si="36"/>
        <v>152.84739999999999</v>
      </c>
      <c r="BB66" s="178">
        <f t="shared" si="37"/>
        <v>127.319738</v>
      </c>
      <c r="BC66" s="184">
        <f t="shared" si="38"/>
        <v>0</v>
      </c>
      <c r="BD66" s="178">
        <f t="shared" si="39"/>
        <v>0</v>
      </c>
      <c r="BE66" s="244">
        <f t="shared" si="40"/>
        <v>1</v>
      </c>
      <c r="BF66" s="245">
        <f t="shared" si="41"/>
        <v>13451</v>
      </c>
      <c r="BH66" s="255">
        <f t="shared" si="42"/>
        <v>2.4999945000000001</v>
      </c>
      <c r="BI66" s="255">
        <f t="shared" si="43"/>
        <v>457.04589999999996</v>
      </c>
      <c r="BJ66" s="255">
        <f t="shared" si="44"/>
        <v>0</v>
      </c>
      <c r="BK66" s="256">
        <f t="shared" si="45"/>
        <v>280.16713800000002</v>
      </c>
      <c r="BL66" s="262">
        <f t="shared" si="46"/>
        <v>0</v>
      </c>
      <c r="BM66" s="257">
        <f t="shared" si="47"/>
        <v>739.71303250000005</v>
      </c>
      <c r="BO66" s="714">
        <f t="shared" si="48"/>
        <v>54.993162776001789</v>
      </c>
    </row>
    <row r="67" spans="2:67" ht="15" customHeight="1" x14ac:dyDescent="0.25">
      <c r="B67" s="19">
        <f t="shared" si="49"/>
        <v>22</v>
      </c>
      <c r="C67" s="44" t="s">
        <v>575</v>
      </c>
      <c r="D67" s="45"/>
      <c r="E67" s="105" t="s">
        <v>94</v>
      </c>
      <c r="G67" s="477">
        <f>'[15]DUoS (t)'!G62</f>
        <v>20.547900000000002</v>
      </c>
      <c r="H67" s="479"/>
      <c r="I67" s="483">
        <f>'[15]DUoS (t)'!I62</f>
        <v>4.2099999999999999E-2</v>
      </c>
      <c r="J67" s="461"/>
      <c r="K67" s="484">
        <f>'[15]DUoS (t)'!K62</f>
        <v>2.63E-2</v>
      </c>
      <c r="L67" s="461"/>
      <c r="M67" s="461"/>
      <c r="N67" s="461"/>
      <c r="O67" s="462"/>
      <c r="P67" s="461"/>
      <c r="Q67" s="461"/>
      <c r="R67" s="462"/>
      <c r="S67" s="478">
        <f>'[15]DUoS (t)'!S62</f>
        <v>0.14499999999999999</v>
      </c>
      <c r="T67" s="483">
        <f>'[15]DUoS (t)'!T62</f>
        <v>0.1036</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1"/>
        <v>7.4999835000000008</v>
      </c>
      <c r="AP67" s="184">
        <f t="shared" ref="AP67:AW69" si="50">H67*Y67</f>
        <v>0</v>
      </c>
      <c r="AQ67" s="178">
        <f t="shared" si="50"/>
        <v>16.0822</v>
      </c>
      <c r="AR67" s="178">
        <f t="shared" si="50"/>
        <v>0</v>
      </c>
      <c r="AS67" s="179">
        <f t="shared" si="50"/>
        <v>12.729200000000001</v>
      </c>
      <c r="AT67" s="178">
        <f t="shared" si="50"/>
        <v>0</v>
      </c>
      <c r="AU67" s="178">
        <f t="shared" si="50"/>
        <v>0</v>
      </c>
      <c r="AV67" s="178">
        <f t="shared" si="50"/>
        <v>0</v>
      </c>
      <c r="AW67" s="179">
        <f t="shared" si="50"/>
        <v>0</v>
      </c>
      <c r="AX67" s="178">
        <f t="shared" ref="AX67:AX98" si="51">P67*AG67/1000</f>
        <v>0</v>
      </c>
      <c r="AY67" s="178">
        <f t="shared" ref="AY67:AY98" si="52">Q67*AH67/1000</f>
        <v>0</v>
      </c>
      <c r="AZ67" s="179">
        <f t="shared" ref="AZ67:AZ98" si="53">R67*AI67/1000</f>
        <v>0</v>
      </c>
      <c r="BA67" s="184">
        <f t="shared" si="21"/>
        <v>8.0445999999999991</v>
      </c>
      <c r="BB67" s="178">
        <f t="shared" si="21"/>
        <v>9.188801999999999</v>
      </c>
      <c r="BC67" s="184">
        <f t="shared" si="21"/>
        <v>0</v>
      </c>
      <c r="BD67" s="178">
        <f t="shared" si="21"/>
        <v>0</v>
      </c>
      <c r="BE67" s="244">
        <f t="shared" si="4"/>
        <v>1</v>
      </c>
      <c r="BF67" s="245">
        <f t="shared" si="22"/>
        <v>866</v>
      </c>
      <c r="BH67" s="255">
        <f>SUM(AO67)</f>
        <v>7.4999835000000008</v>
      </c>
      <c r="BI67" s="255">
        <f>SUM(AP67:AS67)</f>
        <v>28.811399999999999</v>
      </c>
      <c r="BJ67" s="255">
        <f>SUM(AT67:AW67)</f>
        <v>0</v>
      </c>
      <c r="BK67" s="256">
        <f>SUM(AX67:BB67)</f>
        <v>17.233401999999998</v>
      </c>
      <c r="BL67" s="262">
        <f>SUM(BC67:BD67)</f>
        <v>0</v>
      </c>
      <c r="BM67" s="257">
        <f t="shared" si="6"/>
        <v>53.544785499999996</v>
      </c>
      <c r="BO67" s="714">
        <f t="shared" si="0"/>
        <v>61.830006351039259</v>
      </c>
    </row>
    <row r="68" spans="2:67" ht="15" customHeight="1" x14ac:dyDescent="0.25">
      <c r="B68" s="19">
        <f t="shared" si="49"/>
        <v>23</v>
      </c>
      <c r="C68" s="44" t="s">
        <v>576</v>
      </c>
      <c r="D68" s="45"/>
      <c r="E68" s="105" t="s">
        <v>94</v>
      </c>
      <c r="G68" s="477">
        <f>'[15]DUoS (t)'!G63</f>
        <v>82.191600000000008</v>
      </c>
      <c r="H68" s="479"/>
      <c r="I68" s="483">
        <f>'[15]DUoS (t)'!I63</f>
        <v>4.2099999999999999E-2</v>
      </c>
      <c r="J68" s="461"/>
      <c r="K68" s="484">
        <f>'[15]DUoS (t)'!K63</f>
        <v>2.63E-2</v>
      </c>
      <c r="L68" s="461"/>
      <c r="M68" s="461"/>
      <c r="N68" s="461"/>
      <c r="O68" s="462"/>
      <c r="P68" s="461"/>
      <c r="Q68" s="461"/>
      <c r="R68" s="462"/>
      <c r="S68" s="478">
        <f>'[15]DUoS (t)'!S63</f>
        <v>0.14499999999999999</v>
      </c>
      <c r="T68" s="483">
        <f>'[15]DUoS (t)'!T63</f>
        <v>0.1036</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1"/>
        <v>29.999934000000003</v>
      </c>
      <c r="AP68" s="184">
        <f t="shared" si="50"/>
        <v>0</v>
      </c>
      <c r="AQ68" s="178">
        <f t="shared" si="50"/>
        <v>153.83339999999998</v>
      </c>
      <c r="AR68" s="178">
        <f t="shared" si="50"/>
        <v>0</v>
      </c>
      <c r="AS68" s="179">
        <f t="shared" si="50"/>
        <v>147.5693</v>
      </c>
      <c r="AT68" s="178">
        <f t="shared" si="50"/>
        <v>0</v>
      </c>
      <c r="AU68" s="178">
        <f t="shared" si="50"/>
        <v>0</v>
      </c>
      <c r="AV68" s="178">
        <f t="shared" si="50"/>
        <v>0</v>
      </c>
      <c r="AW68" s="179">
        <f t="shared" si="50"/>
        <v>0</v>
      </c>
      <c r="AX68" s="178">
        <f t="shared" si="51"/>
        <v>0</v>
      </c>
      <c r="AY68" s="178">
        <f t="shared" si="52"/>
        <v>0</v>
      </c>
      <c r="AZ68" s="179">
        <f t="shared" si="53"/>
        <v>0</v>
      </c>
      <c r="BA68" s="184">
        <f t="shared" si="21"/>
        <v>160.892</v>
      </c>
      <c r="BB68" s="178">
        <f t="shared" si="21"/>
        <v>138.05891399999999</v>
      </c>
      <c r="BC68" s="184">
        <f t="shared" si="21"/>
        <v>0</v>
      </c>
      <c r="BD68" s="178">
        <f t="shared" si="21"/>
        <v>0</v>
      </c>
      <c r="BE68" s="244">
        <f t="shared" si="4"/>
        <v>1</v>
      </c>
      <c r="BF68" s="245">
        <f t="shared" si="22"/>
        <v>9265</v>
      </c>
      <c r="BH68" s="255">
        <f>SUM(AO68)</f>
        <v>29.999934000000003</v>
      </c>
      <c r="BI68" s="255">
        <f>SUM(AP68:AS68)</f>
        <v>301.40269999999998</v>
      </c>
      <c r="BJ68" s="255">
        <f>SUM(AT68:AW68)</f>
        <v>0</v>
      </c>
      <c r="BK68" s="256">
        <f>SUM(AX68:BB68)</f>
        <v>298.95091400000001</v>
      </c>
      <c r="BL68" s="262">
        <f>SUM(BC68:BD68)</f>
        <v>0</v>
      </c>
      <c r="BM68" s="257">
        <f t="shared" si="6"/>
        <v>630.35354800000005</v>
      </c>
      <c r="BO68" s="714">
        <f t="shared" si="0"/>
        <v>68.036000863464665</v>
      </c>
    </row>
    <row r="69" spans="2:67" ht="15" customHeight="1" x14ac:dyDescent="0.25">
      <c r="B69" s="26">
        <f t="shared" si="49"/>
        <v>24</v>
      </c>
      <c r="C69" s="841" t="s">
        <v>632</v>
      </c>
      <c r="D69" s="56"/>
      <c r="E69" s="109" t="s">
        <v>652</v>
      </c>
      <c r="G69" s="477">
        <f>'[15]DUoS (t)'!G64</f>
        <v>27.397200000000002</v>
      </c>
      <c r="H69" s="479"/>
      <c r="I69" s="483">
        <f>'[15]DUoS (t)'!I64</f>
        <v>4.2099999999999999E-2</v>
      </c>
      <c r="J69" s="461"/>
      <c r="K69" s="484">
        <f>'[15]DUoS (t)'!K64</f>
        <v>2.63E-2</v>
      </c>
      <c r="L69" s="461"/>
      <c r="M69" s="461"/>
      <c r="N69" s="461"/>
      <c r="O69" s="462"/>
      <c r="P69" s="478">
        <f>'[15]DUoS (t)'!P64</f>
        <v>0.52569999999999995</v>
      </c>
      <c r="Q69" s="461"/>
      <c r="R69" s="462"/>
      <c r="S69" s="479"/>
      <c r="T69" s="483">
        <f>'[15]DUoS (t)'!T64</f>
        <v>0.1036</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1"/>
        <v>9.9999780000000005</v>
      </c>
      <c r="AP69" s="184">
        <f t="shared" si="50"/>
        <v>0</v>
      </c>
      <c r="AQ69" s="178">
        <f t="shared" si="50"/>
        <v>45.467999999999996</v>
      </c>
      <c r="AR69" s="178">
        <f t="shared" si="50"/>
        <v>0</v>
      </c>
      <c r="AS69" s="179">
        <f t="shared" si="50"/>
        <v>43.920999999999999</v>
      </c>
      <c r="AT69" s="178">
        <f t="shared" si="50"/>
        <v>0</v>
      </c>
      <c r="AU69" s="178">
        <f t="shared" si="50"/>
        <v>0</v>
      </c>
      <c r="AV69" s="178">
        <f t="shared" si="50"/>
        <v>0</v>
      </c>
      <c r="AW69" s="179">
        <f t="shared" si="50"/>
        <v>0</v>
      </c>
      <c r="AX69" s="178">
        <f t="shared" si="51"/>
        <v>63.583940699999992</v>
      </c>
      <c r="AY69" s="178">
        <f t="shared" si="52"/>
        <v>0</v>
      </c>
      <c r="AZ69" s="179">
        <f t="shared" si="53"/>
        <v>0</v>
      </c>
      <c r="BA69" s="184">
        <f t="shared" si="21"/>
        <v>0</v>
      </c>
      <c r="BB69" s="178">
        <f t="shared" si="21"/>
        <v>53.809322000000002</v>
      </c>
      <c r="BC69" s="184">
        <f t="shared" si="21"/>
        <v>0</v>
      </c>
      <c r="BD69" s="178">
        <f t="shared" si="21"/>
        <v>0</v>
      </c>
      <c r="BE69" s="244">
        <f t="shared" si="4"/>
        <v>1</v>
      </c>
      <c r="BF69" s="245">
        <f t="shared" si="22"/>
        <v>2750</v>
      </c>
      <c r="BH69" s="255">
        <f>SUM(AO69)</f>
        <v>9.9999780000000005</v>
      </c>
      <c r="BI69" s="255">
        <f>SUM(AP69:AS69)</f>
        <v>89.388999999999996</v>
      </c>
      <c r="BJ69" s="255">
        <f>SUM(AT69:AW69)</f>
        <v>0</v>
      </c>
      <c r="BK69" s="256">
        <f>SUM(AX69:BB69)</f>
        <v>117.39326269999999</v>
      </c>
      <c r="BL69" s="262">
        <f>SUM(BC69:BD69)</f>
        <v>0</v>
      </c>
      <c r="BM69" s="257">
        <f t="shared" si="6"/>
        <v>216.78224069999999</v>
      </c>
      <c r="BO69" s="714">
        <f t="shared" si="0"/>
        <v>78.829905709090909</v>
      </c>
    </row>
    <row r="70" spans="2:67" ht="15" customHeight="1" x14ac:dyDescent="0.25">
      <c r="B70" s="167" t="s">
        <v>101</v>
      </c>
      <c r="C70" s="151" t="s">
        <v>102</v>
      </c>
      <c r="D70" s="151"/>
      <c r="E70" s="204"/>
      <c r="G70" s="494"/>
      <c r="H70" s="495"/>
      <c r="I70" s="496"/>
      <c r="J70" s="496"/>
      <c r="K70" s="497"/>
      <c r="L70" s="496"/>
      <c r="M70" s="496"/>
      <c r="N70" s="496"/>
      <c r="O70" s="497"/>
      <c r="P70" s="496"/>
      <c r="Q70" s="496"/>
      <c r="R70" s="497"/>
      <c r="S70" s="495"/>
      <c r="T70" s="496"/>
      <c r="U70" s="495"/>
      <c r="V70" s="497"/>
      <c r="X70" s="205"/>
      <c r="Y70" s="206"/>
      <c r="Z70" s="207"/>
      <c r="AA70" s="207"/>
      <c r="AB70" s="208"/>
      <c r="AC70" s="207"/>
      <c r="AD70" s="207"/>
      <c r="AE70" s="207"/>
      <c r="AF70" s="208"/>
      <c r="AG70" s="207"/>
      <c r="AH70" s="207"/>
      <c r="AI70" s="208"/>
      <c r="AJ70" s="206"/>
      <c r="AK70" s="207"/>
      <c r="AL70" s="206"/>
      <c r="AM70" s="208"/>
      <c r="AO70" s="205">
        <f t="shared" si="1"/>
        <v>0</v>
      </c>
      <c r="AP70" s="206">
        <f t="shared" ref="AP70:AW85" si="54">H70*Y70</f>
        <v>0</v>
      </c>
      <c r="AQ70" s="207">
        <f t="shared" si="54"/>
        <v>0</v>
      </c>
      <c r="AR70" s="207">
        <f t="shared" si="54"/>
        <v>0</v>
      </c>
      <c r="AS70" s="208">
        <f t="shared" si="54"/>
        <v>0</v>
      </c>
      <c r="AT70" s="207">
        <f t="shared" si="54"/>
        <v>0</v>
      </c>
      <c r="AU70" s="207">
        <f t="shared" si="54"/>
        <v>0</v>
      </c>
      <c r="AV70" s="207">
        <f t="shared" si="54"/>
        <v>0</v>
      </c>
      <c r="AW70" s="208">
        <f t="shared" si="54"/>
        <v>0</v>
      </c>
      <c r="AX70" s="207">
        <f t="shared" si="51"/>
        <v>0</v>
      </c>
      <c r="AY70" s="207">
        <f t="shared" si="52"/>
        <v>0</v>
      </c>
      <c r="AZ70" s="208">
        <f t="shared" si="53"/>
        <v>0</v>
      </c>
      <c r="BA70" s="206">
        <f t="shared" si="21"/>
        <v>0</v>
      </c>
      <c r="BB70" s="207">
        <f t="shared" si="21"/>
        <v>0</v>
      </c>
      <c r="BC70" s="206">
        <f t="shared" si="21"/>
        <v>0</v>
      </c>
      <c r="BD70" s="207">
        <f t="shared" si="21"/>
        <v>0</v>
      </c>
      <c r="BE70" s="242">
        <f t="shared" si="4"/>
        <v>0</v>
      </c>
      <c r="BF70" s="243">
        <f t="shared" si="22"/>
        <v>0</v>
      </c>
      <c r="BH70" s="253">
        <f>SUBTOTAL(9,BH71:BH93)</f>
        <v>2707.834405999999</v>
      </c>
      <c r="BI70" s="253">
        <f>SUBTOTAL(9,BI71:BI93)</f>
        <v>14045.575200000001</v>
      </c>
      <c r="BJ70" s="253">
        <f>SUBTOTAL(9,BJ71:BJ93)</f>
        <v>0</v>
      </c>
      <c r="BK70" s="253">
        <f>SUBTOTAL(9,BK71:BK93)</f>
        <v>15976.632175000001</v>
      </c>
      <c r="BL70" s="253">
        <f>SUBTOTAL(9,BL71:BL93)</f>
        <v>0</v>
      </c>
      <c r="BM70" s="257">
        <f t="shared" si="6"/>
        <v>32730.041781</v>
      </c>
      <c r="BO70" s="714" t="str">
        <f t="shared" si="0"/>
        <v/>
      </c>
    </row>
    <row r="71" spans="2:67" ht="15" customHeight="1" x14ac:dyDescent="0.25">
      <c r="B71" s="156"/>
      <c r="C71" s="126" t="s">
        <v>103</v>
      </c>
      <c r="D71" s="202"/>
      <c r="E71" s="202"/>
      <c r="G71" s="482"/>
      <c r="H71" s="479"/>
      <c r="I71" s="461"/>
      <c r="J71" s="461"/>
      <c r="K71" s="462"/>
      <c r="L71" s="461"/>
      <c r="M71" s="461"/>
      <c r="N71" s="461"/>
      <c r="O71" s="462"/>
      <c r="P71" s="461"/>
      <c r="Q71" s="461"/>
      <c r="R71" s="462"/>
      <c r="S71" s="479"/>
      <c r="T71" s="461"/>
      <c r="U71" s="479"/>
      <c r="V71" s="462"/>
      <c r="X71" s="183"/>
      <c r="Y71" s="184"/>
      <c r="Z71" s="178"/>
      <c r="AA71" s="178"/>
      <c r="AB71" s="179"/>
      <c r="AC71" s="178"/>
      <c r="AD71" s="178"/>
      <c r="AE71" s="178"/>
      <c r="AF71" s="179"/>
      <c r="AG71" s="178"/>
      <c r="AH71" s="178"/>
      <c r="AI71" s="179"/>
      <c r="AJ71" s="184"/>
      <c r="AK71" s="178"/>
      <c r="AL71" s="184"/>
      <c r="AM71" s="179"/>
      <c r="AO71" s="183">
        <f t="shared" si="1"/>
        <v>0</v>
      </c>
      <c r="AP71" s="184">
        <f t="shared" si="54"/>
        <v>0</v>
      </c>
      <c r="AQ71" s="178">
        <f t="shared" si="54"/>
        <v>0</v>
      </c>
      <c r="AR71" s="178">
        <f t="shared" si="54"/>
        <v>0</v>
      </c>
      <c r="AS71" s="179">
        <f t="shared" si="54"/>
        <v>0</v>
      </c>
      <c r="AT71" s="178">
        <f t="shared" si="54"/>
        <v>0</v>
      </c>
      <c r="AU71" s="178">
        <f t="shared" si="54"/>
        <v>0</v>
      </c>
      <c r="AV71" s="178">
        <f t="shared" si="54"/>
        <v>0</v>
      </c>
      <c r="AW71" s="179">
        <f t="shared" si="54"/>
        <v>0</v>
      </c>
      <c r="AX71" s="178">
        <f t="shared" si="51"/>
        <v>0</v>
      </c>
      <c r="AY71" s="178">
        <f t="shared" si="52"/>
        <v>0</v>
      </c>
      <c r="AZ71" s="179">
        <f t="shared" si="53"/>
        <v>0</v>
      </c>
      <c r="BA71" s="184">
        <f t="shared" si="21"/>
        <v>0</v>
      </c>
      <c r="BB71" s="178">
        <f t="shared" si="21"/>
        <v>0</v>
      </c>
      <c r="BC71" s="184">
        <f t="shared" si="21"/>
        <v>0</v>
      </c>
      <c r="BD71" s="178">
        <f t="shared" si="21"/>
        <v>0</v>
      </c>
      <c r="BE71" s="244">
        <f t="shared" si="4"/>
        <v>0</v>
      </c>
      <c r="BF71" s="245">
        <f t="shared" si="22"/>
        <v>0</v>
      </c>
      <c r="BH71" s="252">
        <f>SUBTOTAL(9,BH72:BH77)</f>
        <v>2505.0004384999993</v>
      </c>
      <c r="BI71" s="252">
        <f>SUBTOTAL(9,BI72:BI77)</f>
        <v>12852.331400000001</v>
      </c>
      <c r="BJ71" s="252">
        <f>SUBTOTAL(9,BJ72:BJ77)</f>
        <v>0</v>
      </c>
      <c r="BK71" s="252">
        <f>SUBTOTAL(9,BK72:BK77)</f>
        <v>15024.099267</v>
      </c>
      <c r="BL71" s="252">
        <f>SUBTOTAL(9,BL72:BL77)</f>
        <v>0</v>
      </c>
      <c r="BM71" s="257">
        <f t="shared" si="6"/>
        <v>30381.4311055</v>
      </c>
      <c r="BO71" s="714" t="str">
        <f t="shared" si="0"/>
        <v/>
      </c>
    </row>
    <row r="72" spans="2:67" ht="15" customHeight="1" x14ac:dyDescent="0.25">
      <c r="B72" s="156">
        <v>1</v>
      </c>
      <c r="C72" s="180" t="s">
        <v>585</v>
      </c>
      <c r="D72" s="181" t="s">
        <v>586</v>
      </c>
      <c r="E72" s="210" t="s">
        <v>104</v>
      </c>
      <c r="G72" s="477">
        <f>'[15]DUoS (t)'!G70</f>
        <v>41.0959</v>
      </c>
      <c r="H72" s="479"/>
      <c r="I72" s="483">
        <f>'[15]DUoS (t)'!I70</f>
        <v>2.3900000000000001E-2</v>
      </c>
      <c r="J72" s="461"/>
      <c r="K72" s="484">
        <f>'[15]DUoS (t)'!K70</f>
        <v>1.49E-2</v>
      </c>
      <c r="L72" s="461"/>
      <c r="M72" s="461"/>
      <c r="N72" s="461"/>
      <c r="O72" s="462"/>
      <c r="P72" s="461"/>
      <c r="Q72" s="461"/>
      <c r="R72" s="462"/>
      <c r="S72" s="478">
        <f>'[15]DUoS (t)'!S70</f>
        <v>0.1065</v>
      </c>
      <c r="T72" s="483">
        <f>'[15]DUoS (t)'!T70</f>
        <v>0.1036</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1"/>
        <v>2235.0005214999996</v>
      </c>
      <c r="AP72" s="184">
        <f t="shared" si="54"/>
        <v>0</v>
      </c>
      <c r="AQ72" s="178">
        <f t="shared" si="54"/>
        <v>7239.8836000000001</v>
      </c>
      <c r="AR72" s="178">
        <f t="shared" si="54"/>
        <v>0</v>
      </c>
      <c r="AS72" s="179">
        <f t="shared" si="54"/>
        <v>4237.8878000000004</v>
      </c>
      <c r="AT72" s="178">
        <f t="shared" si="54"/>
        <v>0</v>
      </c>
      <c r="AU72" s="178">
        <f t="shared" si="54"/>
        <v>0</v>
      </c>
      <c r="AV72" s="178">
        <f t="shared" si="54"/>
        <v>0</v>
      </c>
      <c r="AW72" s="179">
        <f t="shared" si="54"/>
        <v>0</v>
      </c>
      <c r="AX72" s="178">
        <f t="shared" si="51"/>
        <v>0</v>
      </c>
      <c r="AY72" s="178">
        <f t="shared" si="52"/>
        <v>0</v>
      </c>
      <c r="AZ72" s="179">
        <f t="shared" si="53"/>
        <v>0</v>
      </c>
      <c r="BA72" s="184">
        <f t="shared" si="21"/>
        <v>5862.5690450000002</v>
      </c>
      <c r="BB72" s="178">
        <f t="shared" si="21"/>
        <v>7251.2882680000002</v>
      </c>
      <c r="BC72" s="184">
        <f t="shared" si="21"/>
        <v>0</v>
      </c>
      <c r="BD72" s="178">
        <f t="shared" si="21"/>
        <v>0</v>
      </c>
      <c r="BE72" s="244">
        <f t="shared" si="4"/>
        <v>149</v>
      </c>
      <c r="BF72" s="245">
        <f t="shared" si="22"/>
        <v>587346</v>
      </c>
      <c r="BH72" s="255">
        <f t="shared" ref="BH72:BH92" si="55">SUM(AO72)</f>
        <v>2235.0005214999996</v>
      </c>
      <c r="BI72" s="255">
        <f t="shared" ref="BI72:BI92" si="56">SUM(AP72:AS72)</f>
        <v>11477.771400000001</v>
      </c>
      <c r="BJ72" s="255">
        <f t="shared" ref="BJ72:BJ92" si="57">SUM(AT72:AW72)</f>
        <v>0</v>
      </c>
      <c r="BK72" s="256">
        <f t="shared" ref="BK72:BK92" si="58">SUM(AX72:BB72)</f>
        <v>13113.857313</v>
      </c>
      <c r="BL72" s="262">
        <f t="shared" ref="BL72:BL92" si="59">SUM(BC72:BD72)</f>
        <v>0</v>
      </c>
      <c r="BM72" s="257">
        <f t="shared" si="6"/>
        <v>26826.629234500004</v>
      </c>
      <c r="BO72" s="714">
        <f t="shared" si="0"/>
        <v>45.674320135831351</v>
      </c>
    </row>
    <row r="73" spans="2:67" ht="15" customHeight="1" x14ac:dyDescent="0.25">
      <c r="B73" s="156">
        <f>B72+1</f>
        <v>2</v>
      </c>
      <c r="C73" s="180" t="s">
        <v>587</v>
      </c>
      <c r="D73" s="181" t="s">
        <v>588</v>
      </c>
      <c r="E73" s="210" t="s">
        <v>105</v>
      </c>
      <c r="G73" s="477">
        <f>'[15]DUoS (t)'!G71</f>
        <v>41.0959</v>
      </c>
      <c r="H73" s="479"/>
      <c r="I73" s="483">
        <f>'[15]DUoS (t)'!I71</f>
        <v>2.3900000000000001E-2</v>
      </c>
      <c r="J73" s="461"/>
      <c r="K73" s="484">
        <f>'[15]DUoS (t)'!K71</f>
        <v>1.49E-2</v>
      </c>
      <c r="L73" s="461"/>
      <c r="M73" s="461"/>
      <c r="N73" s="461"/>
      <c r="O73" s="462"/>
      <c r="P73" s="483">
        <f>'[15]DUoS (t)'!P71</f>
        <v>0.38619999999999999</v>
      </c>
      <c r="Q73" s="461"/>
      <c r="R73" s="462"/>
      <c r="S73" s="479"/>
      <c r="T73" s="483">
        <f>'[15]DUoS (t)'!T71</f>
        <v>0.1036</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1"/>
        <v>210.00004899999999</v>
      </c>
      <c r="AP73" s="184">
        <f t="shared" si="54"/>
        <v>0</v>
      </c>
      <c r="AQ73" s="178">
        <f t="shared" si="54"/>
        <v>619.01</v>
      </c>
      <c r="AR73" s="178">
        <f t="shared" si="54"/>
        <v>0</v>
      </c>
      <c r="AS73" s="179">
        <f t="shared" si="54"/>
        <v>372.5</v>
      </c>
      <c r="AT73" s="178">
        <f t="shared" si="54"/>
        <v>0</v>
      </c>
      <c r="AU73" s="178">
        <f t="shared" si="54"/>
        <v>0</v>
      </c>
      <c r="AV73" s="178">
        <f t="shared" si="54"/>
        <v>0</v>
      </c>
      <c r="AW73" s="179">
        <f t="shared" si="54"/>
        <v>0</v>
      </c>
      <c r="AX73" s="178">
        <f t="shared" si="51"/>
        <v>574.70615099999998</v>
      </c>
      <c r="AY73" s="178">
        <f t="shared" si="52"/>
        <v>0</v>
      </c>
      <c r="AZ73" s="179">
        <f t="shared" si="53"/>
        <v>0</v>
      </c>
      <c r="BA73" s="184">
        <f t="shared" si="21"/>
        <v>0</v>
      </c>
      <c r="BB73" s="178">
        <f t="shared" si="21"/>
        <v>990.08396199999993</v>
      </c>
      <c r="BC73" s="184">
        <f t="shared" si="21"/>
        <v>0</v>
      </c>
      <c r="BD73" s="178">
        <f t="shared" si="21"/>
        <v>0</v>
      </c>
      <c r="BE73" s="244">
        <f t="shared" si="4"/>
        <v>14</v>
      </c>
      <c r="BF73" s="245">
        <f t="shared" si="22"/>
        <v>50900</v>
      </c>
      <c r="BH73" s="255">
        <f t="shared" si="55"/>
        <v>210.00004899999999</v>
      </c>
      <c r="BI73" s="255">
        <f t="shared" si="56"/>
        <v>991.51</v>
      </c>
      <c r="BJ73" s="255">
        <f t="shared" si="57"/>
        <v>0</v>
      </c>
      <c r="BK73" s="256">
        <f t="shared" si="58"/>
        <v>1564.790113</v>
      </c>
      <c r="BL73" s="262">
        <f t="shared" si="59"/>
        <v>0</v>
      </c>
      <c r="BM73" s="257">
        <f t="shared" si="6"/>
        <v>2766.300162</v>
      </c>
      <c r="BO73" s="714">
        <f t="shared" si="0"/>
        <v>54.347743850687621</v>
      </c>
    </row>
    <row r="74" spans="2:67" ht="15" customHeight="1" x14ac:dyDescent="0.25">
      <c r="B74" s="156">
        <f>B73+1</f>
        <v>3</v>
      </c>
      <c r="C74" s="842" t="s">
        <v>589</v>
      </c>
      <c r="D74" s="843" t="s">
        <v>590</v>
      </c>
      <c r="E74" s="844" t="s">
        <v>106</v>
      </c>
      <c r="G74" s="477"/>
      <c r="H74" s="479"/>
      <c r="I74" s="483"/>
      <c r="J74" s="461"/>
      <c r="K74" s="484"/>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1"/>
        <v>0</v>
      </c>
      <c r="AP74" s="184">
        <f t="shared" si="54"/>
        <v>0</v>
      </c>
      <c r="AQ74" s="178">
        <f t="shared" si="54"/>
        <v>0</v>
      </c>
      <c r="AR74" s="178">
        <f t="shared" si="54"/>
        <v>0</v>
      </c>
      <c r="AS74" s="179">
        <f t="shared" si="54"/>
        <v>0</v>
      </c>
      <c r="AT74" s="178">
        <f t="shared" si="54"/>
        <v>0</v>
      </c>
      <c r="AU74" s="178">
        <f t="shared" si="54"/>
        <v>0</v>
      </c>
      <c r="AV74" s="178">
        <f t="shared" si="54"/>
        <v>0</v>
      </c>
      <c r="AW74" s="179">
        <f t="shared" si="54"/>
        <v>0</v>
      </c>
      <c r="AX74" s="178">
        <f t="shared" si="51"/>
        <v>0</v>
      </c>
      <c r="AY74" s="178">
        <f t="shared" si="52"/>
        <v>0</v>
      </c>
      <c r="AZ74" s="179">
        <f t="shared" si="53"/>
        <v>0</v>
      </c>
      <c r="BA74" s="184">
        <f t="shared" si="21"/>
        <v>0</v>
      </c>
      <c r="BB74" s="178">
        <f t="shared" si="21"/>
        <v>0</v>
      </c>
      <c r="BC74" s="184">
        <f t="shared" si="21"/>
        <v>0</v>
      </c>
      <c r="BD74" s="178">
        <f t="shared" si="21"/>
        <v>0</v>
      </c>
      <c r="BE74" s="244">
        <f t="shared" si="4"/>
        <v>0</v>
      </c>
      <c r="BF74" s="245">
        <f t="shared" si="22"/>
        <v>0</v>
      </c>
      <c r="BH74" s="255">
        <f t="shared" si="55"/>
        <v>0</v>
      </c>
      <c r="BI74" s="255">
        <f t="shared" si="56"/>
        <v>0</v>
      </c>
      <c r="BJ74" s="255">
        <f t="shared" si="57"/>
        <v>0</v>
      </c>
      <c r="BK74" s="256">
        <f t="shared" si="58"/>
        <v>0</v>
      </c>
      <c r="BL74" s="262">
        <f t="shared" si="59"/>
        <v>0</v>
      </c>
      <c r="BM74" s="257">
        <f t="shared" si="6"/>
        <v>0</v>
      </c>
      <c r="BO74" s="714" t="str">
        <f t="shared" si="0"/>
        <v/>
      </c>
    </row>
    <row r="75" spans="2:67" ht="15" customHeight="1" x14ac:dyDescent="0.25">
      <c r="B75" s="156">
        <f>B74+1</f>
        <v>4</v>
      </c>
      <c r="C75" s="180" t="s">
        <v>107</v>
      </c>
      <c r="D75" s="181" t="s">
        <v>107</v>
      </c>
      <c r="E75" s="210" t="s">
        <v>108</v>
      </c>
      <c r="G75" s="477">
        <f>'[15]DUoS (t)'!G73</f>
        <v>2.7397</v>
      </c>
      <c r="H75" s="478">
        <f>'[15]DUoS (t)'!H73</f>
        <v>5.1499999999999997E-2</v>
      </c>
      <c r="I75" s="461"/>
      <c r="J75" s="461"/>
      <c r="K75" s="462"/>
      <c r="L75" s="461"/>
      <c r="M75" s="461"/>
      <c r="N75" s="461"/>
      <c r="O75" s="462"/>
      <c r="P75" s="461"/>
      <c r="Q75" s="483">
        <f>'[15]DUoS (t)'!Q73</f>
        <v>0.30940000000000001</v>
      </c>
      <c r="R75" s="484">
        <f>'[15]DUoS (t)'!R73</f>
        <v>0.15310000000000001</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1"/>
        <v>0</v>
      </c>
      <c r="AP75" s="184">
        <f t="shared" si="54"/>
        <v>0</v>
      </c>
      <c r="AQ75" s="178">
        <f t="shared" si="54"/>
        <v>0</v>
      </c>
      <c r="AR75" s="178">
        <f t="shared" si="54"/>
        <v>0</v>
      </c>
      <c r="AS75" s="179">
        <f t="shared" si="54"/>
        <v>0</v>
      </c>
      <c r="AT75" s="178">
        <f t="shared" si="54"/>
        <v>0</v>
      </c>
      <c r="AU75" s="178">
        <f t="shared" si="54"/>
        <v>0</v>
      </c>
      <c r="AV75" s="178">
        <f t="shared" si="54"/>
        <v>0</v>
      </c>
      <c r="AW75" s="179">
        <f t="shared" si="54"/>
        <v>0</v>
      </c>
      <c r="AX75" s="178">
        <f t="shared" si="51"/>
        <v>0</v>
      </c>
      <c r="AY75" s="178">
        <f t="shared" si="52"/>
        <v>0</v>
      </c>
      <c r="AZ75" s="179">
        <f t="shared" si="53"/>
        <v>0</v>
      </c>
      <c r="BA75" s="184">
        <f t="shared" si="21"/>
        <v>0</v>
      </c>
      <c r="BB75" s="178">
        <f t="shared" si="21"/>
        <v>0</v>
      </c>
      <c r="BC75" s="184">
        <f t="shared" si="21"/>
        <v>0</v>
      </c>
      <c r="BD75" s="178">
        <f t="shared" si="21"/>
        <v>0</v>
      </c>
      <c r="BE75" s="244">
        <f t="shared" si="4"/>
        <v>0</v>
      </c>
      <c r="BF75" s="245">
        <f t="shared" si="22"/>
        <v>0</v>
      </c>
      <c r="BH75" s="255">
        <f t="shared" si="55"/>
        <v>0</v>
      </c>
      <c r="BI75" s="255">
        <f t="shared" si="56"/>
        <v>0</v>
      </c>
      <c r="BJ75" s="255">
        <f t="shared" si="57"/>
        <v>0</v>
      </c>
      <c r="BK75" s="256">
        <f t="shared" si="58"/>
        <v>0</v>
      </c>
      <c r="BL75" s="262">
        <f t="shared" si="59"/>
        <v>0</v>
      </c>
      <c r="BM75" s="257">
        <f t="shared" si="6"/>
        <v>0</v>
      </c>
      <c r="BO75" s="714" t="str">
        <f t="shared" si="0"/>
        <v/>
      </c>
    </row>
    <row r="76" spans="2:67" ht="15" customHeight="1" x14ac:dyDescent="0.25">
      <c r="B76" s="156">
        <f>B75+1</f>
        <v>5</v>
      </c>
      <c r="C76" s="849" t="s">
        <v>591</v>
      </c>
      <c r="D76" s="200" t="s">
        <v>592</v>
      </c>
      <c r="E76" s="210" t="s">
        <v>109</v>
      </c>
      <c r="G76" s="477">
        <f>'[15]DUoS (t)'!G74</f>
        <v>6.8493000000000004</v>
      </c>
      <c r="H76" s="479"/>
      <c r="I76" s="483">
        <f>'[15]DUoS (t)'!I74</f>
        <v>4.2099999999999999E-2</v>
      </c>
      <c r="J76" s="461"/>
      <c r="K76" s="484">
        <f>'[15]DUoS (t)'!K74</f>
        <v>2.63E-2</v>
      </c>
      <c r="L76" s="461"/>
      <c r="M76" s="461"/>
      <c r="N76" s="461"/>
      <c r="O76" s="462"/>
      <c r="P76" s="461"/>
      <c r="Q76" s="461"/>
      <c r="R76" s="462"/>
      <c r="S76" s="478">
        <f>'[15]DUoS (t)'!S74</f>
        <v>0.14499999999999999</v>
      </c>
      <c r="T76" s="483">
        <f>'[15]DUoS (t)'!T74</f>
        <v>0.1036</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1"/>
        <v>59.999867999999999</v>
      </c>
      <c r="AP76" s="184">
        <f t="shared" si="54"/>
        <v>0</v>
      </c>
      <c r="AQ76" s="178">
        <f t="shared" si="54"/>
        <v>256.81</v>
      </c>
      <c r="AR76" s="178">
        <f t="shared" si="54"/>
        <v>0</v>
      </c>
      <c r="AS76" s="179">
        <f t="shared" si="54"/>
        <v>126.24000000000001</v>
      </c>
      <c r="AT76" s="178">
        <f t="shared" si="54"/>
        <v>0</v>
      </c>
      <c r="AU76" s="178">
        <f t="shared" si="54"/>
        <v>0</v>
      </c>
      <c r="AV76" s="178">
        <f t="shared" si="54"/>
        <v>0</v>
      </c>
      <c r="AW76" s="179">
        <f t="shared" si="54"/>
        <v>0</v>
      </c>
      <c r="AX76" s="178">
        <f t="shared" si="51"/>
        <v>0</v>
      </c>
      <c r="AY76" s="178">
        <f t="shared" si="52"/>
        <v>0</v>
      </c>
      <c r="AZ76" s="179">
        <f t="shared" si="53"/>
        <v>0</v>
      </c>
      <c r="BA76" s="184">
        <f t="shared" si="21"/>
        <v>115.95867499999999</v>
      </c>
      <c r="BB76" s="178">
        <f t="shared" si="21"/>
        <v>196.216846</v>
      </c>
      <c r="BC76" s="184">
        <f t="shared" si="21"/>
        <v>0</v>
      </c>
      <c r="BD76" s="178">
        <f t="shared" si="21"/>
        <v>0</v>
      </c>
      <c r="BE76" s="244">
        <f t="shared" si="4"/>
        <v>24</v>
      </c>
      <c r="BF76" s="245">
        <f t="shared" si="22"/>
        <v>10900</v>
      </c>
      <c r="BH76" s="255">
        <f t="shared" si="55"/>
        <v>59.999867999999999</v>
      </c>
      <c r="BI76" s="255">
        <f t="shared" si="56"/>
        <v>383.05</v>
      </c>
      <c r="BJ76" s="255">
        <f t="shared" si="57"/>
        <v>0</v>
      </c>
      <c r="BK76" s="256">
        <f t="shared" si="58"/>
        <v>312.175521</v>
      </c>
      <c r="BL76" s="262">
        <f t="shared" si="59"/>
        <v>0</v>
      </c>
      <c r="BM76" s="257">
        <f t="shared" si="6"/>
        <v>755.22538899999995</v>
      </c>
      <c r="BO76" s="714">
        <f t="shared" si="0"/>
        <v>69.28673293577981</v>
      </c>
    </row>
    <row r="77" spans="2:67" ht="15" customHeight="1" x14ac:dyDescent="0.25">
      <c r="B77" s="156">
        <f>B76+1</f>
        <v>6</v>
      </c>
      <c r="C77" s="180" t="s">
        <v>593</v>
      </c>
      <c r="D77" s="181" t="s">
        <v>594</v>
      </c>
      <c r="E77" s="210" t="s">
        <v>110</v>
      </c>
      <c r="G77" s="477">
        <f>'[15]DUoS (t)'!G75</f>
        <v>0</v>
      </c>
      <c r="H77" s="479"/>
      <c r="I77" s="483">
        <f>'[15]DUoS (t)'!I75</f>
        <v>0</v>
      </c>
      <c r="J77" s="461"/>
      <c r="K77" s="484">
        <f>'[15]DUoS (t)'!K75</f>
        <v>0</v>
      </c>
      <c r="L77" s="461"/>
      <c r="M77" s="461"/>
      <c r="N77" s="461"/>
      <c r="O77" s="462"/>
      <c r="P77" s="461"/>
      <c r="Q77" s="461"/>
      <c r="R77" s="462"/>
      <c r="S77" s="478">
        <f>'[15]DUoS (t)'!S75</f>
        <v>0.1065</v>
      </c>
      <c r="T77" s="483">
        <f>'[15]DUoS (t)'!T75</f>
        <v>0.1036</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1"/>
        <v>0</v>
      </c>
      <c r="AP77" s="184">
        <f t="shared" si="54"/>
        <v>0</v>
      </c>
      <c r="AQ77" s="178">
        <f t="shared" si="54"/>
        <v>0</v>
      </c>
      <c r="AR77" s="178">
        <f t="shared" si="54"/>
        <v>0</v>
      </c>
      <c r="AS77" s="179">
        <f t="shared" si="54"/>
        <v>0</v>
      </c>
      <c r="AT77" s="178">
        <f t="shared" si="54"/>
        <v>0</v>
      </c>
      <c r="AU77" s="178">
        <f t="shared" si="54"/>
        <v>0</v>
      </c>
      <c r="AV77" s="178">
        <f t="shared" si="54"/>
        <v>0</v>
      </c>
      <c r="AW77" s="179">
        <f t="shared" si="54"/>
        <v>0</v>
      </c>
      <c r="AX77" s="178">
        <f t="shared" si="51"/>
        <v>0</v>
      </c>
      <c r="AY77" s="178">
        <f t="shared" si="52"/>
        <v>0</v>
      </c>
      <c r="AZ77" s="179">
        <f t="shared" si="53"/>
        <v>0</v>
      </c>
      <c r="BA77" s="184">
        <f t="shared" si="21"/>
        <v>0</v>
      </c>
      <c r="BB77" s="178">
        <f t="shared" si="21"/>
        <v>33.276319999999998</v>
      </c>
      <c r="BC77" s="184">
        <f t="shared" si="21"/>
        <v>0</v>
      </c>
      <c r="BD77" s="178">
        <f t="shared" si="21"/>
        <v>0</v>
      </c>
      <c r="BE77" s="244">
        <f t="shared" si="4"/>
        <v>9</v>
      </c>
      <c r="BF77" s="245">
        <f t="shared" si="22"/>
        <v>2700</v>
      </c>
      <c r="BH77" s="255">
        <f t="shared" si="55"/>
        <v>0</v>
      </c>
      <c r="BI77" s="255">
        <f t="shared" si="56"/>
        <v>0</v>
      </c>
      <c r="BJ77" s="255">
        <f t="shared" si="57"/>
        <v>0</v>
      </c>
      <c r="BK77" s="256">
        <f t="shared" si="58"/>
        <v>33.276319999999998</v>
      </c>
      <c r="BL77" s="262">
        <f t="shared" si="59"/>
        <v>0</v>
      </c>
      <c r="BM77" s="257">
        <f t="shared" si="6"/>
        <v>33.276319999999998</v>
      </c>
      <c r="BO77" s="714">
        <f t="shared" si="0"/>
        <v>12.324562962962963</v>
      </c>
    </row>
    <row r="78" spans="2:67" ht="15" customHeight="1" x14ac:dyDescent="0.25">
      <c r="B78" s="156"/>
      <c r="C78" s="211"/>
      <c r="D78" s="212"/>
      <c r="E78" s="213"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1"/>
        <v>0</v>
      </c>
      <c r="AP78" s="184">
        <f t="shared" si="54"/>
        <v>0</v>
      </c>
      <c r="AQ78" s="178">
        <f t="shared" si="54"/>
        <v>0</v>
      </c>
      <c r="AR78" s="178">
        <f t="shared" si="54"/>
        <v>0</v>
      </c>
      <c r="AS78" s="179">
        <f t="shared" si="54"/>
        <v>0</v>
      </c>
      <c r="AT78" s="178">
        <f t="shared" si="54"/>
        <v>0</v>
      </c>
      <c r="AU78" s="178">
        <f t="shared" si="54"/>
        <v>0</v>
      </c>
      <c r="AV78" s="178">
        <f t="shared" si="54"/>
        <v>0</v>
      </c>
      <c r="AW78" s="179">
        <f t="shared" si="54"/>
        <v>0</v>
      </c>
      <c r="AX78" s="178">
        <f t="shared" si="51"/>
        <v>0</v>
      </c>
      <c r="AY78" s="178">
        <f t="shared" si="52"/>
        <v>0</v>
      </c>
      <c r="AZ78" s="179">
        <f t="shared" si="53"/>
        <v>0</v>
      </c>
      <c r="BA78" s="184">
        <f t="shared" si="21"/>
        <v>0</v>
      </c>
      <c r="BB78" s="178">
        <f t="shared" si="21"/>
        <v>0</v>
      </c>
      <c r="BC78" s="184">
        <f t="shared" si="21"/>
        <v>0</v>
      </c>
      <c r="BD78" s="178">
        <f t="shared" si="21"/>
        <v>0</v>
      </c>
      <c r="BE78" s="244">
        <f t="shared" si="4"/>
        <v>0</v>
      </c>
      <c r="BF78" s="245">
        <f t="shared" si="22"/>
        <v>0</v>
      </c>
      <c r="BH78" s="255">
        <f t="shared" si="55"/>
        <v>0</v>
      </c>
      <c r="BI78" s="255">
        <f t="shared" si="56"/>
        <v>0</v>
      </c>
      <c r="BJ78" s="255">
        <f t="shared" si="57"/>
        <v>0</v>
      </c>
      <c r="BK78" s="256">
        <f t="shared" si="58"/>
        <v>0</v>
      </c>
      <c r="BL78" s="262">
        <f t="shared" si="59"/>
        <v>0</v>
      </c>
      <c r="BM78" s="257">
        <f t="shared" si="6"/>
        <v>0</v>
      </c>
      <c r="BO78" s="714" t="str">
        <f t="shared" si="0"/>
        <v/>
      </c>
    </row>
    <row r="79" spans="2:67" ht="15" customHeight="1" x14ac:dyDescent="0.25">
      <c r="B79" s="19">
        <f>B77+1</f>
        <v>7</v>
      </c>
      <c r="C79" s="833" t="s">
        <v>553</v>
      </c>
      <c r="D79" s="45"/>
      <c r="E79" s="835" t="s">
        <v>104</v>
      </c>
      <c r="G79" s="477">
        <f>'[15]DUoS (t)'!G77</f>
        <v>41.0959</v>
      </c>
      <c r="H79" s="479"/>
      <c r="I79" s="483">
        <f>'[15]DUoS (t)'!I77</f>
        <v>2.3900000000000001E-2</v>
      </c>
      <c r="J79" s="461"/>
      <c r="K79" s="484">
        <f>'[15]DUoS (t)'!K77</f>
        <v>1.49E-2</v>
      </c>
      <c r="L79" s="461"/>
      <c r="M79" s="461"/>
      <c r="N79" s="461"/>
      <c r="O79" s="462"/>
      <c r="P79" s="461"/>
      <c r="Q79" s="461"/>
      <c r="R79" s="462"/>
      <c r="S79" s="478">
        <f>'[15]DUoS (t)'!S77</f>
        <v>0.1065</v>
      </c>
      <c r="T79" s="483">
        <f>'[15]DUoS (t)'!T77</f>
        <v>0.1036</v>
      </c>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1"/>
        <v>0</v>
      </c>
      <c r="AP79" s="184">
        <f t="shared" si="54"/>
        <v>0</v>
      </c>
      <c r="AQ79" s="178">
        <f t="shared" si="54"/>
        <v>0</v>
      </c>
      <c r="AR79" s="178">
        <f t="shared" si="54"/>
        <v>0</v>
      </c>
      <c r="AS79" s="179">
        <f t="shared" si="54"/>
        <v>0</v>
      </c>
      <c r="AT79" s="178">
        <f t="shared" si="54"/>
        <v>0</v>
      </c>
      <c r="AU79" s="178">
        <f t="shared" si="54"/>
        <v>0</v>
      </c>
      <c r="AV79" s="178">
        <f t="shared" si="54"/>
        <v>0</v>
      </c>
      <c r="AW79" s="179">
        <f t="shared" si="54"/>
        <v>0</v>
      </c>
      <c r="AX79" s="178">
        <f t="shared" si="51"/>
        <v>0</v>
      </c>
      <c r="AY79" s="178">
        <f t="shared" si="52"/>
        <v>0</v>
      </c>
      <c r="AZ79" s="179">
        <f t="shared" si="53"/>
        <v>0</v>
      </c>
      <c r="BA79" s="184">
        <f t="shared" si="21"/>
        <v>0</v>
      </c>
      <c r="BB79" s="178">
        <f t="shared" si="21"/>
        <v>0</v>
      </c>
      <c r="BC79" s="184">
        <f t="shared" si="21"/>
        <v>0</v>
      </c>
      <c r="BD79" s="178">
        <f t="shared" si="21"/>
        <v>0</v>
      </c>
      <c r="BE79" s="244">
        <f t="shared" si="4"/>
        <v>0</v>
      </c>
      <c r="BF79" s="245">
        <f t="shared" si="22"/>
        <v>0</v>
      </c>
      <c r="BH79" s="255">
        <f t="shared" si="55"/>
        <v>0</v>
      </c>
      <c r="BI79" s="255">
        <f t="shared" si="56"/>
        <v>0</v>
      </c>
      <c r="BJ79" s="255">
        <f t="shared" si="57"/>
        <v>0</v>
      </c>
      <c r="BK79" s="256">
        <f t="shared" si="58"/>
        <v>0</v>
      </c>
      <c r="BL79" s="262">
        <f t="shared" si="59"/>
        <v>0</v>
      </c>
      <c r="BM79" s="257">
        <f t="shared" si="6"/>
        <v>0</v>
      </c>
      <c r="BO79" s="714" t="str">
        <f t="shared" si="0"/>
        <v/>
      </c>
    </row>
    <row r="80" spans="2:67" ht="15" customHeight="1" x14ac:dyDescent="0.25">
      <c r="B80" s="19">
        <f t="shared" ref="B80:B93" si="60">B79+1</f>
        <v>8</v>
      </c>
      <c r="C80" s="833" t="s">
        <v>554</v>
      </c>
      <c r="D80" s="45"/>
      <c r="E80" s="835" t="s">
        <v>104</v>
      </c>
      <c r="G80" s="477">
        <f>'[15]DUoS (t)'!G78</f>
        <v>41.0959</v>
      </c>
      <c r="H80" s="479"/>
      <c r="I80" s="483">
        <f>'[15]DUoS (t)'!I78</f>
        <v>2.3900000000000001E-2</v>
      </c>
      <c r="J80" s="461"/>
      <c r="K80" s="484">
        <f>'[15]DUoS (t)'!K78</f>
        <v>1.49E-2</v>
      </c>
      <c r="L80" s="461"/>
      <c r="M80" s="461"/>
      <c r="N80" s="461"/>
      <c r="O80" s="462"/>
      <c r="P80" s="461"/>
      <c r="Q80" s="461"/>
      <c r="R80" s="462"/>
      <c r="S80" s="478">
        <f>'[15]DUoS (t)'!S78</f>
        <v>0.1065</v>
      </c>
      <c r="T80" s="483">
        <f>'[15]DUoS (t)'!T78</f>
        <v>0.1036</v>
      </c>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si="1"/>
        <v>0</v>
      </c>
      <c r="AP80" s="184">
        <f t="shared" si="54"/>
        <v>0</v>
      </c>
      <c r="AQ80" s="178">
        <f t="shared" si="54"/>
        <v>0</v>
      </c>
      <c r="AR80" s="178">
        <f t="shared" si="54"/>
        <v>0</v>
      </c>
      <c r="AS80" s="179">
        <f t="shared" si="54"/>
        <v>0</v>
      </c>
      <c r="AT80" s="178">
        <f t="shared" si="54"/>
        <v>0</v>
      </c>
      <c r="AU80" s="178">
        <f t="shared" si="54"/>
        <v>0</v>
      </c>
      <c r="AV80" s="178">
        <f t="shared" si="54"/>
        <v>0</v>
      </c>
      <c r="AW80" s="179">
        <f t="shared" si="54"/>
        <v>0</v>
      </c>
      <c r="AX80" s="178">
        <f t="shared" si="51"/>
        <v>0</v>
      </c>
      <c r="AY80" s="178">
        <f t="shared" si="52"/>
        <v>0</v>
      </c>
      <c r="AZ80" s="179">
        <f t="shared" si="53"/>
        <v>0</v>
      </c>
      <c r="BA80" s="184">
        <f t="shared" si="21"/>
        <v>0</v>
      </c>
      <c r="BB80" s="178">
        <f t="shared" si="21"/>
        <v>0</v>
      </c>
      <c r="BC80" s="184">
        <f t="shared" si="21"/>
        <v>0</v>
      </c>
      <c r="BD80" s="178">
        <f t="shared" si="21"/>
        <v>0</v>
      </c>
      <c r="BE80" s="244">
        <f t="shared" si="4"/>
        <v>0</v>
      </c>
      <c r="BF80" s="245">
        <f t="shared" ref="BF80:BF111" si="61">SUM(Y80:AF80)</f>
        <v>0</v>
      </c>
      <c r="BH80" s="255">
        <f t="shared" si="55"/>
        <v>0</v>
      </c>
      <c r="BI80" s="255">
        <f t="shared" si="56"/>
        <v>0</v>
      </c>
      <c r="BJ80" s="255">
        <f t="shared" si="57"/>
        <v>0</v>
      </c>
      <c r="BK80" s="256">
        <f t="shared" si="58"/>
        <v>0</v>
      </c>
      <c r="BL80" s="262">
        <f t="shared" si="59"/>
        <v>0</v>
      </c>
      <c r="BM80" s="257">
        <f t="shared" ref="BM80:BM129" si="62">SUM(BH80:BL80)</f>
        <v>0</v>
      </c>
      <c r="BO80" s="714" t="str">
        <f t="shared" si="0"/>
        <v/>
      </c>
    </row>
    <row r="81" spans="2:67" ht="15" customHeight="1" x14ac:dyDescent="0.25">
      <c r="B81" s="19">
        <f t="shared" si="60"/>
        <v>9</v>
      </c>
      <c r="C81" s="44" t="s">
        <v>566</v>
      </c>
      <c r="D81" s="45"/>
      <c r="E81" s="105" t="s">
        <v>104</v>
      </c>
      <c r="G81" s="477">
        <f>'[15]DUoS (t)'!G79</f>
        <v>123.2877</v>
      </c>
      <c r="H81" s="479"/>
      <c r="I81" s="483">
        <f>'[15]DUoS (t)'!I79</f>
        <v>2.3900000000000001E-2</v>
      </c>
      <c r="J81" s="461"/>
      <c r="K81" s="484">
        <f>'[15]DUoS (t)'!K79</f>
        <v>1.49E-2</v>
      </c>
      <c r="L81" s="461"/>
      <c r="M81" s="461"/>
      <c r="N81" s="461"/>
      <c r="O81" s="462"/>
      <c r="P81" s="461"/>
      <c r="Q81" s="461"/>
      <c r="R81" s="462"/>
      <c r="S81" s="478">
        <f>'[15]DUoS (t)'!S79</f>
        <v>0.1065</v>
      </c>
      <c r="T81" s="483">
        <f>'[15]DUoS (t)'!T79</f>
        <v>0.1036</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ref="AO81:AO129" si="63">G81*X81/1000</f>
        <v>45.000010500000002</v>
      </c>
      <c r="AP81" s="184">
        <f t="shared" si="54"/>
        <v>0</v>
      </c>
      <c r="AQ81" s="178">
        <f t="shared" si="54"/>
        <v>152.482</v>
      </c>
      <c r="AR81" s="178">
        <f t="shared" si="54"/>
        <v>0</v>
      </c>
      <c r="AS81" s="179">
        <f t="shared" si="54"/>
        <v>206.84180000000001</v>
      </c>
      <c r="AT81" s="178">
        <f t="shared" si="54"/>
        <v>0</v>
      </c>
      <c r="AU81" s="178">
        <f t="shared" si="54"/>
        <v>0</v>
      </c>
      <c r="AV81" s="178">
        <f t="shared" si="54"/>
        <v>0</v>
      </c>
      <c r="AW81" s="179">
        <f t="shared" si="54"/>
        <v>0</v>
      </c>
      <c r="AX81" s="178">
        <f t="shared" si="51"/>
        <v>0</v>
      </c>
      <c r="AY81" s="178">
        <f t="shared" si="52"/>
        <v>0</v>
      </c>
      <c r="AZ81" s="179">
        <f t="shared" si="53"/>
        <v>0</v>
      </c>
      <c r="BA81" s="184">
        <f t="shared" si="21"/>
        <v>54.991630000000008</v>
      </c>
      <c r="BB81" s="178">
        <f t="shared" si="21"/>
        <v>215.88012599999999</v>
      </c>
      <c r="BC81" s="184">
        <f t="shared" si="21"/>
        <v>0</v>
      </c>
      <c r="BD81" s="178">
        <f t="shared" si="21"/>
        <v>0</v>
      </c>
      <c r="BE81" s="244">
        <f t="shared" ref="BE81:BE129" si="64">X81/$BE$7</f>
        <v>1</v>
      </c>
      <c r="BF81" s="245">
        <f t="shared" si="61"/>
        <v>20262</v>
      </c>
      <c r="BH81" s="255">
        <f t="shared" si="55"/>
        <v>45.000010500000002</v>
      </c>
      <c r="BI81" s="255">
        <f t="shared" si="56"/>
        <v>359.32380000000001</v>
      </c>
      <c r="BJ81" s="255">
        <f t="shared" si="57"/>
        <v>0</v>
      </c>
      <c r="BK81" s="256">
        <f t="shared" si="58"/>
        <v>270.871756</v>
      </c>
      <c r="BL81" s="262">
        <f t="shared" si="59"/>
        <v>0</v>
      </c>
      <c r="BM81" s="257">
        <f>SUM(BH81:BL81)</f>
        <v>675.19556650000004</v>
      </c>
      <c r="BO81" s="714">
        <f t="shared" ref="BO81:BO129" si="65">IF(BF81=0,"",BM81*1000/BF81)</f>
        <v>33.32324383081631</v>
      </c>
    </row>
    <row r="82" spans="2:67" ht="15" customHeight="1" x14ac:dyDescent="0.25">
      <c r="B82" s="19">
        <f t="shared" si="60"/>
        <v>10</v>
      </c>
      <c r="C82" s="833" t="s">
        <v>555</v>
      </c>
      <c r="D82" s="45"/>
      <c r="E82" s="835" t="s">
        <v>104</v>
      </c>
      <c r="G82" s="477">
        <f>'[15]DUoS (t)'!G80</f>
        <v>41.0959</v>
      </c>
      <c r="H82" s="479"/>
      <c r="I82" s="483">
        <f>'[15]DUoS (t)'!I80</f>
        <v>2.3900000000000001E-2</v>
      </c>
      <c r="J82" s="461"/>
      <c r="K82" s="484">
        <f>'[15]DUoS (t)'!K80</f>
        <v>1.49E-2</v>
      </c>
      <c r="L82" s="461"/>
      <c r="M82" s="461"/>
      <c r="N82" s="461"/>
      <c r="O82" s="462"/>
      <c r="P82" s="461"/>
      <c r="Q82" s="461"/>
      <c r="R82" s="462"/>
      <c r="S82" s="478">
        <f>'[15]DUoS (t)'!S80</f>
        <v>0.1065</v>
      </c>
      <c r="T82" s="483">
        <f>'[15]DUoS (t)'!T80</f>
        <v>0.1036</v>
      </c>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63"/>
        <v>0</v>
      </c>
      <c r="AP82" s="184">
        <f t="shared" si="54"/>
        <v>0</v>
      </c>
      <c r="AQ82" s="178">
        <f t="shared" si="54"/>
        <v>0</v>
      </c>
      <c r="AR82" s="178">
        <f t="shared" si="54"/>
        <v>0</v>
      </c>
      <c r="AS82" s="179">
        <f t="shared" si="54"/>
        <v>0</v>
      </c>
      <c r="AT82" s="178">
        <f t="shared" si="54"/>
        <v>0</v>
      </c>
      <c r="AU82" s="178">
        <f t="shared" si="54"/>
        <v>0</v>
      </c>
      <c r="AV82" s="178">
        <f t="shared" si="54"/>
        <v>0</v>
      </c>
      <c r="AW82" s="179">
        <f t="shared" si="54"/>
        <v>0</v>
      </c>
      <c r="AX82" s="178">
        <f t="shared" si="51"/>
        <v>0</v>
      </c>
      <c r="AY82" s="178">
        <f t="shared" si="52"/>
        <v>0</v>
      </c>
      <c r="AZ82" s="179">
        <f t="shared" si="53"/>
        <v>0</v>
      </c>
      <c r="BA82" s="184">
        <f t="shared" si="21"/>
        <v>0</v>
      </c>
      <c r="BB82" s="178">
        <f t="shared" si="21"/>
        <v>0</v>
      </c>
      <c r="BC82" s="184">
        <f t="shared" si="21"/>
        <v>0</v>
      </c>
      <c r="BD82" s="178">
        <f t="shared" si="21"/>
        <v>0</v>
      </c>
      <c r="BE82" s="244">
        <f t="shared" si="64"/>
        <v>0</v>
      </c>
      <c r="BF82" s="245">
        <f t="shared" si="61"/>
        <v>0</v>
      </c>
      <c r="BH82" s="255">
        <f t="shared" si="55"/>
        <v>0</v>
      </c>
      <c r="BI82" s="255">
        <f t="shared" si="56"/>
        <v>0</v>
      </c>
      <c r="BJ82" s="255">
        <f t="shared" si="57"/>
        <v>0</v>
      </c>
      <c r="BK82" s="256">
        <f t="shared" si="58"/>
        <v>0</v>
      </c>
      <c r="BL82" s="262">
        <f t="shared" si="59"/>
        <v>0</v>
      </c>
      <c r="BM82" s="257">
        <f>SUM(BH82:BL82)</f>
        <v>0</v>
      </c>
      <c r="BO82" s="714" t="str">
        <f t="shared" si="65"/>
        <v/>
      </c>
    </row>
    <row r="83" spans="2:67" ht="15" customHeight="1" x14ac:dyDescent="0.25">
      <c r="B83" s="19">
        <f t="shared" si="60"/>
        <v>11</v>
      </c>
      <c r="C83" s="833" t="s">
        <v>556</v>
      </c>
      <c r="D83" s="45"/>
      <c r="E83" s="835" t="s">
        <v>104</v>
      </c>
      <c r="G83" s="477">
        <f>'[15]DUoS (t)'!G81</f>
        <v>41.0959</v>
      </c>
      <c r="H83" s="479"/>
      <c r="I83" s="483">
        <f>'[15]DUoS (t)'!I81</f>
        <v>2.3900000000000001E-2</v>
      </c>
      <c r="J83" s="461"/>
      <c r="K83" s="484">
        <f>'[15]DUoS (t)'!K81</f>
        <v>1.49E-2</v>
      </c>
      <c r="L83" s="461"/>
      <c r="M83" s="461"/>
      <c r="N83" s="461"/>
      <c r="O83" s="462"/>
      <c r="P83" s="461"/>
      <c r="Q83" s="461"/>
      <c r="R83" s="462"/>
      <c r="S83" s="478">
        <f>'[15]DUoS (t)'!S81</f>
        <v>0.1065</v>
      </c>
      <c r="T83" s="483">
        <f>'[15]DUoS (t)'!T81</f>
        <v>0.1036</v>
      </c>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63"/>
        <v>0</v>
      </c>
      <c r="AP83" s="184">
        <f t="shared" si="54"/>
        <v>0</v>
      </c>
      <c r="AQ83" s="178">
        <f t="shared" si="54"/>
        <v>0</v>
      </c>
      <c r="AR83" s="178">
        <f t="shared" si="54"/>
        <v>0</v>
      </c>
      <c r="AS83" s="179">
        <f t="shared" si="54"/>
        <v>0</v>
      </c>
      <c r="AT83" s="178">
        <f t="shared" si="54"/>
        <v>0</v>
      </c>
      <c r="AU83" s="178">
        <f t="shared" si="54"/>
        <v>0</v>
      </c>
      <c r="AV83" s="178">
        <f t="shared" si="54"/>
        <v>0</v>
      </c>
      <c r="AW83" s="179">
        <f t="shared" si="54"/>
        <v>0</v>
      </c>
      <c r="AX83" s="178">
        <f t="shared" si="51"/>
        <v>0</v>
      </c>
      <c r="AY83" s="178">
        <f t="shared" si="52"/>
        <v>0</v>
      </c>
      <c r="AZ83" s="179">
        <f t="shared" si="53"/>
        <v>0</v>
      </c>
      <c r="BA83" s="184">
        <f t="shared" si="21"/>
        <v>0</v>
      </c>
      <c r="BB83" s="178">
        <f t="shared" si="21"/>
        <v>0</v>
      </c>
      <c r="BC83" s="184">
        <f t="shared" si="21"/>
        <v>0</v>
      </c>
      <c r="BD83" s="178">
        <f t="shared" si="21"/>
        <v>0</v>
      </c>
      <c r="BE83" s="244">
        <f t="shared" si="64"/>
        <v>0</v>
      </c>
      <c r="BF83" s="245">
        <f t="shared" si="61"/>
        <v>0</v>
      </c>
      <c r="BH83" s="255">
        <f t="shared" si="55"/>
        <v>0</v>
      </c>
      <c r="BI83" s="255">
        <f t="shared" si="56"/>
        <v>0</v>
      </c>
      <c r="BJ83" s="255">
        <f t="shared" si="57"/>
        <v>0</v>
      </c>
      <c r="BK83" s="256">
        <f t="shared" si="58"/>
        <v>0</v>
      </c>
      <c r="BL83" s="262">
        <f t="shared" si="59"/>
        <v>0</v>
      </c>
      <c r="BM83" s="257">
        <f>SUM(BH83:BL83)</f>
        <v>0</v>
      </c>
      <c r="BO83" s="714" t="str">
        <f t="shared" si="65"/>
        <v/>
      </c>
    </row>
    <row r="84" spans="2:67" ht="15" customHeight="1" x14ac:dyDescent="0.25">
      <c r="B84" s="19">
        <f t="shared" si="60"/>
        <v>12</v>
      </c>
      <c r="C84" s="833" t="s">
        <v>557</v>
      </c>
      <c r="D84" s="45"/>
      <c r="E84" s="835" t="s">
        <v>104</v>
      </c>
      <c r="G84" s="477">
        <f>'[15]DUoS (t)'!G82</f>
        <v>41.0959</v>
      </c>
      <c r="H84" s="479"/>
      <c r="I84" s="483">
        <f>'[15]DUoS (t)'!I82</f>
        <v>2.3900000000000001E-2</v>
      </c>
      <c r="J84" s="461"/>
      <c r="K84" s="484">
        <f>'[15]DUoS (t)'!K82</f>
        <v>1.49E-2</v>
      </c>
      <c r="L84" s="461"/>
      <c r="M84" s="461"/>
      <c r="N84" s="461"/>
      <c r="O84" s="462"/>
      <c r="P84" s="461"/>
      <c r="Q84" s="461"/>
      <c r="R84" s="462"/>
      <c r="S84" s="478">
        <f>'[15]DUoS (t)'!S82</f>
        <v>0.1065</v>
      </c>
      <c r="T84" s="483">
        <f>'[15]DUoS (t)'!T82</f>
        <v>0.1036</v>
      </c>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63"/>
        <v>0</v>
      </c>
      <c r="AP84" s="184">
        <f t="shared" si="54"/>
        <v>0</v>
      </c>
      <c r="AQ84" s="178">
        <f t="shared" si="54"/>
        <v>0</v>
      </c>
      <c r="AR84" s="178">
        <f t="shared" si="54"/>
        <v>0</v>
      </c>
      <c r="AS84" s="179">
        <f t="shared" si="54"/>
        <v>0</v>
      </c>
      <c r="AT84" s="178">
        <f t="shared" si="54"/>
        <v>0</v>
      </c>
      <c r="AU84" s="178">
        <f t="shared" si="54"/>
        <v>0</v>
      </c>
      <c r="AV84" s="178">
        <f t="shared" si="54"/>
        <v>0</v>
      </c>
      <c r="AW84" s="179">
        <f t="shared" si="54"/>
        <v>0</v>
      </c>
      <c r="AX84" s="178">
        <f t="shared" si="51"/>
        <v>0</v>
      </c>
      <c r="AY84" s="178">
        <f t="shared" si="52"/>
        <v>0</v>
      </c>
      <c r="AZ84" s="179">
        <f t="shared" si="53"/>
        <v>0</v>
      </c>
      <c r="BA84" s="184">
        <f t="shared" si="21"/>
        <v>0</v>
      </c>
      <c r="BB84" s="178">
        <f t="shared" si="21"/>
        <v>0</v>
      </c>
      <c r="BC84" s="184">
        <f t="shared" si="21"/>
        <v>0</v>
      </c>
      <c r="BD84" s="178">
        <f t="shared" si="21"/>
        <v>0</v>
      </c>
      <c r="BE84" s="244">
        <f t="shared" si="64"/>
        <v>0</v>
      </c>
      <c r="BF84" s="245">
        <f t="shared" si="61"/>
        <v>0</v>
      </c>
      <c r="BH84" s="255">
        <f t="shared" si="55"/>
        <v>0</v>
      </c>
      <c r="BI84" s="255">
        <f t="shared" si="56"/>
        <v>0</v>
      </c>
      <c r="BJ84" s="255">
        <f t="shared" si="57"/>
        <v>0</v>
      </c>
      <c r="BK84" s="256">
        <f t="shared" si="58"/>
        <v>0</v>
      </c>
      <c r="BL84" s="262">
        <f t="shared" si="59"/>
        <v>0</v>
      </c>
      <c r="BM84" s="257">
        <f t="shared" si="62"/>
        <v>0</v>
      </c>
      <c r="BO84" s="714" t="str">
        <f t="shared" si="65"/>
        <v/>
      </c>
    </row>
    <row r="85" spans="2:67" ht="15" customHeight="1" x14ac:dyDescent="0.25">
      <c r="B85" s="19">
        <f t="shared" si="60"/>
        <v>13</v>
      </c>
      <c r="C85" s="44" t="s">
        <v>558</v>
      </c>
      <c r="D85" s="45"/>
      <c r="E85" s="105" t="s">
        <v>104</v>
      </c>
      <c r="G85" s="477">
        <f>'[15]DUoS (t)'!G83</f>
        <v>41.0959</v>
      </c>
      <c r="H85" s="479"/>
      <c r="I85" s="483">
        <f>'[15]DUoS (t)'!I83</f>
        <v>2.3900000000000001E-2</v>
      </c>
      <c r="J85" s="461"/>
      <c r="K85" s="484">
        <f>'[15]DUoS (t)'!K83</f>
        <v>1.49E-2</v>
      </c>
      <c r="L85" s="461"/>
      <c r="M85" s="461"/>
      <c r="N85" s="461"/>
      <c r="O85" s="462"/>
      <c r="P85" s="461"/>
      <c r="Q85" s="461"/>
      <c r="R85" s="462"/>
      <c r="S85" s="478">
        <f>'[15]DUoS (t)'!S83</f>
        <v>0.1065</v>
      </c>
      <c r="T85" s="483">
        <f>'[15]DUoS (t)'!T83</f>
        <v>0.1036</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63"/>
        <v>15.0000035</v>
      </c>
      <c r="AP85" s="184">
        <f t="shared" si="54"/>
        <v>0</v>
      </c>
      <c r="AQ85" s="178">
        <f t="shared" si="54"/>
        <v>272.46000000000004</v>
      </c>
      <c r="AR85" s="178">
        <f t="shared" si="54"/>
        <v>0</v>
      </c>
      <c r="AS85" s="179">
        <f t="shared" si="54"/>
        <v>169.86</v>
      </c>
      <c r="AT85" s="178">
        <f t="shared" si="54"/>
        <v>0</v>
      </c>
      <c r="AU85" s="178">
        <f t="shared" si="54"/>
        <v>0</v>
      </c>
      <c r="AV85" s="178">
        <f t="shared" si="54"/>
        <v>0</v>
      </c>
      <c r="AW85" s="179">
        <f t="shared" si="54"/>
        <v>0</v>
      </c>
      <c r="AX85" s="178">
        <f t="shared" si="51"/>
        <v>0</v>
      </c>
      <c r="AY85" s="178">
        <f t="shared" si="52"/>
        <v>0</v>
      </c>
      <c r="AZ85" s="179">
        <f t="shared" si="53"/>
        <v>0</v>
      </c>
      <c r="BA85" s="184">
        <f t="shared" si="21"/>
        <v>167.4238575</v>
      </c>
      <c r="BB85" s="178">
        <f t="shared" si="21"/>
        <v>172.772166</v>
      </c>
      <c r="BC85" s="184">
        <f t="shared" si="21"/>
        <v>0</v>
      </c>
      <c r="BD85" s="178">
        <f t="shared" si="21"/>
        <v>0</v>
      </c>
      <c r="BE85" s="244">
        <f t="shared" si="64"/>
        <v>1</v>
      </c>
      <c r="BF85" s="245">
        <f t="shared" si="61"/>
        <v>22800</v>
      </c>
      <c r="BH85" s="255">
        <f t="shared" si="55"/>
        <v>15.0000035</v>
      </c>
      <c r="BI85" s="255">
        <f t="shared" si="56"/>
        <v>442.32000000000005</v>
      </c>
      <c r="BJ85" s="255">
        <f t="shared" si="57"/>
        <v>0</v>
      </c>
      <c r="BK85" s="256">
        <f t="shared" si="58"/>
        <v>340.19602350000002</v>
      </c>
      <c r="BL85" s="262">
        <f t="shared" si="59"/>
        <v>0</v>
      </c>
      <c r="BM85" s="257">
        <f t="shared" si="62"/>
        <v>797.51602700000012</v>
      </c>
      <c r="BO85" s="714">
        <f t="shared" si="65"/>
        <v>34.978773114035093</v>
      </c>
    </row>
    <row r="86" spans="2:67" ht="15" customHeight="1" x14ac:dyDescent="0.25">
      <c r="B86" s="19">
        <f t="shared" si="60"/>
        <v>14</v>
      </c>
      <c r="C86" s="44" t="s">
        <v>631</v>
      </c>
      <c r="D86" s="45"/>
      <c r="E86" s="105" t="s">
        <v>104</v>
      </c>
      <c r="G86" s="477">
        <f>'[15]DUoS (t)'!G84</f>
        <v>391.32590000000005</v>
      </c>
      <c r="H86" s="479"/>
      <c r="I86" s="483">
        <f>'[15]DUoS (t)'!I84</f>
        <v>2.3900000000000001E-2</v>
      </c>
      <c r="J86" s="461"/>
      <c r="K86" s="484">
        <f>'[15]DUoS (t)'!K84</f>
        <v>1.49E-2</v>
      </c>
      <c r="L86" s="461"/>
      <c r="M86" s="461"/>
      <c r="N86" s="461"/>
      <c r="O86" s="462"/>
      <c r="P86" s="461"/>
      <c r="Q86" s="461"/>
      <c r="R86" s="462"/>
      <c r="S86" s="478">
        <f>'[15]DUoS (t)'!S84</f>
        <v>0.1065</v>
      </c>
      <c r="T86" s="483">
        <f>'[15]DUoS (t)'!T84</f>
        <v>0.1036</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 t="shared" si="63"/>
        <v>142.83395350000001</v>
      </c>
      <c r="AP86" s="184">
        <f t="shared" ref="AP86:AW101" si="66">H86*Y86</f>
        <v>0</v>
      </c>
      <c r="AQ86" s="178">
        <f t="shared" si="66"/>
        <v>248.56</v>
      </c>
      <c r="AR86" s="178">
        <f t="shared" si="66"/>
        <v>0</v>
      </c>
      <c r="AS86" s="179">
        <f t="shared" si="66"/>
        <v>143.04</v>
      </c>
      <c r="AT86" s="178">
        <f t="shared" si="66"/>
        <v>0</v>
      </c>
      <c r="AU86" s="178">
        <f t="shared" si="66"/>
        <v>0</v>
      </c>
      <c r="AV86" s="178">
        <f t="shared" si="66"/>
        <v>0</v>
      </c>
      <c r="AW86" s="179">
        <f t="shared" si="66"/>
        <v>0</v>
      </c>
      <c r="AX86" s="178">
        <f t="shared" si="51"/>
        <v>0</v>
      </c>
      <c r="AY86" s="178">
        <f t="shared" si="52"/>
        <v>0</v>
      </c>
      <c r="AZ86" s="179">
        <f t="shared" si="53"/>
        <v>0</v>
      </c>
      <c r="BA86" s="184">
        <f t="shared" si="21"/>
        <v>158.4831825</v>
      </c>
      <c r="BB86" s="178">
        <f t="shared" si="21"/>
        <v>182.98194599999999</v>
      </c>
      <c r="BC86" s="184">
        <f t="shared" si="21"/>
        <v>0</v>
      </c>
      <c r="BD86" s="178">
        <f t="shared" si="21"/>
        <v>0</v>
      </c>
      <c r="BE86" s="244">
        <f t="shared" si="64"/>
        <v>1</v>
      </c>
      <c r="BF86" s="245">
        <f t="shared" si="61"/>
        <v>20000</v>
      </c>
      <c r="BH86" s="255">
        <f>SUM(AO86)</f>
        <v>142.83395350000001</v>
      </c>
      <c r="BI86" s="255">
        <f>SUM(AP86:AS86)</f>
        <v>391.6</v>
      </c>
      <c r="BJ86" s="255">
        <f>SUM(AT86:AW86)</f>
        <v>0</v>
      </c>
      <c r="BK86" s="256">
        <f>SUM(AX86:BB86)</f>
        <v>341.46512849999999</v>
      </c>
      <c r="BL86" s="262">
        <f>SUM(BC86:BD86)</f>
        <v>0</v>
      </c>
      <c r="BM86" s="257">
        <f t="shared" si="62"/>
        <v>875.89908200000002</v>
      </c>
      <c r="BO86" s="714">
        <f t="shared" si="65"/>
        <v>43.794954100000005</v>
      </c>
    </row>
    <row r="87" spans="2:67" ht="15" customHeight="1" x14ac:dyDescent="0.25">
      <c r="B87" s="19">
        <f t="shared" si="60"/>
        <v>15</v>
      </c>
      <c r="C87" s="833" t="s">
        <v>559</v>
      </c>
      <c r="D87" s="45"/>
      <c r="E87" s="835" t="s">
        <v>104</v>
      </c>
      <c r="G87" s="477">
        <f>'[15]DUoS (t)'!G85</f>
        <v>41.0959</v>
      </c>
      <c r="H87" s="479"/>
      <c r="I87" s="483">
        <f>'[15]DUoS (t)'!I85</f>
        <v>2.3900000000000001E-2</v>
      </c>
      <c r="J87" s="461"/>
      <c r="K87" s="484">
        <f>'[15]DUoS (t)'!K85</f>
        <v>1.49E-2</v>
      </c>
      <c r="L87" s="461"/>
      <c r="M87" s="461"/>
      <c r="N87" s="461"/>
      <c r="O87" s="462"/>
      <c r="P87" s="461"/>
      <c r="Q87" s="461"/>
      <c r="R87" s="462"/>
      <c r="S87" s="478">
        <f>'[15]DUoS (t)'!S85</f>
        <v>0.1065</v>
      </c>
      <c r="T87" s="483">
        <f>'[15]DUoS (t)'!T85</f>
        <v>0.1036</v>
      </c>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63"/>
        <v>0</v>
      </c>
      <c r="AP87" s="184">
        <f t="shared" si="66"/>
        <v>0</v>
      </c>
      <c r="AQ87" s="178">
        <f t="shared" si="66"/>
        <v>0</v>
      </c>
      <c r="AR87" s="178">
        <f t="shared" si="66"/>
        <v>0</v>
      </c>
      <c r="AS87" s="179">
        <f t="shared" si="66"/>
        <v>0</v>
      </c>
      <c r="AT87" s="178">
        <f t="shared" si="66"/>
        <v>0</v>
      </c>
      <c r="AU87" s="178">
        <f t="shared" si="66"/>
        <v>0</v>
      </c>
      <c r="AV87" s="178">
        <f t="shared" si="66"/>
        <v>0</v>
      </c>
      <c r="AW87" s="179">
        <f t="shared" si="66"/>
        <v>0</v>
      </c>
      <c r="AX87" s="178">
        <f t="shared" si="51"/>
        <v>0</v>
      </c>
      <c r="AY87" s="178">
        <f t="shared" si="52"/>
        <v>0</v>
      </c>
      <c r="AZ87" s="179">
        <f t="shared" si="53"/>
        <v>0</v>
      </c>
      <c r="BA87" s="184">
        <f t="shared" si="21"/>
        <v>0</v>
      </c>
      <c r="BB87" s="178">
        <f t="shared" si="21"/>
        <v>0</v>
      </c>
      <c r="BC87" s="184">
        <f t="shared" si="21"/>
        <v>0</v>
      </c>
      <c r="BD87" s="178">
        <f t="shared" si="21"/>
        <v>0</v>
      </c>
      <c r="BE87" s="244">
        <f t="shared" si="64"/>
        <v>0</v>
      </c>
      <c r="BF87" s="245">
        <f t="shared" si="61"/>
        <v>0</v>
      </c>
      <c r="BH87" s="255">
        <f t="shared" si="55"/>
        <v>0</v>
      </c>
      <c r="BI87" s="255">
        <f t="shared" si="56"/>
        <v>0</v>
      </c>
      <c r="BJ87" s="255">
        <f t="shared" si="57"/>
        <v>0</v>
      </c>
      <c r="BK87" s="256">
        <f t="shared" si="58"/>
        <v>0</v>
      </c>
      <c r="BL87" s="262">
        <f t="shared" si="59"/>
        <v>0</v>
      </c>
      <c r="BM87" s="257">
        <f t="shared" si="62"/>
        <v>0</v>
      </c>
      <c r="BO87" s="714" t="str">
        <f t="shared" si="65"/>
        <v/>
      </c>
    </row>
    <row r="88" spans="2:67" ht="15" customHeight="1" x14ac:dyDescent="0.25">
      <c r="B88" s="19">
        <f t="shared" si="60"/>
        <v>16</v>
      </c>
      <c r="C88" s="785"/>
      <c r="D88" s="772"/>
      <c r="E88" s="836"/>
      <c r="G88" s="482"/>
      <c r="H88" s="479"/>
      <c r="I88" s="461"/>
      <c r="J88" s="461"/>
      <c r="K88" s="462"/>
      <c r="L88" s="461"/>
      <c r="M88" s="461"/>
      <c r="N88" s="461"/>
      <c r="O88" s="462"/>
      <c r="P88" s="461"/>
      <c r="Q88" s="461"/>
      <c r="R88" s="462"/>
      <c r="S88" s="479"/>
      <c r="T88" s="461"/>
      <c r="U88" s="479"/>
      <c r="V88" s="462"/>
      <c r="X88" s="183"/>
      <c r="Y88" s="184"/>
      <c r="Z88" s="178"/>
      <c r="AA88" s="178"/>
      <c r="AB88" s="179"/>
      <c r="AC88" s="178"/>
      <c r="AD88" s="178"/>
      <c r="AE88" s="178"/>
      <c r="AF88" s="179"/>
      <c r="AG88" s="178"/>
      <c r="AH88" s="178"/>
      <c r="AI88" s="179"/>
      <c r="AJ88" s="184"/>
      <c r="AK88" s="178"/>
      <c r="AL88" s="184"/>
      <c r="AM88" s="179"/>
      <c r="AO88" s="183">
        <f t="shared" si="63"/>
        <v>0</v>
      </c>
      <c r="AP88" s="184">
        <f t="shared" si="66"/>
        <v>0</v>
      </c>
      <c r="AQ88" s="178">
        <f t="shared" si="66"/>
        <v>0</v>
      </c>
      <c r="AR88" s="178">
        <f t="shared" si="66"/>
        <v>0</v>
      </c>
      <c r="AS88" s="179">
        <f t="shared" si="66"/>
        <v>0</v>
      </c>
      <c r="AT88" s="178">
        <f t="shared" si="66"/>
        <v>0</v>
      </c>
      <c r="AU88" s="178">
        <f t="shared" si="66"/>
        <v>0</v>
      </c>
      <c r="AV88" s="178">
        <f t="shared" si="66"/>
        <v>0</v>
      </c>
      <c r="AW88" s="179">
        <f t="shared" si="66"/>
        <v>0</v>
      </c>
      <c r="AX88" s="178">
        <f t="shared" si="51"/>
        <v>0</v>
      </c>
      <c r="AY88" s="178">
        <f t="shared" si="52"/>
        <v>0</v>
      </c>
      <c r="AZ88" s="179">
        <f t="shared" si="53"/>
        <v>0</v>
      </c>
      <c r="BA88" s="184">
        <f t="shared" si="21"/>
        <v>0</v>
      </c>
      <c r="BB88" s="178">
        <f t="shared" si="21"/>
        <v>0</v>
      </c>
      <c r="BC88" s="184">
        <f t="shared" si="21"/>
        <v>0</v>
      </c>
      <c r="BD88" s="178">
        <f t="shared" si="21"/>
        <v>0</v>
      </c>
      <c r="BE88" s="244">
        <f t="shared" si="64"/>
        <v>0</v>
      </c>
      <c r="BF88" s="245">
        <f t="shared" si="61"/>
        <v>0</v>
      </c>
      <c r="BH88" s="255">
        <f t="shared" si="55"/>
        <v>0</v>
      </c>
      <c r="BI88" s="255">
        <f t="shared" si="56"/>
        <v>0</v>
      </c>
      <c r="BJ88" s="255">
        <f t="shared" si="57"/>
        <v>0</v>
      </c>
      <c r="BK88" s="256">
        <f t="shared" si="58"/>
        <v>0</v>
      </c>
      <c r="BL88" s="262">
        <f t="shared" si="59"/>
        <v>0</v>
      </c>
      <c r="BM88" s="257">
        <f t="shared" si="62"/>
        <v>0</v>
      </c>
      <c r="BO88" s="714" t="str">
        <f t="shared" si="65"/>
        <v/>
      </c>
    </row>
    <row r="89" spans="2:67" ht="15" customHeight="1" x14ac:dyDescent="0.25">
      <c r="B89" s="19">
        <f t="shared" si="60"/>
        <v>17</v>
      </c>
      <c r="C89" s="785"/>
      <c r="D89" s="772"/>
      <c r="E89" s="836"/>
      <c r="G89" s="482"/>
      <c r="H89" s="479"/>
      <c r="I89" s="461"/>
      <c r="J89" s="461"/>
      <c r="K89" s="462"/>
      <c r="L89" s="461"/>
      <c r="M89" s="461"/>
      <c r="N89" s="461"/>
      <c r="O89" s="462"/>
      <c r="P89" s="461"/>
      <c r="Q89" s="461"/>
      <c r="R89" s="462"/>
      <c r="S89" s="479"/>
      <c r="T89" s="461"/>
      <c r="U89" s="479"/>
      <c r="V89" s="462"/>
      <c r="X89" s="183"/>
      <c r="Y89" s="184"/>
      <c r="Z89" s="178"/>
      <c r="AA89" s="178"/>
      <c r="AB89" s="179"/>
      <c r="AC89" s="178"/>
      <c r="AD89" s="178"/>
      <c r="AE89" s="178"/>
      <c r="AF89" s="179"/>
      <c r="AG89" s="178"/>
      <c r="AH89" s="178"/>
      <c r="AI89" s="179"/>
      <c r="AJ89" s="184"/>
      <c r="AK89" s="178"/>
      <c r="AL89" s="184"/>
      <c r="AM89" s="179"/>
      <c r="AO89" s="183">
        <f t="shared" si="63"/>
        <v>0</v>
      </c>
      <c r="AP89" s="184">
        <f t="shared" si="66"/>
        <v>0</v>
      </c>
      <c r="AQ89" s="178">
        <f t="shared" si="66"/>
        <v>0</v>
      </c>
      <c r="AR89" s="178">
        <f t="shared" si="66"/>
        <v>0</v>
      </c>
      <c r="AS89" s="179">
        <f t="shared" si="66"/>
        <v>0</v>
      </c>
      <c r="AT89" s="178">
        <f t="shared" si="66"/>
        <v>0</v>
      </c>
      <c r="AU89" s="178">
        <f t="shared" si="66"/>
        <v>0</v>
      </c>
      <c r="AV89" s="178">
        <f t="shared" si="66"/>
        <v>0</v>
      </c>
      <c r="AW89" s="179">
        <f t="shared" si="66"/>
        <v>0</v>
      </c>
      <c r="AX89" s="178">
        <f t="shared" si="51"/>
        <v>0</v>
      </c>
      <c r="AY89" s="178">
        <f t="shared" si="52"/>
        <v>0</v>
      </c>
      <c r="AZ89" s="179">
        <f t="shared" si="53"/>
        <v>0</v>
      </c>
      <c r="BA89" s="184">
        <f t="shared" si="21"/>
        <v>0</v>
      </c>
      <c r="BB89" s="178">
        <f t="shared" si="21"/>
        <v>0</v>
      </c>
      <c r="BC89" s="184">
        <f t="shared" si="21"/>
        <v>0</v>
      </c>
      <c r="BD89" s="178">
        <f t="shared" si="21"/>
        <v>0</v>
      </c>
      <c r="BE89" s="244">
        <f t="shared" si="64"/>
        <v>0</v>
      </c>
      <c r="BF89" s="245">
        <f t="shared" si="61"/>
        <v>0</v>
      </c>
      <c r="BH89" s="255">
        <f t="shared" si="55"/>
        <v>0</v>
      </c>
      <c r="BI89" s="255">
        <f t="shared" si="56"/>
        <v>0</v>
      </c>
      <c r="BJ89" s="255">
        <f t="shared" si="57"/>
        <v>0</v>
      </c>
      <c r="BK89" s="256">
        <f t="shared" si="58"/>
        <v>0</v>
      </c>
      <c r="BL89" s="262">
        <f t="shared" si="59"/>
        <v>0</v>
      </c>
      <c r="BM89" s="257">
        <f t="shared" si="62"/>
        <v>0</v>
      </c>
      <c r="BO89" s="714" t="str">
        <f t="shared" si="65"/>
        <v/>
      </c>
    </row>
    <row r="90" spans="2:67" ht="15" customHeight="1" x14ac:dyDescent="0.25">
      <c r="B90" s="19">
        <f t="shared" si="60"/>
        <v>18</v>
      </c>
      <c r="C90" s="785"/>
      <c r="D90" s="772"/>
      <c r="E90" s="836"/>
      <c r="G90" s="482"/>
      <c r="H90" s="479"/>
      <c r="I90" s="461"/>
      <c r="J90" s="461"/>
      <c r="K90" s="462"/>
      <c r="L90" s="461"/>
      <c r="M90" s="461"/>
      <c r="N90" s="461"/>
      <c r="O90" s="462"/>
      <c r="P90" s="461"/>
      <c r="Q90" s="461"/>
      <c r="R90" s="462"/>
      <c r="S90" s="479"/>
      <c r="T90" s="461"/>
      <c r="U90" s="479"/>
      <c r="V90" s="462"/>
      <c r="X90" s="183"/>
      <c r="Y90" s="184"/>
      <c r="Z90" s="178"/>
      <c r="AA90" s="178"/>
      <c r="AB90" s="179"/>
      <c r="AC90" s="178"/>
      <c r="AD90" s="178"/>
      <c r="AE90" s="178"/>
      <c r="AF90" s="179"/>
      <c r="AG90" s="178"/>
      <c r="AH90" s="178"/>
      <c r="AI90" s="179"/>
      <c r="AJ90" s="184"/>
      <c r="AK90" s="178"/>
      <c r="AL90" s="184"/>
      <c r="AM90" s="179"/>
      <c r="AO90" s="183">
        <f t="shared" si="63"/>
        <v>0</v>
      </c>
      <c r="AP90" s="184">
        <f t="shared" si="66"/>
        <v>0</v>
      </c>
      <c r="AQ90" s="178">
        <f t="shared" si="66"/>
        <v>0</v>
      </c>
      <c r="AR90" s="178">
        <f t="shared" si="66"/>
        <v>0</v>
      </c>
      <c r="AS90" s="179">
        <f t="shared" si="66"/>
        <v>0</v>
      </c>
      <c r="AT90" s="178">
        <f t="shared" si="66"/>
        <v>0</v>
      </c>
      <c r="AU90" s="178">
        <f t="shared" si="66"/>
        <v>0</v>
      </c>
      <c r="AV90" s="178">
        <f t="shared" si="66"/>
        <v>0</v>
      </c>
      <c r="AW90" s="179">
        <f t="shared" si="66"/>
        <v>0</v>
      </c>
      <c r="AX90" s="178">
        <f t="shared" si="51"/>
        <v>0</v>
      </c>
      <c r="AY90" s="178">
        <f t="shared" si="52"/>
        <v>0</v>
      </c>
      <c r="AZ90" s="179">
        <f t="shared" si="53"/>
        <v>0</v>
      </c>
      <c r="BA90" s="184">
        <f t="shared" si="21"/>
        <v>0</v>
      </c>
      <c r="BB90" s="178">
        <f t="shared" si="21"/>
        <v>0</v>
      </c>
      <c r="BC90" s="184">
        <f t="shared" si="21"/>
        <v>0</v>
      </c>
      <c r="BD90" s="178">
        <f t="shared" si="21"/>
        <v>0</v>
      </c>
      <c r="BE90" s="244">
        <f t="shared" si="64"/>
        <v>0</v>
      </c>
      <c r="BF90" s="245">
        <f t="shared" si="61"/>
        <v>0</v>
      </c>
      <c r="BH90" s="255">
        <f t="shared" si="55"/>
        <v>0</v>
      </c>
      <c r="BI90" s="255">
        <f t="shared" si="56"/>
        <v>0</v>
      </c>
      <c r="BJ90" s="255">
        <f t="shared" si="57"/>
        <v>0</v>
      </c>
      <c r="BK90" s="256">
        <f t="shared" si="58"/>
        <v>0</v>
      </c>
      <c r="BL90" s="262">
        <f t="shared" si="59"/>
        <v>0</v>
      </c>
      <c r="BM90" s="257">
        <f t="shared" si="62"/>
        <v>0</v>
      </c>
      <c r="BO90" s="714" t="str">
        <f t="shared" si="65"/>
        <v/>
      </c>
    </row>
    <row r="91" spans="2:67" ht="15" customHeight="1" x14ac:dyDescent="0.25">
      <c r="B91" s="19">
        <f t="shared" si="60"/>
        <v>19</v>
      </c>
      <c r="C91" s="785"/>
      <c r="D91" s="772"/>
      <c r="E91" s="836"/>
      <c r="G91" s="482"/>
      <c r="H91" s="479"/>
      <c r="I91" s="461"/>
      <c r="J91" s="461"/>
      <c r="K91" s="462"/>
      <c r="L91" s="461"/>
      <c r="M91" s="461"/>
      <c r="N91" s="461"/>
      <c r="O91" s="462"/>
      <c r="P91" s="461"/>
      <c r="Q91" s="461"/>
      <c r="R91" s="462"/>
      <c r="S91" s="479"/>
      <c r="T91" s="461"/>
      <c r="U91" s="479"/>
      <c r="V91" s="462"/>
      <c r="X91" s="183"/>
      <c r="Y91" s="184"/>
      <c r="Z91" s="178"/>
      <c r="AA91" s="178"/>
      <c r="AB91" s="179"/>
      <c r="AC91" s="178"/>
      <c r="AD91" s="178"/>
      <c r="AE91" s="178"/>
      <c r="AF91" s="179"/>
      <c r="AG91" s="178"/>
      <c r="AH91" s="178"/>
      <c r="AI91" s="179"/>
      <c r="AJ91" s="184"/>
      <c r="AK91" s="178"/>
      <c r="AL91" s="184"/>
      <c r="AM91" s="179"/>
      <c r="AO91" s="183">
        <f t="shared" si="63"/>
        <v>0</v>
      </c>
      <c r="AP91" s="184">
        <f t="shared" si="66"/>
        <v>0</v>
      </c>
      <c r="AQ91" s="178">
        <f t="shared" si="66"/>
        <v>0</v>
      </c>
      <c r="AR91" s="178">
        <f t="shared" si="66"/>
        <v>0</v>
      </c>
      <c r="AS91" s="179">
        <f t="shared" si="66"/>
        <v>0</v>
      </c>
      <c r="AT91" s="178">
        <f t="shared" si="66"/>
        <v>0</v>
      </c>
      <c r="AU91" s="178">
        <f t="shared" si="66"/>
        <v>0</v>
      </c>
      <c r="AV91" s="178">
        <f t="shared" si="66"/>
        <v>0</v>
      </c>
      <c r="AW91" s="179">
        <f t="shared" si="66"/>
        <v>0</v>
      </c>
      <c r="AX91" s="178">
        <f t="shared" si="51"/>
        <v>0</v>
      </c>
      <c r="AY91" s="178">
        <f t="shared" si="52"/>
        <v>0</v>
      </c>
      <c r="AZ91" s="179">
        <f t="shared" si="53"/>
        <v>0</v>
      </c>
      <c r="BA91" s="184">
        <f t="shared" si="21"/>
        <v>0</v>
      </c>
      <c r="BB91" s="178">
        <f t="shared" si="21"/>
        <v>0</v>
      </c>
      <c r="BC91" s="184">
        <f t="shared" si="21"/>
        <v>0</v>
      </c>
      <c r="BD91" s="178">
        <f t="shared" si="21"/>
        <v>0</v>
      </c>
      <c r="BE91" s="244">
        <f t="shared" si="64"/>
        <v>0</v>
      </c>
      <c r="BF91" s="245">
        <f t="shared" si="61"/>
        <v>0</v>
      </c>
      <c r="BH91" s="255">
        <f t="shared" si="55"/>
        <v>0</v>
      </c>
      <c r="BI91" s="255">
        <f t="shared" si="56"/>
        <v>0</v>
      </c>
      <c r="BJ91" s="255">
        <f t="shared" si="57"/>
        <v>0</v>
      </c>
      <c r="BK91" s="256">
        <f t="shared" si="58"/>
        <v>0</v>
      </c>
      <c r="BL91" s="262">
        <f t="shared" si="59"/>
        <v>0</v>
      </c>
      <c r="BM91" s="257">
        <f t="shared" si="62"/>
        <v>0</v>
      </c>
      <c r="BO91" s="714" t="str">
        <f t="shared" si="65"/>
        <v/>
      </c>
    </row>
    <row r="92" spans="2:67" ht="15" customHeight="1" x14ac:dyDescent="0.25">
      <c r="B92" s="19">
        <f t="shared" si="60"/>
        <v>20</v>
      </c>
      <c r="C92" s="785"/>
      <c r="D92" s="772"/>
      <c r="E92" s="836"/>
      <c r="G92" s="482"/>
      <c r="H92" s="479"/>
      <c r="I92" s="461"/>
      <c r="J92" s="461"/>
      <c r="K92" s="462"/>
      <c r="L92" s="461"/>
      <c r="M92" s="461"/>
      <c r="N92" s="461"/>
      <c r="O92" s="462"/>
      <c r="P92" s="461"/>
      <c r="Q92" s="461"/>
      <c r="R92" s="462"/>
      <c r="S92" s="479"/>
      <c r="T92" s="461"/>
      <c r="U92" s="479"/>
      <c r="V92" s="462"/>
      <c r="X92" s="183"/>
      <c r="Y92" s="184"/>
      <c r="Z92" s="178"/>
      <c r="AA92" s="178"/>
      <c r="AB92" s="179"/>
      <c r="AC92" s="178"/>
      <c r="AD92" s="178"/>
      <c r="AE92" s="178"/>
      <c r="AF92" s="179"/>
      <c r="AG92" s="178"/>
      <c r="AH92" s="178"/>
      <c r="AI92" s="179"/>
      <c r="AJ92" s="184"/>
      <c r="AK92" s="178"/>
      <c r="AL92" s="184"/>
      <c r="AM92" s="179"/>
      <c r="AO92" s="183">
        <f t="shared" si="63"/>
        <v>0</v>
      </c>
      <c r="AP92" s="184">
        <f t="shared" si="66"/>
        <v>0</v>
      </c>
      <c r="AQ92" s="178">
        <f t="shared" si="66"/>
        <v>0</v>
      </c>
      <c r="AR92" s="178">
        <f t="shared" si="66"/>
        <v>0</v>
      </c>
      <c r="AS92" s="179">
        <f t="shared" si="66"/>
        <v>0</v>
      </c>
      <c r="AT92" s="178">
        <f t="shared" si="66"/>
        <v>0</v>
      </c>
      <c r="AU92" s="178">
        <f t="shared" si="66"/>
        <v>0</v>
      </c>
      <c r="AV92" s="178">
        <f t="shared" si="66"/>
        <v>0</v>
      </c>
      <c r="AW92" s="179">
        <f t="shared" si="66"/>
        <v>0</v>
      </c>
      <c r="AX92" s="178">
        <f t="shared" si="51"/>
        <v>0</v>
      </c>
      <c r="AY92" s="178">
        <f t="shared" si="52"/>
        <v>0</v>
      </c>
      <c r="AZ92" s="179">
        <f t="shared" si="53"/>
        <v>0</v>
      </c>
      <c r="BA92" s="184">
        <f t="shared" si="21"/>
        <v>0</v>
      </c>
      <c r="BB92" s="178">
        <f t="shared" si="21"/>
        <v>0</v>
      </c>
      <c r="BC92" s="184">
        <f t="shared" si="21"/>
        <v>0</v>
      </c>
      <c r="BD92" s="178">
        <f t="shared" si="21"/>
        <v>0</v>
      </c>
      <c r="BE92" s="244">
        <f t="shared" si="64"/>
        <v>0</v>
      </c>
      <c r="BF92" s="245">
        <f t="shared" si="61"/>
        <v>0</v>
      </c>
      <c r="BH92" s="255">
        <f t="shared" si="55"/>
        <v>0</v>
      </c>
      <c r="BI92" s="255">
        <f t="shared" si="56"/>
        <v>0</v>
      </c>
      <c r="BJ92" s="255">
        <f t="shared" si="57"/>
        <v>0</v>
      </c>
      <c r="BK92" s="256">
        <f t="shared" si="58"/>
        <v>0</v>
      </c>
      <c r="BL92" s="262">
        <f t="shared" si="59"/>
        <v>0</v>
      </c>
      <c r="BM92" s="257">
        <f t="shared" si="62"/>
        <v>0</v>
      </c>
      <c r="BO92" s="714" t="str">
        <f t="shared" si="65"/>
        <v/>
      </c>
    </row>
    <row r="93" spans="2:67" ht="15" customHeight="1" x14ac:dyDescent="0.25">
      <c r="B93" s="26">
        <f t="shared" si="60"/>
        <v>21</v>
      </c>
      <c r="C93" s="837"/>
      <c r="D93" s="778"/>
      <c r="E93" s="838"/>
      <c r="G93" s="498"/>
      <c r="H93" s="491"/>
      <c r="I93" s="487"/>
      <c r="J93" s="487"/>
      <c r="K93" s="488"/>
      <c r="L93" s="487"/>
      <c r="M93" s="487"/>
      <c r="N93" s="487"/>
      <c r="O93" s="488"/>
      <c r="P93" s="487"/>
      <c r="Q93" s="487"/>
      <c r="R93" s="488"/>
      <c r="S93" s="491"/>
      <c r="T93" s="487"/>
      <c r="U93" s="491"/>
      <c r="V93" s="488"/>
      <c r="X93" s="190"/>
      <c r="Y93" s="197"/>
      <c r="Z93" s="192"/>
      <c r="AA93" s="192"/>
      <c r="AB93" s="193"/>
      <c r="AC93" s="192"/>
      <c r="AD93" s="192"/>
      <c r="AE93" s="192"/>
      <c r="AF93" s="193"/>
      <c r="AG93" s="192"/>
      <c r="AH93" s="192"/>
      <c r="AI93" s="193"/>
      <c r="AJ93" s="197"/>
      <c r="AK93" s="192"/>
      <c r="AL93" s="197"/>
      <c r="AM93" s="193"/>
      <c r="AO93" s="190">
        <f t="shared" si="63"/>
        <v>0</v>
      </c>
      <c r="AP93" s="197">
        <f t="shared" si="66"/>
        <v>0</v>
      </c>
      <c r="AQ93" s="192">
        <f t="shared" si="66"/>
        <v>0</v>
      </c>
      <c r="AR93" s="192">
        <f t="shared" si="66"/>
        <v>0</v>
      </c>
      <c r="AS93" s="193">
        <f t="shared" si="66"/>
        <v>0</v>
      </c>
      <c r="AT93" s="192">
        <f t="shared" si="66"/>
        <v>0</v>
      </c>
      <c r="AU93" s="192">
        <f t="shared" si="66"/>
        <v>0</v>
      </c>
      <c r="AV93" s="192">
        <f t="shared" si="66"/>
        <v>0</v>
      </c>
      <c r="AW93" s="193">
        <f t="shared" si="66"/>
        <v>0</v>
      </c>
      <c r="AX93" s="192">
        <f t="shared" si="51"/>
        <v>0</v>
      </c>
      <c r="AY93" s="192">
        <f t="shared" si="52"/>
        <v>0</v>
      </c>
      <c r="AZ93" s="193">
        <f t="shared" si="53"/>
        <v>0</v>
      </c>
      <c r="BA93" s="197">
        <f t="shared" si="21"/>
        <v>0</v>
      </c>
      <c r="BB93" s="192">
        <f t="shared" si="21"/>
        <v>0</v>
      </c>
      <c r="BC93" s="197">
        <f t="shared" si="21"/>
        <v>0</v>
      </c>
      <c r="BD93" s="192">
        <f t="shared" si="21"/>
        <v>0</v>
      </c>
      <c r="BE93" s="246">
        <f t="shared" si="64"/>
        <v>0</v>
      </c>
      <c r="BF93" s="247">
        <f t="shared" si="61"/>
        <v>0</v>
      </c>
      <c r="BH93" s="255">
        <f>SUM(AO93)</f>
        <v>0</v>
      </c>
      <c r="BI93" s="255">
        <f>SUM(AP93:AS93)</f>
        <v>0</v>
      </c>
      <c r="BJ93" s="255">
        <f>SUM(AT93:AW93)</f>
        <v>0</v>
      </c>
      <c r="BK93" s="256">
        <f>SUM(AX93:BB93)</f>
        <v>0</v>
      </c>
      <c r="BL93" s="262">
        <f>SUM(BC93:BD93)</f>
        <v>0</v>
      </c>
      <c r="BM93" s="257">
        <f t="shared" si="62"/>
        <v>0</v>
      </c>
      <c r="BO93" s="714" t="str">
        <f t="shared" si="65"/>
        <v/>
      </c>
    </row>
    <row r="94" spans="2:67"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c r="Y94" s="184"/>
      <c r="Z94" s="178"/>
      <c r="AA94" s="178"/>
      <c r="AB94" s="179"/>
      <c r="AC94" s="178"/>
      <c r="AD94" s="178"/>
      <c r="AE94" s="178"/>
      <c r="AF94" s="179"/>
      <c r="AG94" s="178"/>
      <c r="AH94" s="178"/>
      <c r="AI94" s="179"/>
      <c r="AJ94" s="184"/>
      <c r="AK94" s="178"/>
      <c r="AL94" s="184"/>
      <c r="AM94" s="179"/>
      <c r="AO94" s="183">
        <f t="shared" si="63"/>
        <v>0</v>
      </c>
      <c r="AP94" s="184">
        <f t="shared" si="66"/>
        <v>0</v>
      </c>
      <c r="AQ94" s="178">
        <f t="shared" si="66"/>
        <v>0</v>
      </c>
      <c r="AR94" s="178">
        <f t="shared" si="66"/>
        <v>0</v>
      </c>
      <c r="AS94" s="179">
        <f t="shared" si="66"/>
        <v>0</v>
      </c>
      <c r="AT94" s="178">
        <f t="shared" si="66"/>
        <v>0</v>
      </c>
      <c r="AU94" s="178">
        <f t="shared" si="66"/>
        <v>0</v>
      </c>
      <c r="AV94" s="178">
        <f t="shared" si="66"/>
        <v>0</v>
      </c>
      <c r="AW94" s="179">
        <f t="shared" si="66"/>
        <v>0</v>
      </c>
      <c r="AX94" s="178">
        <f t="shared" si="51"/>
        <v>0</v>
      </c>
      <c r="AY94" s="178">
        <f t="shared" si="52"/>
        <v>0</v>
      </c>
      <c r="AZ94" s="179">
        <f t="shared" si="53"/>
        <v>0</v>
      </c>
      <c r="BA94" s="184">
        <f t="shared" si="21"/>
        <v>0</v>
      </c>
      <c r="BB94" s="178">
        <f t="shared" si="21"/>
        <v>0</v>
      </c>
      <c r="BC94" s="184">
        <f t="shared" si="21"/>
        <v>0</v>
      </c>
      <c r="BD94" s="178">
        <f t="shared" si="21"/>
        <v>0</v>
      </c>
      <c r="BE94" s="244">
        <f t="shared" si="64"/>
        <v>0</v>
      </c>
      <c r="BF94" s="245">
        <f t="shared" si="61"/>
        <v>0</v>
      </c>
      <c r="BH94" s="253">
        <f>SUBTOTAL(9,BH95:BH129)</f>
        <v>1204.1408035000002</v>
      </c>
      <c r="BI94" s="253">
        <f>SUBTOTAL(9,BI95:BI129)</f>
        <v>3508.1408000000006</v>
      </c>
      <c r="BJ94" s="253">
        <f>SUBTOTAL(9,BJ95:BJ129)</f>
        <v>0</v>
      </c>
      <c r="BK94" s="253">
        <f>SUBTOTAL(9,BK95:BK129)</f>
        <v>8304.4183515000004</v>
      </c>
      <c r="BL94" s="253">
        <f>SUBTOTAL(9,BL95:BL129)</f>
        <v>0</v>
      </c>
      <c r="BM94" s="257">
        <f t="shared" si="62"/>
        <v>13016.699955</v>
      </c>
      <c r="BO94" s="714" t="str">
        <f t="shared" si="65"/>
        <v/>
      </c>
    </row>
    <row r="95" spans="2:67"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c r="Y95" s="184"/>
      <c r="Z95" s="178"/>
      <c r="AA95" s="178"/>
      <c r="AB95" s="179"/>
      <c r="AC95" s="178"/>
      <c r="AD95" s="178"/>
      <c r="AE95" s="178"/>
      <c r="AF95" s="179"/>
      <c r="AG95" s="178"/>
      <c r="AH95" s="178"/>
      <c r="AI95" s="179"/>
      <c r="AJ95" s="184"/>
      <c r="AK95" s="178"/>
      <c r="AL95" s="184"/>
      <c r="AM95" s="179"/>
      <c r="AO95" s="183">
        <f t="shared" si="63"/>
        <v>0</v>
      </c>
      <c r="AP95" s="184">
        <f t="shared" si="66"/>
        <v>0</v>
      </c>
      <c r="AQ95" s="178">
        <f t="shared" si="66"/>
        <v>0</v>
      </c>
      <c r="AR95" s="178">
        <f t="shared" si="66"/>
        <v>0</v>
      </c>
      <c r="AS95" s="179">
        <f t="shared" si="66"/>
        <v>0</v>
      </c>
      <c r="AT95" s="178">
        <f t="shared" si="66"/>
        <v>0</v>
      </c>
      <c r="AU95" s="178">
        <f t="shared" si="66"/>
        <v>0</v>
      </c>
      <c r="AV95" s="178">
        <f t="shared" si="66"/>
        <v>0</v>
      </c>
      <c r="AW95" s="179">
        <f t="shared" si="66"/>
        <v>0</v>
      </c>
      <c r="AX95" s="178">
        <f t="shared" si="51"/>
        <v>0</v>
      </c>
      <c r="AY95" s="178">
        <f t="shared" si="52"/>
        <v>0</v>
      </c>
      <c r="AZ95" s="179">
        <f t="shared" si="53"/>
        <v>0</v>
      </c>
      <c r="BA95" s="184">
        <f t="shared" si="21"/>
        <v>0</v>
      </c>
      <c r="BB95" s="178">
        <f t="shared" si="21"/>
        <v>0</v>
      </c>
      <c r="BC95" s="184">
        <f t="shared" si="21"/>
        <v>0</v>
      </c>
      <c r="BD95" s="178">
        <f t="shared" si="21"/>
        <v>0</v>
      </c>
      <c r="BE95" s="244">
        <f t="shared" si="64"/>
        <v>0</v>
      </c>
      <c r="BF95" s="245">
        <f t="shared" si="61"/>
        <v>0</v>
      </c>
      <c r="BH95" s="252">
        <f>SUBTOTAL(9,BH96:BH103)</f>
        <v>643.46430350000014</v>
      </c>
      <c r="BI95" s="252">
        <f>SUBTOTAL(9,BI96:BI103)</f>
        <v>690.62480000000005</v>
      </c>
      <c r="BJ95" s="252">
        <f>SUBTOTAL(9,BJ96:BJ103)</f>
        <v>0</v>
      </c>
      <c r="BK95" s="252">
        <f>SUBTOTAL(9,BK96:BK103)</f>
        <v>1549.9136254999999</v>
      </c>
      <c r="BL95" s="252">
        <f>SUBTOTAL(9,BL96:BL103)</f>
        <v>0</v>
      </c>
      <c r="BM95" s="257">
        <f t="shared" si="62"/>
        <v>2884.0027289999998</v>
      </c>
      <c r="BO95" s="714" t="str">
        <f t="shared" si="65"/>
        <v/>
      </c>
    </row>
    <row r="96" spans="2:67" ht="15" customHeight="1" x14ac:dyDescent="0.25">
      <c r="B96" s="19">
        <v>1</v>
      </c>
      <c r="C96" s="44" t="s">
        <v>115</v>
      </c>
      <c r="D96" s="45"/>
      <c r="E96" s="105" t="s">
        <v>116</v>
      </c>
      <c r="G96" s="477">
        <f>'[15]DUoS (t)'!G94</f>
        <v>0</v>
      </c>
      <c r="H96" s="478">
        <f>'[15]DUoS (t)'!H94</f>
        <v>4.4000000000000003E-3</v>
      </c>
      <c r="I96" s="461"/>
      <c r="J96" s="461"/>
      <c r="K96" s="462"/>
      <c r="L96" s="461"/>
      <c r="M96" s="461"/>
      <c r="N96" s="461"/>
      <c r="O96" s="462"/>
      <c r="P96" s="461"/>
      <c r="Q96" s="461"/>
      <c r="R96" s="462"/>
      <c r="S96" s="478">
        <f>'[15]DUoS (t)'!S94</f>
        <v>4.1399999999999999E-2</v>
      </c>
      <c r="T96" s="483">
        <f>'[15]DUoS (t)'!T94</f>
        <v>7.3999999999999996E-2</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63"/>
        <v>0</v>
      </c>
      <c r="AP96" s="184">
        <f t="shared" si="66"/>
        <v>0</v>
      </c>
      <c r="AQ96" s="178">
        <f t="shared" si="66"/>
        <v>0</v>
      </c>
      <c r="AR96" s="178">
        <f t="shared" si="66"/>
        <v>0</v>
      </c>
      <c r="AS96" s="179">
        <f t="shared" si="66"/>
        <v>0</v>
      </c>
      <c r="AT96" s="178">
        <f t="shared" si="66"/>
        <v>0</v>
      </c>
      <c r="AU96" s="178">
        <f t="shared" si="66"/>
        <v>0</v>
      </c>
      <c r="AV96" s="178">
        <f t="shared" si="66"/>
        <v>0</v>
      </c>
      <c r="AW96" s="179">
        <f t="shared" si="66"/>
        <v>0</v>
      </c>
      <c r="AX96" s="178">
        <f t="shared" si="51"/>
        <v>0</v>
      </c>
      <c r="AY96" s="178">
        <f t="shared" si="52"/>
        <v>0</v>
      </c>
      <c r="AZ96" s="179">
        <f t="shared" si="53"/>
        <v>0</v>
      </c>
      <c r="BA96" s="184">
        <f t="shared" si="21"/>
        <v>0</v>
      </c>
      <c r="BB96" s="178">
        <f t="shared" si="21"/>
        <v>0</v>
      </c>
      <c r="BC96" s="184">
        <f t="shared" si="21"/>
        <v>0</v>
      </c>
      <c r="BD96" s="178">
        <f t="shared" si="21"/>
        <v>0</v>
      </c>
      <c r="BE96" s="244">
        <f t="shared" si="64"/>
        <v>0</v>
      </c>
      <c r="BF96" s="245">
        <f t="shared" si="61"/>
        <v>0</v>
      </c>
      <c r="BH96" s="255">
        <f t="shared" ref="BH96:BH103" si="67">SUM(AO96)</f>
        <v>0</v>
      </c>
      <c r="BI96" s="255">
        <f t="shared" ref="BI96:BI103" si="68">SUM(AP96:AS96)</f>
        <v>0</v>
      </c>
      <c r="BJ96" s="255">
        <f t="shared" ref="BJ96:BJ103" si="69">SUM(AT96:AW96)</f>
        <v>0</v>
      </c>
      <c r="BK96" s="256">
        <f t="shared" ref="BK96:BK103" si="70">SUM(AX96:BB96)</f>
        <v>0</v>
      </c>
      <c r="BL96" s="262">
        <f t="shared" ref="BL96:BL103" si="71">SUM(BC96:BD96)</f>
        <v>0</v>
      </c>
      <c r="BM96" s="257">
        <f t="shared" si="62"/>
        <v>0</v>
      </c>
      <c r="BO96" s="714" t="str">
        <f t="shared" si="65"/>
        <v/>
      </c>
    </row>
    <row r="97" spans="2:67" ht="15" customHeight="1" x14ac:dyDescent="0.25">
      <c r="B97" s="19">
        <f>1+B96</f>
        <v>2</v>
      </c>
      <c r="C97" s="44" t="s">
        <v>117</v>
      </c>
      <c r="D97" s="45"/>
      <c r="E97" s="105" t="s">
        <v>118</v>
      </c>
      <c r="G97" s="477">
        <f>'[15]DUoS (t)'!G95</f>
        <v>0</v>
      </c>
      <c r="H97" s="478">
        <f>'[15]DUoS (t)'!H95</f>
        <v>4.4000000000000003E-3</v>
      </c>
      <c r="I97" s="461"/>
      <c r="J97" s="461"/>
      <c r="K97" s="462"/>
      <c r="L97" s="461"/>
      <c r="M97" s="461"/>
      <c r="N97" s="461"/>
      <c r="O97" s="462"/>
      <c r="P97" s="461"/>
      <c r="Q97" s="461"/>
      <c r="R97" s="462"/>
      <c r="S97" s="478">
        <f>'[15]DUoS (t)'!S95</f>
        <v>4.1399999999999999E-2</v>
      </c>
      <c r="T97" s="483">
        <f>'[15]DUoS (t)'!T95</f>
        <v>7.3999999999999996E-2</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63"/>
        <v>0</v>
      </c>
      <c r="AP97" s="184">
        <f t="shared" si="66"/>
        <v>78.056000000000012</v>
      </c>
      <c r="AQ97" s="178">
        <f t="shared" si="66"/>
        <v>0</v>
      </c>
      <c r="AR97" s="178">
        <f t="shared" si="66"/>
        <v>0</v>
      </c>
      <c r="AS97" s="179">
        <f t="shared" si="66"/>
        <v>0</v>
      </c>
      <c r="AT97" s="178">
        <f t="shared" si="66"/>
        <v>0</v>
      </c>
      <c r="AU97" s="178">
        <f t="shared" si="66"/>
        <v>0</v>
      </c>
      <c r="AV97" s="178">
        <f t="shared" si="66"/>
        <v>0</v>
      </c>
      <c r="AW97" s="179">
        <f t="shared" si="66"/>
        <v>0</v>
      </c>
      <c r="AX97" s="178">
        <f t="shared" si="51"/>
        <v>0</v>
      </c>
      <c r="AY97" s="178">
        <f t="shared" si="52"/>
        <v>0</v>
      </c>
      <c r="AZ97" s="179">
        <f t="shared" si="53"/>
        <v>0</v>
      </c>
      <c r="BA97" s="184">
        <f t="shared" si="21"/>
        <v>58.842233999999998</v>
      </c>
      <c r="BB97" s="178">
        <f t="shared" si="21"/>
        <v>135.05000000000001</v>
      </c>
      <c r="BC97" s="184">
        <f t="shared" si="21"/>
        <v>0</v>
      </c>
      <c r="BD97" s="178">
        <f t="shared" si="21"/>
        <v>0</v>
      </c>
      <c r="BE97" s="244">
        <f t="shared" si="64"/>
        <v>1</v>
      </c>
      <c r="BF97" s="245">
        <f t="shared" si="61"/>
        <v>17740</v>
      </c>
      <c r="BH97" s="255">
        <f t="shared" si="67"/>
        <v>0</v>
      </c>
      <c r="BI97" s="255">
        <f t="shared" si="68"/>
        <v>78.056000000000012</v>
      </c>
      <c r="BJ97" s="255">
        <f t="shared" si="69"/>
        <v>0</v>
      </c>
      <c r="BK97" s="256">
        <f t="shared" si="70"/>
        <v>193.892234</v>
      </c>
      <c r="BL97" s="262">
        <f t="shared" si="71"/>
        <v>0</v>
      </c>
      <c r="BM97" s="257">
        <f t="shared" si="62"/>
        <v>271.94823400000001</v>
      </c>
      <c r="BO97" s="714">
        <f t="shared" si="65"/>
        <v>15.329663697857947</v>
      </c>
    </row>
    <row r="98" spans="2:67" ht="15" customHeight="1" x14ac:dyDescent="0.25">
      <c r="B98" s="19">
        <f t="shared" ref="B98:B129" si="72">B97+1</f>
        <v>3</v>
      </c>
      <c r="C98" s="44" t="s">
        <v>122</v>
      </c>
      <c r="D98" s="45"/>
      <c r="E98" s="105" t="s">
        <v>118</v>
      </c>
      <c r="G98" s="477">
        <f>'[15]DUoS (t)'!G96</f>
        <v>590.96</v>
      </c>
      <c r="H98" s="478">
        <f>'[15]DUoS (t)'!H96</f>
        <v>4.4000000000000003E-3</v>
      </c>
      <c r="I98" s="461"/>
      <c r="J98" s="461"/>
      <c r="K98" s="462"/>
      <c r="L98" s="461"/>
      <c r="M98" s="461"/>
      <c r="N98" s="461"/>
      <c r="O98" s="462"/>
      <c r="P98" s="461"/>
      <c r="Q98" s="461"/>
      <c r="R98" s="462"/>
      <c r="S98" s="478">
        <f>'[15]DUoS (t)'!S96</f>
        <v>4.1399999999999999E-2</v>
      </c>
      <c r="T98" s="483">
        <f>'[15]DUoS (t)'!T96</f>
        <v>7.3999999999999996E-2</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63"/>
        <v>215.70040000000003</v>
      </c>
      <c r="AP98" s="184">
        <f t="shared" si="66"/>
        <v>107.536</v>
      </c>
      <c r="AQ98" s="178">
        <f t="shared" si="66"/>
        <v>0</v>
      </c>
      <c r="AR98" s="178">
        <f t="shared" si="66"/>
        <v>0</v>
      </c>
      <c r="AS98" s="179">
        <f t="shared" si="66"/>
        <v>0</v>
      </c>
      <c r="AT98" s="178">
        <f t="shared" si="66"/>
        <v>0</v>
      </c>
      <c r="AU98" s="178">
        <f t="shared" si="66"/>
        <v>0</v>
      </c>
      <c r="AV98" s="178">
        <f t="shared" si="66"/>
        <v>0</v>
      </c>
      <c r="AW98" s="179">
        <f t="shared" si="66"/>
        <v>0</v>
      </c>
      <c r="AX98" s="178">
        <f t="shared" si="51"/>
        <v>0</v>
      </c>
      <c r="AY98" s="178">
        <f t="shared" si="52"/>
        <v>0</v>
      </c>
      <c r="AZ98" s="179">
        <f t="shared" si="53"/>
        <v>0</v>
      </c>
      <c r="BA98" s="184">
        <f t="shared" si="21"/>
        <v>60.851996999999997</v>
      </c>
      <c r="BB98" s="178">
        <f t="shared" si="21"/>
        <v>135.05000000000001</v>
      </c>
      <c r="BC98" s="184">
        <f t="shared" si="21"/>
        <v>0</v>
      </c>
      <c r="BD98" s="178">
        <f t="shared" si="21"/>
        <v>0</v>
      </c>
      <c r="BE98" s="244">
        <f>X98/$BE$7</f>
        <v>1</v>
      </c>
      <c r="BF98" s="245">
        <f t="shared" si="61"/>
        <v>24440</v>
      </c>
      <c r="BH98" s="255">
        <f t="shared" si="67"/>
        <v>215.70040000000003</v>
      </c>
      <c r="BI98" s="255">
        <f t="shared" si="68"/>
        <v>107.536</v>
      </c>
      <c r="BJ98" s="255">
        <f t="shared" si="69"/>
        <v>0</v>
      </c>
      <c r="BK98" s="256">
        <f t="shared" si="70"/>
        <v>195.90199699999999</v>
      </c>
      <c r="BL98" s="262">
        <f t="shared" si="71"/>
        <v>0</v>
      </c>
      <c r="BM98" s="257">
        <f>SUM(BH98:BL98)</f>
        <v>519.13839699999994</v>
      </c>
      <c r="BO98" s="714">
        <f t="shared" si="65"/>
        <v>21.241341939443533</v>
      </c>
    </row>
    <row r="99" spans="2:67" ht="15" customHeight="1" x14ac:dyDescent="0.25">
      <c r="B99" s="19">
        <f t="shared" si="72"/>
        <v>4</v>
      </c>
      <c r="C99" s="44" t="s">
        <v>123</v>
      </c>
      <c r="D99" s="45"/>
      <c r="E99" s="105" t="s">
        <v>118</v>
      </c>
      <c r="G99" s="477">
        <f>'[15]DUoS (t)'!G97</f>
        <v>0</v>
      </c>
      <c r="H99" s="478">
        <f>'[15]DUoS (t)'!H97</f>
        <v>4.4000000000000003E-3</v>
      </c>
      <c r="I99" s="461"/>
      <c r="J99" s="461"/>
      <c r="K99" s="462"/>
      <c r="L99" s="461"/>
      <c r="M99" s="461"/>
      <c r="N99" s="461"/>
      <c r="O99" s="462"/>
      <c r="P99" s="461"/>
      <c r="Q99" s="461"/>
      <c r="R99" s="462"/>
      <c r="S99" s="478">
        <f>'[15]DUoS (t)'!S97</f>
        <v>4.1399999999999999E-2</v>
      </c>
      <c r="T99" s="483">
        <f>'[15]DUoS (t)'!T97</f>
        <v>7.3999999999999996E-2</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63"/>
        <v>0</v>
      </c>
      <c r="AP99" s="184">
        <f t="shared" si="66"/>
        <v>50.072000000000003</v>
      </c>
      <c r="AQ99" s="178">
        <f t="shared" si="66"/>
        <v>0</v>
      </c>
      <c r="AR99" s="178">
        <f t="shared" si="66"/>
        <v>0</v>
      </c>
      <c r="AS99" s="179">
        <f t="shared" si="66"/>
        <v>0</v>
      </c>
      <c r="AT99" s="178">
        <f t="shared" si="66"/>
        <v>0</v>
      </c>
      <c r="AU99" s="178">
        <f t="shared" si="66"/>
        <v>0</v>
      </c>
      <c r="AV99" s="178">
        <f t="shared" si="66"/>
        <v>0</v>
      </c>
      <c r="AW99" s="179">
        <f t="shared" si="66"/>
        <v>0</v>
      </c>
      <c r="AX99" s="178">
        <f t="shared" ref="AX99:AX115" si="73">P99*AG99/1000</f>
        <v>0</v>
      </c>
      <c r="AY99" s="178">
        <f t="shared" ref="AY99:AY115" si="74">Q99*AH99/1000</f>
        <v>0</v>
      </c>
      <c r="AZ99" s="179">
        <f t="shared" ref="AZ99:AZ115" si="75">R99*AI99/1000</f>
        <v>0</v>
      </c>
      <c r="BA99" s="184">
        <f t="shared" si="21"/>
        <v>35.541072</v>
      </c>
      <c r="BB99" s="178">
        <f t="shared" si="21"/>
        <v>135.05000000000001</v>
      </c>
      <c r="BC99" s="184">
        <f t="shared" si="21"/>
        <v>0</v>
      </c>
      <c r="BD99" s="178">
        <f t="shared" si="21"/>
        <v>0</v>
      </c>
      <c r="BE99" s="244">
        <f>X99/$BE$7</f>
        <v>1</v>
      </c>
      <c r="BF99" s="245">
        <f t="shared" si="61"/>
        <v>11380</v>
      </c>
      <c r="BH99" s="255">
        <f t="shared" si="67"/>
        <v>0</v>
      </c>
      <c r="BI99" s="255">
        <f t="shared" si="68"/>
        <v>50.072000000000003</v>
      </c>
      <c r="BJ99" s="255">
        <f t="shared" si="69"/>
        <v>0</v>
      </c>
      <c r="BK99" s="256">
        <f t="shared" si="70"/>
        <v>170.591072</v>
      </c>
      <c r="BL99" s="262">
        <f t="shared" si="71"/>
        <v>0</v>
      </c>
      <c r="BM99" s="257">
        <f>SUM(BH99:BL99)</f>
        <v>220.663072</v>
      </c>
      <c r="BO99" s="714">
        <f t="shared" si="65"/>
        <v>19.390428119507906</v>
      </c>
    </row>
    <row r="100" spans="2:67" ht="15" customHeight="1" x14ac:dyDescent="0.25">
      <c r="B100" s="19">
        <f t="shared" si="72"/>
        <v>5</v>
      </c>
      <c r="C100" s="44" t="s">
        <v>119</v>
      </c>
      <c r="D100" s="45"/>
      <c r="E100" s="105" t="s">
        <v>118</v>
      </c>
      <c r="G100" s="477">
        <f>'[15]DUoS (t)'!G98</f>
        <v>835.62</v>
      </c>
      <c r="H100" s="478">
        <f>'[15]DUoS (t)'!H98</f>
        <v>4.4000000000000003E-3</v>
      </c>
      <c r="I100" s="461"/>
      <c r="J100" s="461"/>
      <c r="K100" s="462"/>
      <c r="L100" s="461"/>
      <c r="M100" s="461"/>
      <c r="N100" s="461"/>
      <c r="O100" s="462"/>
      <c r="P100" s="461"/>
      <c r="Q100" s="461"/>
      <c r="R100" s="462"/>
      <c r="S100" s="478">
        <f>'[15]DUoS (t)'!S98</f>
        <v>4.1399999999999999E-2</v>
      </c>
      <c r="T100" s="483">
        <f>'[15]DUoS (t)'!T98</f>
        <v>7.3999999999999996E-2</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63"/>
        <v>305.00130000000001</v>
      </c>
      <c r="AP100" s="184">
        <f t="shared" si="66"/>
        <v>110.13200000000001</v>
      </c>
      <c r="AQ100" s="178">
        <f t="shared" si="66"/>
        <v>0</v>
      </c>
      <c r="AR100" s="178">
        <f t="shared" si="66"/>
        <v>0</v>
      </c>
      <c r="AS100" s="179">
        <f t="shared" si="66"/>
        <v>0</v>
      </c>
      <c r="AT100" s="178">
        <f t="shared" si="66"/>
        <v>0</v>
      </c>
      <c r="AU100" s="178">
        <f t="shared" si="66"/>
        <v>0</v>
      </c>
      <c r="AV100" s="178">
        <f t="shared" si="66"/>
        <v>0</v>
      </c>
      <c r="AW100" s="179">
        <f t="shared" si="66"/>
        <v>0</v>
      </c>
      <c r="AX100" s="178">
        <f t="shared" si="73"/>
        <v>0</v>
      </c>
      <c r="AY100" s="178">
        <f t="shared" si="74"/>
        <v>0</v>
      </c>
      <c r="AZ100" s="179">
        <f t="shared" si="75"/>
        <v>0</v>
      </c>
      <c r="BA100" s="184">
        <f t="shared" si="21"/>
        <v>96.302402999999998</v>
      </c>
      <c r="BB100" s="178">
        <f t="shared" si="21"/>
        <v>189.63720999999998</v>
      </c>
      <c r="BC100" s="184">
        <f t="shared" si="21"/>
        <v>0</v>
      </c>
      <c r="BD100" s="178">
        <f t="shared" si="21"/>
        <v>0</v>
      </c>
      <c r="BE100" s="244">
        <f t="shared" si="64"/>
        <v>1</v>
      </c>
      <c r="BF100" s="245">
        <f t="shared" si="61"/>
        <v>25030</v>
      </c>
      <c r="BH100" s="255">
        <f t="shared" si="67"/>
        <v>305.00130000000001</v>
      </c>
      <c r="BI100" s="255">
        <f t="shared" si="68"/>
        <v>110.13200000000001</v>
      </c>
      <c r="BJ100" s="255">
        <f t="shared" si="69"/>
        <v>0</v>
      </c>
      <c r="BK100" s="256">
        <f t="shared" si="70"/>
        <v>285.93961300000001</v>
      </c>
      <c r="BL100" s="262">
        <f t="shared" si="71"/>
        <v>0</v>
      </c>
      <c r="BM100" s="257">
        <f t="shared" si="62"/>
        <v>701.07291299999997</v>
      </c>
      <c r="BO100" s="714">
        <f t="shared" si="65"/>
        <v>28.009305353575709</v>
      </c>
    </row>
    <row r="101" spans="2:67" ht="15" customHeight="1" x14ac:dyDescent="0.25">
      <c r="B101" s="19">
        <f t="shared" si="72"/>
        <v>6</v>
      </c>
      <c r="C101" s="44" t="s">
        <v>708</v>
      </c>
      <c r="D101" s="45"/>
      <c r="E101" s="105" t="s">
        <v>118</v>
      </c>
      <c r="G101" s="862">
        <f>G72</f>
        <v>41.0959</v>
      </c>
      <c r="H101" s="863">
        <f>I72/2+K72/2</f>
        <v>1.9400000000000001E-2</v>
      </c>
      <c r="I101" s="461"/>
      <c r="J101" s="461"/>
      <c r="K101" s="462"/>
      <c r="L101" s="461"/>
      <c r="M101" s="461"/>
      <c r="N101" s="461"/>
      <c r="O101" s="462"/>
      <c r="P101" s="461"/>
      <c r="Q101" s="461"/>
      <c r="R101" s="462"/>
      <c r="S101" s="863">
        <f>S72</f>
        <v>0.1065</v>
      </c>
      <c r="T101" s="851">
        <f>T72</f>
        <v>0.1036</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 t="shared" si="63"/>
        <v>15.0000035</v>
      </c>
      <c r="AP101" s="184">
        <f t="shared" si="66"/>
        <v>224.88480000000001</v>
      </c>
      <c r="AQ101" s="178">
        <f t="shared" si="66"/>
        <v>0</v>
      </c>
      <c r="AR101" s="178">
        <f t="shared" si="66"/>
        <v>0</v>
      </c>
      <c r="AS101" s="179">
        <f t="shared" si="66"/>
        <v>0</v>
      </c>
      <c r="AT101" s="178">
        <f t="shared" si="66"/>
        <v>0</v>
      </c>
      <c r="AU101" s="178">
        <f t="shared" si="66"/>
        <v>0</v>
      </c>
      <c r="AV101" s="178">
        <f t="shared" si="66"/>
        <v>0</v>
      </c>
      <c r="AW101" s="179">
        <f t="shared" si="66"/>
        <v>0</v>
      </c>
      <c r="AX101" s="178">
        <f t="shared" si="73"/>
        <v>0</v>
      </c>
      <c r="AY101" s="178">
        <f t="shared" si="74"/>
        <v>0</v>
      </c>
      <c r="AZ101" s="179">
        <f t="shared" si="75"/>
        <v>0</v>
      </c>
      <c r="BA101" s="184">
        <f t="shared" si="21"/>
        <v>116.8118625</v>
      </c>
      <c r="BB101" s="178">
        <f t="shared" si="21"/>
        <v>189.07</v>
      </c>
      <c r="BC101" s="184">
        <f t="shared" si="21"/>
        <v>0</v>
      </c>
      <c r="BD101" s="178">
        <f t="shared" si="21"/>
        <v>0</v>
      </c>
      <c r="BE101" s="244">
        <f t="shared" si="64"/>
        <v>1</v>
      </c>
      <c r="BF101" s="245">
        <f t="shared" si="61"/>
        <v>11592</v>
      </c>
      <c r="BH101" s="255">
        <f t="shared" si="67"/>
        <v>15.0000035</v>
      </c>
      <c r="BI101" s="255">
        <f t="shared" si="68"/>
        <v>224.88480000000001</v>
      </c>
      <c r="BJ101" s="255">
        <f t="shared" si="69"/>
        <v>0</v>
      </c>
      <c r="BK101" s="256">
        <f t="shared" si="70"/>
        <v>305.88186250000001</v>
      </c>
      <c r="BL101" s="262">
        <f t="shared" si="71"/>
        <v>0</v>
      </c>
      <c r="BM101" s="257">
        <f t="shared" si="62"/>
        <v>545.76666599999999</v>
      </c>
      <c r="BO101" s="714">
        <f t="shared" si="65"/>
        <v>47.081320393374739</v>
      </c>
    </row>
    <row r="102" spans="2:67" ht="15" customHeight="1" x14ac:dyDescent="0.25">
      <c r="B102" s="19">
        <f t="shared" si="72"/>
        <v>7</v>
      </c>
      <c r="C102" s="44" t="s">
        <v>120</v>
      </c>
      <c r="D102" s="45"/>
      <c r="E102" s="105" t="s">
        <v>118</v>
      </c>
      <c r="G102" s="477">
        <f>'[15]DUoS (t)'!G99</f>
        <v>0</v>
      </c>
      <c r="H102" s="478">
        <f>'[15]DUoS (t)'!H99</f>
        <v>4.4000000000000003E-3</v>
      </c>
      <c r="I102" s="461"/>
      <c r="J102" s="461"/>
      <c r="K102" s="462"/>
      <c r="L102" s="461"/>
      <c r="M102" s="461"/>
      <c r="N102" s="461"/>
      <c r="O102" s="462"/>
      <c r="P102" s="461"/>
      <c r="Q102" s="461"/>
      <c r="R102" s="462"/>
      <c r="S102" s="478">
        <f>'[15]DUoS (t)'!S99</f>
        <v>4.1399999999999999E-2</v>
      </c>
      <c r="T102" s="483">
        <f>'[15]DUoS (t)'!T99</f>
        <v>7.3999999999999996E-2</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63"/>
        <v>0</v>
      </c>
      <c r="AP102" s="184">
        <f t="shared" ref="AP102:AW122" si="76">H102*Y102</f>
        <v>13.024000000000001</v>
      </c>
      <c r="AQ102" s="178">
        <f t="shared" si="76"/>
        <v>0</v>
      </c>
      <c r="AR102" s="178">
        <f t="shared" si="76"/>
        <v>0</v>
      </c>
      <c r="AS102" s="179">
        <f t="shared" si="76"/>
        <v>0</v>
      </c>
      <c r="AT102" s="178">
        <f t="shared" si="76"/>
        <v>0</v>
      </c>
      <c r="AU102" s="178">
        <f t="shared" si="76"/>
        <v>0</v>
      </c>
      <c r="AV102" s="178">
        <f t="shared" si="76"/>
        <v>0</v>
      </c>
      <c r="AW102" s="179">
        <f t="shared" si="76"/>
        <v>0</v>
      </c>
      <c r="AX102" s="178">
        <f t="shared" si="73"/>
        <v>0</v>
      </c>
      <c r="AY102" s="178">
        <f t="shared" si="74"/>
        <v>0</v>
      </c>
      <c r="AZ102" s="179">
        <f t="shared" si="75"/>
        <v>0</v>
      </c>
      <c r="BA102" s="184">
        <f t="shared" si="21"/>
        <v>53.870714999999997</v>
      </c>
      <c r="BB102" s="178">
        <f t="shared" si="21"/>
        <v>142.72084000000001</v>
      </c>
      <c r="BC102" s="184">
        <f t="shared" si="21"/>
        <v>0</v>
      </c>
      <c r="BD102" s="178">
        <f t="shared" si="21"/>
        <v>0</v>
      </c>
      <c r="BE102" s="244">
        <f t="shared" si="64"/>
        <v>1</v>
      </c>
      <c r="BF102" s="245">
        <f t="shared" si="61"/>
        <v>2960</v>
      </c>
      <c r="BH102" s="255">
        <f t="shared" si="67"/>
        <v>0</v>
      </c>
      <c r="BI102" s="255">
        <f t="shared" si="68"/>
        <v>13.024000000000001</v>
      </c>
      <c r="BJ102" s="255">
        <f t="shared" si="69"/>
        <v>0</v>
      </c>
      <c r="BK102" s="256">
        <f t="shared" si="70"/>
        <v>196.591555</v>
      </c>
      <c r="BL102" s="262">
        <f t="shared" si="71"/>
        <v>0</v>
      </c>
      <c r="BM102" s="257">
        <f t="shared" si="62"/>
        <v>209.615555</v>
      </c>
      <c r="BO102" s="714">
        <f t="shared" si="65"/>
        <v>70.816065878378382</v>
      </c>
    </row>
    <row r="103" spans="2:67" ht="15" customHeight="1" x14ac:dyDescent="0.25">
      <c r="B103" s="19">
        <f t="shared" si="72"/>
        <v>8</v>
      </c>
      <c r="C103" s="44" t="s">
        <v>121</v>
      </c>
      <c r="D103" s="45"/>
      <c r="E103" s="105" t="s">
        <v>118</v>
      </c>
      <c r="G103" s="477">
        <f>'[15]DUoS (t)'!G100</f>
        <v>295.24</v>
      </c>
      <c r="H103" s="478">
        <f>'[15]DUoS (t)'!H100</f>
        <v>4.4000000000000003E-3</v>
      </c>
      <c r="I103" s="461"/>
      <c r="J103" s="461"/>
      <c r="K103" s="462"/>
      <c r="L103" s="461"/>
      <c r="M103" s="461"/>
      <c r="N103" s="461"/>
      <c r="O103" s="462"/>
      <c r="P103" s="461"/>
      <c r="Q103" s="461"/>
      <c r="R103" s="462"/>
      <c r="S103" s="478">
        <f>'[15]DUoS (t)'!S100</f>
        <v>4.1399999999999999E-2</v>
      </c>
      <c r="T103" s="483">
        <f>'[15]DUoS (t)'!T100</f>
        <v>7.3999999999999996E-2</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63"/>
        <v>107.76260000000001</v>
      </c>
      <c r="AP103" s="184">
        <f t="shared" si="76"/>
        <v>106.92</v>
      </c>
      <c r="AQ103" s="178">
        <f t="shared" si="76"/>
        <v>0</v>
      </c>
      <c r="AR103" s="178">
        <f t="shared" si="76"/>
        <v>0</v>
      </c>
      <c r="AS103" s="179">
        <f t="shared" si="76"/>
        <v>0</v>
      </c>
      <c r="AT103" s="178">
        <f t="shared" si="76"/>
        <v>0</v>
      </c>
      <c r="AU103" s="178">
        <f t="shared" si="76"/>
        <v>0</v>
      </c>
      <c r="AV103" s="178">
        <f t="shared" si="76"/>
        <v>0</v>
      </c>
      <c r="AW103" s="179">
        <f t="shared" si="76"/>
        <v>0</v>
      </c>
      <c r="AX103" s="178">
        <f t="shared" si="73"/>
        <v>0</v>
      </c>
      <c r="AY103" s="178">
        <f t="shared" si="74"/>
        <v>0</v>
      </c>
      <c r="AZ103" s="179">
        <f t="shared" si="75"/>
        <v>0</v>
      </c>
      <c r="BA103" s="184">
        <f t="shared" si="21"/>
        <v>66.065291999999999</v>
      </c>
      <c r="BB103" s="178">
        <f t="shared" si="21"/>
        <v>135.05000000000001</v>
      </c>
      <c r="BC103" s="184">
        <f t="shared" si="21"/>
        <v>0</v>
      </c>
      <c r="BD103" s="178">
        <f t="shared" si="21"/>
        <v>0</v>
      </c>
      <c r="BE103" s="244">
        <f t="shared" si="64"/>
        <v>1</v>
      </c>
      <c r="BF103" s="245">
        <f t="shared" si="61"/>
        <v>24300</v>
      </c>
      <c r="BH103" s="255">
        <f t="shared" si="67"/>
        <v>107.76260000000001</v>
      </c>
      <c r="BI103" s="255">
        <f t="shared" si="68"/>
        <v>106.92</v>
      </c>
      <c r="BJ103" s="255">
        <f t="shared" si="69"/>
        <v>0</v>
      </c>
      <c r="BK103" s="256">
        <f t="shared" si="70"/>
        <v>201.11529200000001</v>
      </c>
      <c r="BL103" s="262">
        <f t="shared" si="71"/>
        <v>0</v>
      </c>
      <c r="BM103" s="257">
        <f t="shared" si="62"/>
        <v>415.79789200000005</v>
      </c>
      <c r="BO103" s="714">
        <f t="shared" si="65"/>
        <v>17.111024362139919</v>
      </c>
    </row>
    <row r="104" spans="2:67"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63"/>
        <v>0</v>
      </c>
      <c r="AP104" s="184">
        <f t="shared" si="76"/>
        <v>0</v>
      </c>
      <c r="AQ104" s="178">
        <f t="shared" si="76"/>
        <v>0</v>
      </c>
      <c r="AR104" s="178">
        <f t="shared" si="76"/>
        <v>0</v>
      </c>
      <c r="AS104" s="179">
        <f t="shared" si="76"/>
        <v>0</v>
      </c>
      <c r="AT104" s="178">
        <f t="shared" si="76"/>
        <v>0</v>
      </c>
      <c r="AU104" s="178">
        <f t="shared" si="76"/>
        <v>0</v>
      </c>
      <c r="AV104" s="178">
        <f t="shared" si="76"/>
        <v>0</v>
      </c>
      <c r="AW104" s="179">
        <f t="shared" si="76"/>
        <v>0</v>
      </c>
      <c r="AX104" s="178">
        <f t="shared" si="73"/>
        <v>0</v>
      </c>
      <c r="AY104" s="178">
        <f t="shared" si="74"/>
        <v>0</v>
      </c>
      <c r="AZ104" s="179">
        <f t="shared" si="75"/>
        <v>0</v>
      </c>
      <c r="BA104" s="184">
        <f t="shared" si="21"/>
        <v>0</v>
      </c>
      <c r="BB104" s="178">
        <f t="shared" si="21"/>
        <v>0</v>
      </c>
      <c r="BC104" s="184">
        <f t="shared" si="21"/>
        <v>0</v>
      </c>
      <c r="BD104" s="178">
        <f t="shared" si="21"/>
        <v>0</v>
      </c>
      <c r="BE104" s="244">
        <f t="shared" si="64"/>
        <v>0</v>
      </c>
      <c r="BF104" s="245">
        <f t="shared" si="61"/>
        <v>0</v>
      </c>
      <c r="BH104" s="252">
        <f>SUBTOTAL(9,BH105:BH114)</f>
        <v>30.674600000000002</v>
      </c>
      <c r="BI104" s="252">
        <f>SUBTOTAL(9,BI105:BI114)</f>
        <v>1751.9479999999999</v>
      </c>
      <c r="BJ104" s="252">
        <f>SUBTOTAL(9,BJ105:BJ114)</f>
        <v>0</v>
      </c>
      <c r="BK104" s="252">
        <f>SUBTOTAL(9,BK105:BK114)</f>
        <v>3503.2521879999995</v>
      </c>
      <c r="BL104" s="252">
        <f>SUBTOTAL(9,BL105:BL114)</f>
        <v>0</v>
      </c>
      <c r="BM104" s="257">
        <f t="shared" si="62"/>
        <v>5285.8747879999992</v>
      </c>
      <c r="BO104" s="714" t="str">
        <f t="shared" si="65"/>
        <v/>
      </c>
    </row>
    <row r="105" spans="2:67" ht="15" customHeight="1" x14ac:dyDescent="0.25">
      <c r="B105" s="19">
        <f>B103+1</f>
        <v>9</v>
      </c>
      <c r="C105" s="44" t="s">
        <v>125</v>
      </c>
      <c r="D105" s="45"/>
      <c r="E105" s="105" t="s">
        <v>126</v>
      </c>
      <c r="G105" s="477">
        <f>'[15]DUoS (t)'!G102</f>
        <v>0</v>
      </c>
      <c r="H105" s="478">
        <f>'[15]DUoS (t)'!H102</f>
        <v>4.4000000000000003E-3</v>
      </c>
      <c r="I105" s="461"/>
      <c r="J105" s="461"/>
      <c r="K105" s="462"/>
      <c r="L105" s="461"/>
      <c r="M105" s="461"/>
      <c r="N105" s="461"/>
      <c r="O105" s="462"/>
      <c r="P105" s="461"/>
      <c r="Q105" s="461"/>
      <c r="R105" s="462"/>
      <c r="S105" s="478">
        <f>'[15]DUoS (t)'!S102</f>
        <v>4.1399999999999999E-2</v>
      </c>
      <c r="T105" s="483">
        <f>'[15]DUoS (t)'!T102</f>
        <v>7.3999999999999996E-2</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63"/>
        <v>0</v>
      </c>
      <c r="AP105" s="184">
        <f t="shared" si="76"/>
        <v>310.20000000000005</v>
      </c>
      <c r="AQ105" s="178">
        <f t="shared" si="76"/>
        <v>0</v>
      </c>
      <c r="AR105" s="178">
        <f t="shared" si="76"/>
        <v>0</v>
      </c>
      <c r="AS105" s="179">
        <f t="shared" si="76"/>
        <v>0</v>
      </c>
      <c r="AT105" s="178">
        <f t="shared" si="76"/>
        <v>0</v>
      </c>
      <c r="AU105" s="178">
        <f t="shared" si="76"/>
        <v>0</v>
      </c>
      <c r="AV105" s="178">
        <f t="shared" si="76"/>
        <v>0</v>
      </c>
      <c r="AW105" s="179">
        <f t="shared" si="76"/>
        <v>0</v>
      </c>
      <c r="AX105" s="178">
        <f t="shared" si="73"/>
        <v>0</v>
      </c>
      <c r="AY105" s="178">
        <f t="shared" si="74"/>
        <v>0</v>
      </c>
      <c r="AZ105" s="179">
        <f t="shared" si="75"/>
        <v>0</v>
      </c>
      <c r="BA105" s="184">
        <f t="shared" si="21"/>
        <v>156.67084800000001</v>
      </c>
      <c r="BB105" s="178">
        <f t="shared" si="21"/>
        <v>307.50885</v>
      </c>
      <c r="BC105" s="184">
        <f t="shared" si="21"/>
        <v>0</v>
      </c>
      <c r="BD105" s="178">
        <f t="shared" si="21"/>
        <v>0</v>
      </c>
      <c r="BE105" s="244">
        <f t="shared" si="64"/>
        <v>1</v>
      </c>
      <c r="BF105" s="245">
        <f t="shared" si="61"/>
        <v>70500</v>
      </c>
      <c r="BH105" s="255">
        <f t="shared" ref="BH105:BH114" si="77">SUM(AO105)</f>
        <v>0</v>
      </c>
      <c r="BI105" s="255">
        <f t="shared" ref="BI105:BI114" si="78">SUM(AP105:AS105)</f>
        <v>310.20000000000005</v>
      </c>
      <c r="BJ105" s="255">
        <f t="shared" ref="BJ105:BJ114" si="79">SUM(AT105:AW105)</f>
        <v>0</v>
      </c>
      <c r="BK105" s="256">
        <f t="shared" ref="BK105:BK114" si="80">SUM(AX105:BB105)</f>
        <v>464.17969800000003</v>
      </c>
      <c r="BL105" s="262">
        <f t="shared" ref="BL105:BL114" si="81">SUM(BC105:BD105)</f>
        <v>0</v>
      </c>
      <c r="BM105" s="257">
        <f t="shared" si="62"/>
        <v>774.37969800000008</v>
      </c>
      <c r="BO105" s="714">
        <f t="shared" si="65"/>
        <v>10.984109191489363</v>
      </c>
    </row>
    <row r="106" spans="2:67" ht="15" customHeight="1" x14ac:dyDescent="0.25">
      <c r="B106" s="19">
        <f t="shared" si="72"/>
        <v>10</v>
      </c>
      <c r="C106" s="44" t="s">
        <v>127</v>
      </c>
      <c r="D106" s="45"/>
      <c r="E106" s="105" t="s">
        <v>126</v>
      </c>
      <c r="G106" s="477">
        <f>'[15]DUoS (t)'!G103</f>
        <v>0</v>
      </c>
      <c r="H106" s="478">
        <f>'[15]DUoS (t)'!H103</f>
        <v>4.4000000000000003E-3</v>
      </c>
      <c r="I106" s="461"/>
      <c r="J106" s="461"/>
      <c r="K106" s="462"/>
      <c r="L106" s="461"/>
      <c r="M106" s="461"/>
      <c r="N106" s="461"/>
      <c r="O106" s="462"/>
      <c r="P106" s="461"/>
      <c r="Q106" s="461"/>
      <c r="R106" s="462"/>
      <c r="S106" s="478">
        <f>'[15]DUoS (t)'!S103</f>
        <v>4.1399999999999999E-2</v>
      </c>
      <c r="T106" s="483">
        <f>'[15]DUoS (t)'!T103</f>
        <v>7.3999999999999996E-2</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63"/>
        <v>0</v>
      </c>
      <c r="AP106" s="184">
        <f t="shared" si="76"/>
        <v>750.2</v>
      </c>
      <c r="AQ106" s="178">
        <f t="shared" si="76"/>
        <v>0</v>
      </c>
      <c r="AR106" s="178">
        <f t="shared" si="76"/>
        <v>0</v>
      </c>
      <c r="AS106" s="179">
        <f t="shared" si="76"/>
        <v>0</v>
      </c>
      <c r="AT106" s="178">
        <f t="shared" si="76"/>
        <v>0</v>
      </c>
      <c r="AU106" s="178">
        <f t="shared" si="76"/>
        <v>0</v>
      </c>
      <c r="AV106" s="178">
        <f t="shared" si="76"/>
        <v>0</v>
      </c>
      <c r="AW106" s="179">
        <f t="shared" si="76"/>
        <v>0</v>
      </c>
      <c r="AX106" s="178">
        <f t="shared" si="73"/>
        <v>0</v>
      </c>
      <c r="AY106" s="178">
        <f t="shared" si="74"/>
        <v>0</v>
      </c>
      <c r="AZ106" s="179">
        <f t="shared" si="75"/>
        <v>0</v>
      </c>
      <c r="BA106" s="184">
        <f t="shared" si="21"/>
        <v>365.308425</v>
      </c>
      <c r="BB106" s="178">
        <f t="shared" si="21"/>
        <v>714.36047999999994</v>
      </c>
      <c r="BC106" s="184">
        <f t="shared" si="21"/>
        <v>0</v>
      </c>
      <c r="BD106" s="178">
        <f t="shared" si="21"/>
        <v>0</v>
      </c>
      <c r="BE106" s="244">
        <f t="shared" si="64"/>
        <v>1</v>
      </c>
      <c r="BF106" s="245">
        <f t="shared" si="61"/>
        <v>170500</v>
      </c>
      <c r="BH106" s="255">
        <f t="shared" si="77"/>
        <v>0</v>
      </c>
      <c r="BI106" s="255">
        <f t="shared" si="78"/>
        <v>750.2</v>
      </c>
      <c r="BJ106" s="255">
        <f t="shared" si="79"/>
        <v>0</v>
      </c>
      <c r="BK106" s="256">
        <f t="shared" si="80"/>
        <v>1079.668905</v>
      </c>
      <c r="BL106" s="262">
        <f t="shared" si="81"/>
        <v>0</v>
      </c>
      <c r="BM106" s="257">
        <f t="shared" ref="BM106:BM114" si="82">SUM(BH106:BL106)</f>
        <v>1829.868905</v>
      </c>
      <c r="BO106" s="714">
        <f t="shared" si="65"/>
        <v>10.732368944281525</v>
      </c>
    </row>
    <row r="107" spans="2:67" ht="15" customHeight="1" x14ac:dyDescent="0.25">
      <c r="B107" s="19">
        <f t="shared" si="72"/>
        <v>11</v>
      </c>
      <c r="C107" s="44" t="s">
        <v>128</v>
      </c>
      <c r="D107" s="45"/>
      <c r="E107" s="105" t="s">
        <v>126</v>
      </c>
      <c r="G107" s="477">
        <f>'[15]DUoS (t)'!G104</f>
        <v>0</v>
      </c>
      <c r="H107" s="478">
        <f>'[15]DUoS (t)'!H104</f>
        <v>4.4000000000000003E-3</v>
      </c>
      <c r="I107" s="461"/>
      <c r="J107" s="461"/>
      <c r="K107" s="462"/>
      <c r="L107" s="461"/>
      <c r="M107" s="461"/>
      <c r="N107" s="461"/>
      <c r="O107" s="462"/>
      <c r="P107" s="461"/>
      <c r="Q107" s="461"/>
      <c r="R107" s="462"/>
      <c r="S107" s="478">
        <f>'[15]DUoS (t)'!S104</f>
        <v>4.1399999999999999E-2</v>
      </c>
      <c r="T107" s="483">
        <f>'[15]DUoS (t)'!T104</f>
        <v>7.3999999999999996E-2</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63"/>
        <v>0</v>
      </c>
      <c r="AP107" s="184">
        <f t="shared" si="76"/>
        <v>109.56</v>
      </c>
      <c r="AQ107" s="178">
        <f t="shared" si="76"/>
        <v>0</v>
      </c>
      <c r="AR107" s="178">
        <f t="shared" si="76"/>
        <v>0</v>
      </c>
      <c r="AS107" s="179">
        <f t="shared" si="76"/>
        <v>0</v>
      </c>
      <c r="AT107" s="178">
        <f t="shared" si="76"/>
        <v>0</v>
      </c>
      <c r="AU107" s="178">
        <f t="shared" si="76"/>
        <v>0</v>
      </c>
      <c r="AV107" s="178">
        <f t="shared" si="76"/>
        <v>0</v>
      </c>
      <c r="AW107" s="179">
        <f t="shared" si="76"/>
        <v>0</v>
      </c>
      <c r="AX107" s="178">
        <f t="shared" si="73"/>
        <v>0</v>
      </c>
      <c r="AY107" s="178">
        <f t="shared" si="74"/>
        <v>0</v>
      </c>
      <c r="AZ107" s="179">
        <f t="shared" si="75"/>
        <v>0</v>
      </c>
      <c r="BA107" s="184">
        <f t="shared" si="21"/>
        <v>61.501769999999993</v>
      </c>
      <c r="BB107" s="178">
        <f t="shared" si="21"/>
        <v>135.05000000000001</v>
      </c>
      <c r="BC107" s="184">
        <f t="shared" si="21"/>
        <v>0</v>
      </c>
      <c r="BD107" s="178">
        <f t="shared" si="21"/>
        <v>0</v>
      </c>
      <c r="BE107" s="244">
        <f t="shared" si="64"/>
        <v>1</v>
      </c>
      <c r="BF107" s="245">
        <f t="shared" si="61"/>
        <v>24900</v>
      </c>
      <c r="BH107" s="255">
        <f t="shared" si="77"/>
        <v>0</v>
      </c>
      <c r="BI107" s="255">
        <f t="shared" si="78"/>
        <v>109.56</v>
      </c>
      <c r="BJ107" s="255">
        <f t="shared" si="79"/>
        <v>0</v>
      </c>
      <c r="BK107" s="256">
        <f t="shared" si="80"/>
        <v>196.55177</v>
      </c>
      <c r="BL107" s="262">
        <f t="shared" si="81"/>
        <v>0</v>
      </c>
      <c r="BM107" s="257">
        <f t="shared" si="82"/>
        <v>306.11176999999998</v>
      </c>
      <c r="BO107" s="714">
        <f t="shared" si="65"/>
        <v>12.293645381526103</v>
      </c>
    </row>
    <row r="108" spans="2:67" ht="15" customHeight="1" x14ac:dyDescent="0.25">
      <c r="B108" s="19">
        <f t="shared" si="72"/>
        <v>12</v>
      </c>
      <c r="C108" s="44"/>
      <c r="D108" s="45" t="s">
        <v>129</v>
      </c>
      <c r="E108" s="105" t="s">
        <v>126</v>
      </c>
      <c r="G108" s="477">
        <f>'[15]DUoS (t)'!G105</f>
        <v>0</v>
      </c>
      <c r="H108" s="478">
        <f>'[15]DUoS (t)'!H105</f>
        <v>4.4000000000000003E-3</v>
      </c>
      <c r="I108" s="461"/>
      <c r="J108" s="461"/>
      <c r="K108" s="462"/>
      <c r="L108" s="461"/>
      <c r="M108" s="461"/>
      <c r="N108" s="461"/>
      <c r="O108" s="462"/>
      <c r="P108" s="461"/>
      <c r="Q108" s="461"/>
      <c r="R108" s="462"/>
      <c r="S108" s="478">
        <f>'[15]DUoS (t)'!S105</f>
        <v>4.1399999999999999E-2</v>
      </c>
      <c r="T108" s="483">
        <f>'[15]DUoS (t)'!T105</f>
        <v>7.3999999999999996E-2</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63"/>
        <v>0</v>
      </c>
      <c r="AP108" s="184">
        <f t="shared" si="76"/>
        <v>111.76</v>
      </c>
      <c r="AQ108" s="178">
        <f t="shared" si="76"/>
        <v>0</v>
      </c>
      <c r="AR108" s="178">
        <f t="shared" si="76"/>
        <v>0</v>
      </c>
      <c r="AS108" s="179">
        <f t="shared" si="76"/>
        <v>0</v>
      </c>
      <c r="AT108" s="178">
        <f t="shared" si="76"/>
        <v>0</v>
      </c>
      <c r="AU108" s="178">
        <f t="shared" si="76"/>
        <v>0</v>
      </c>
      <c r="AV108" s="178">
        <f t="shared" si="76"/>
        <v>0</v>
      </c>
      <c r="AW108" s="179">
        <f t="shared" si="76"/>
        <v>0</v>
      </c>
      <c r="AX108" s="178">
        <f t="shared" si="73"/>
        <v>0</v>
      </c>
      <c r="AY108" s="178">
        <f t="shared" si="74"/>
        <v>0</v>
      </c>
      <c r="AZ108" s="179">
        <f t="shared" si="75"/>
        <v>0</v>
      </c>
      <c r="BA108" s="184">
        <f t="shared" si="21"/>
        <v>113.25694499999999</v>
      </c>
      <c r="BB108" s="178">
        <f t="shared" si="21"/>
        <v>218.34884</v>
      </c>
      <c r="BC108" s="184">
        <f t="shared" si="21"/>
        <v>0</v>
      </c>
      <c r="BD108" s="178">
        <f t="shared" si="21"/>
        <v>0</v>
      </c>
      <c r="BE108" s="244">
        <f t="shared" si="64"/>
        <v>1</v>
      </c>
      <c r="BF108" s="245">
        <f t="shared" si="61"/>
        <v>25400</v>
      </c>
      <c r="BH108" s="255">
        <f t="shared" si="77"/>
        <v>0</v>
      </c>
      <c r="BI108" s="255">
        <f t="shared" si="78"/>
        <v>111.76</v>
      </c>
      <c r="BJ108" s="255">
        <f t="shared" si="79"/>
        <v>0</v>
      </c>
      <c r="BK108" s="256">
        <f t="shared" si="80"/>
        <v>331.60578499999997</v>
      </c>
      <c r="BL108" s="262">
        <f t="shared" si="81"/>
        <v>0</v>
      </c>
      <c r="BM108" s="257">
        <f t="shared" si="82"/>
        <v>443.36578499999996</v>
      </c>
      <c r="BO108" s="714">
        <f t="shared" si="65"/>
        <v>17.45534586614173</v>
      </c>
    </row>
    <row r="109" spans="2:67" ht="15" customHeight="1" x14ac:dyDescent="0.25">
      <c r="B109" s="19">
        <f t="shared" si="72"/>
        <v>13</v>
      </c>
      <c r="C109" s="44" t="s">
        <v>564</v>
      </c>
      <c r="D109" s="45"/>
      <c r="E109" s="105" t="s">
        <v>126</v>
      </c>
      <c r="G109" s="477">
        <f>'[15]DUoS (t)'!G106</f>
        <v>0</v>
      </c>
      <c r="H109" s="478">
        <f>'[15]DUoS (t)'!H106</f>
        <v>4.4000000000000003E-3</v>
      </c>
      <c r="I109" s="461"/>
      <c r="J109" s="461"/>
      <c r="K109" s="462"/>
      <c r="L109" s="461"/>
      <c r="M109" s="461"/>
      <c r="N109" s="461"/>
      <c r="O109" s="462"/>
      <c r="P109" s="461"/>
      <c r="Q109" s="461"/>
      <c r="R109" s="462"/>
      <c r="S109" s="478">
        <f>'[15]DUoS (t)'!S106</f>
        <v>4.1399999999999999E-2</v>
      </c>
      <c r="T109" s="483">
        <f>'[15]DUoS (t)'!T106</f>
        <v>7.3999999999999996E-2</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63"/>
        <v>0</v>
      </c>
      <c r="AP109" s="184">
        <f t="shared" si="76"/>
        <v>49.06</v>
      </c>
      <c r="AQ109" s="178">
        <f t="shared" si="76"/>
        <v>0</v>
      </c>
      <c r="AR109" s="178">
        <f t="shared" si="76"/>
        <v>0</v>
      </c>
      <c r="AS109" s="179">
        <f t="shared" si="76"/>
        <v>0</v>
      </c>
      <c r="AT109" s="178">
        <f t="shared" si="76"/>
        <v>0</v>
      </c>
      <c r="AU109" s="178">
        <f t="shared" si="76"/>
        <v>0</v>
      </c>
      <c r="AV109" s="178">
        <f t="shared" si="76"/>
        <v>0</v>
      </c>
      <c r="AW109" s="179">
        <f t="shared" si="76"/>
        <v>0</v>
      </c>
      <c r="AX109" s="178">
        <f t="shared" si="73"/>
        <v>0</v>
      </c>
      <c r="AY109" s="178">
        <f t="shared" si="74"/>
        <v>0</v>
      </c>
      <c r="AZ109" s="179">
        <f t="shared" si="75"/>
        <v>0</v>
      </c>
      <c r="BA109" s="184">
        <f t="shared" si="21"/>
        <v>41.494805999999997</v>
      </c>
      <c r="BB109" s="178">
        <f t="shared" si="21"/>
        <v>135.05000000000001</v>
      </c>
      <c r="BC109" s="184">
        <f t="shared" si="21"/>
        <v>0</v>
      </c>
      <c r="BD109" s="178">
        <f t="shared" si="21"/>
        <v>0</v>
      </c>
      <c r="BE109" s="244">
        <f t="shared" si="64"/>
        <v>1</v>
      </c>
      <c r="BF109" s="245">
        <f t="shared" si="61"/>
        <v>11150</v>
      </c>
      <c r="BH109" s="255">
        <f t="shared" si="77"/>
        <v>0</v>
      </c>
      <c r="BI109" s="255">
        <f t="shared" si="78"/>
        <v>49.06</v>
      </c>
      <c r="BJ109" s="255">
        <f t="shared" si="79"/>
        <v>0</v>
      </c>
      <c r="BK109" s="256">
        <f t="shared" si="80"/>
        <v>176.54480599999999</v>
      </c>
      <c r="BL109" s="262">
        <f t="shared" si="81"/>
        <v>0</v>
      </c>
      <c r="BM109" s="257">
        <f t="shared" si="82"/>
        <v>225.604806</v>
      </c>
      <c r="BO109" s="714">
        <f t="shared" si="65"/>
        <v>20.233614887892376</v>
      </c>
    </row>
    <row r="110" spans="2:67" ht="15" customHeight="1" x14ac:dyDescent="0.25">
      <c r="B110" s="19">
        <f t="shared" si="72"/>
        <v>14</v>
      </c>
      <c r="C110" s="44" t="s">
        <v>565</v>
      </c>
      <c r="D110" s="45"/>
      <c r="E110" s="105" t="s">
        <v>126</v>
      </c>
      <c r="G110" s="477">
        <f>'[15]DUoS (t)'!G107</f>
        <v>0</v>
      </c>
      <c r="H110" s="478">
        <f>'[15]DUoS (t)'!H107</f>
        <v>4.4000000000000003E-3</v>
      </c>
      <c r="I110" s="461"/>
      <c r="J110" s="461"/>
      <c r="K110" s="462"/>
      <c r="L110" s="461"/>
      <c r="M110" s="461"/>
      <c r="N110" s="461"/>
      <c r="O110" s="462"/>
      <c r="P110" s="461"/>
      <c r="Q110" s="461"/>
      <c r="R110" s="462"/>
      <c r="S110" s="478">
        <f>'[15]DUoS (t)'!S107</f>
        <v>4.1399999999999999E-2</v>
      </c>
      <c r="T110" s="483">
        <f>'[15]DUoS (t)'!T107</f>
        <v>7.3999999999999996E-2</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63"/>
        <v>0</v>
      </c>
      <c r="AP110" s="184">
        <f t="shared" si="76"/>
        <v>46.772000000000006</v>
      </c>
      <c r="AQ110" s="178">
        <f t="shared" si="76"/>
        <v>0</v>
      </c>
      <c r="AR110" s="178">
        <f t="shared" si="76"/>
        <v>0</v>
      </c>
      <c r="AS110" s="179">
        <f t="shared" si="76"/>
        <v>0</v>
      </c>
      <c r="AT110" s="178">
        <f t="shared" si="76"/>
        <v>0</v>
      </c>
      <c r="AU110" s="178">
        <f t="shared" si="76"/>
        <v>0</v>
      </c>
      <c r="AV110" s="178">
        <f t="shared" si="76"/>
        <v>0</v>
      </c>
      <c r="AW110" s="179">
        <f t="shared" si="76"/>
        <v>0</v>
      </c>
      <c r="AX110" s="178">
        <f t="shared" si="73"/>
        <v>0</v>
      </c>
      <c r="AY110" s="178">
        <f t="shared" si="74"/>
        <v>0</v>
      </c>
      <c r="AZ110" s="179">
        <f t="shared" si="75"/>
        <v>0</v>
      </c>
      <c r="BA110" s="184">
        <f t="shared" si="21"/>
        <v>25.038927000000001</v>
      </c>
      <c r="BB110" s="178">
        <f t="shared" si="21"/>
        <v>135.05000000000001</v>
      </c>
      <c r="BC110" s="184">
        <f t="shared" si="21"/>
        <v>0</v>
      </c>
      <c r="BD110" s="178">
        <f t="shared" si="21"/>
        <v>0</v>
      </c>
      <c r="BE110" s="244">
        <f t="shared" si="64"/>
        <v>1</v>
      </c>
      <c r="BF110" s="245">
        <f t="shared" si="61"/>
        <v>10630</v>
      </c>
      <c r="BH110" s="255">
        <f t="shared" si="77"/>
        <v>0</v>
      </c>
      <c r="BI110" s="255">
        <f t="shared" si="78"/>
        <v>46.772000000000006</v>
      </c>
      <c r="BJ110" s="255">
        <f t="shared" si="79"/>
        <v>0</v>
      </c>
      <c r="BK110" s="256">
        <f t="shared" si="80"/>
        <v>160.08892700000001</v>
      </c>
      <c r="BL110" s="262">
        <f t="shared" si="81"/>
        <v>0</v>
      </c>
      <c r="BM110" s="257">
        <f t="shared" si="82"/>
        <v>206.860927</v>
      </c>
      <c r="BO110" s="714">
        <f t="shared" si="65"/>
        <v>19.460106020696141</v>
      </c>
    </row>
    <row r="111" spans="2:67" ht="15" customHeight="1" x14ac:dyDescent="0.25">
      <c r="B111" s="19">
        <f t="shared" si="72"/>
        <v>15</v>
      </c>
      <c r="C111" s="44" t="s">
        <v>560</v>
      </c>
      <c r="D111" s="45"/>
      <c r="E111" s="105" t="s">
        <v>126</v>
      </c>
      <c r="G111" s="477">
        <f>'[15]DUoS (t)'!G108</f>
        <v>0</v>
      </c>
      <c r="H111" s="478">
        <f>'[15]DUoS (t)'!H108</f>
        <v>4.4000000000000003E-3</v>
      </c>
      <c r="I111" s="461"/>
      <c r="J111" s="461"/>
      <c r="K111" s="462"/>
      <c r="L111" s="461"/>
      <c r="M111" s="461"/>
      <c r="N111" s="461"/>
      <c r="O111" s="462"/>
      <c r="P111" s="461"/>
      <c r="Q111" s="461"/>
      <c r="R111" s="462"/>
      <c r="S111" s="478">
        <f>'[15]DUoS (t)'!S108</f>
        <v>4.1399999999999999E-2</v>
      </c>
      <c r="T111" s="483">
        <f>'[15]DUoS (t)'!T108</f>
        <v>7.3999999999999996E-2</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63"/>
        <v>0</v>
      </c>
      <c r="AP111" s="184">
        <f t="shared" si="76"/>
        <v>18.172000000000001</v>
      </c>
      <c r="AQ111" s="178">
        <f t="shared" si="76"/>
        <v>0</v>
      </c>
      <c r="AR111" s="178">
        <f t="shared" si="76"/>
        <v>0</v>
      </c>
      <c r="AS111" s="179">
        <f t="shared" si="76"/>
        <v>0</v>
      </c>
      <c r="AT111" s="178">
        <f t="shared" si="76"/>
        <v>0</v>
      </c>
      <c r="AU111" s="178">
        <f t="shared" si="76"/>
        <v>0</v>
      </c>
      <c r="AV111" s="178">
        <f t="shared" si="76"/>
        <v>0</v>
      </c>
      <c r="AW111" s="179">
        <f t="shared" si="76"/>
        <v>0</v>
      </c>
      <c r="AX111" s="178">
        <f t="shared" si="73"/>
        <v>0</v>
      </c>
      <c r="AY111" s="178">
        <f t="shared" si="74"/>
        <v>0</v>
      </c>
      <c r="AZ111" s="179">
        <f t="shared" si="75"/>
        <v>0</v>
      </c>
      <c r="BA111" s="184">
        <f t="shared" si="21"/>
        <v>8.870156999999999</v>
      </c>
      <c r="BB111" s="178">
        <f t="shared" si="21"/>
        <v>135.05000000000001</v>
      </c>
      <c r="BC111" s="184">
        <f t="shared" si="21"/>
        <v>0</v>
      </c>
      <c r="BD111" s="178">
        <f t="shared" si="21"/>
        <v>0</v>
      </c>
      <c r="BE111" s="244">
        <f t="shared" si="64"/>
        <v>1</v>
      </c>
      <c r="BF111" s="245">
        <f t="shared" si="61"/>
        <v>4130</v>
      </c>
      <c r="BH111" s="255">
        <f t="shared" si="77"/>
        <v>0</v>
      </c>
      <c r="BI111" s="255">
        <f t="shared" si="78"/>
        <v>18.172000000000001</v>
      </c>
      <c r="BJ111" s="255">
        <f t="shared" si="79"/>
        <v>0</v>
      </c>
      <c r="BK111" s="256">
        <f t="shared" si="80"/>
        <v>143.92015700000002</v>
      </c>
      <c r="BL111" s="262">
        <f t="shared" si="81"/>
        <v>0</v>
      </c>
      <c r="BM111" s="257">
        <f t="shared" si="82"/>
        <v>162.09215700000001</v>
      </c>
      <c r="BO111" s="714">
        <f t="shared" si="65"/>
        <v>39.247495641646488</v>
      </c>
    </row>
    <row r="112" spans="2:67" ht="15" customHeight="1" x14ac:dyDescent="0.25">
      <c r="B112" s="19">
        <f t="shared" si="72"/>
        <v>16</v>
      </c>
      <c r="C112" s="44" t="s">
        <v>130</v>
      </c>
      <c r="D112" s="45"/>
      <c r="E112" s="105" t="s">
        <v>126</v>
      </c>
      <c r="G112" s="477">
        <f>'[15]DUoS (t)'!G109</f>
        <v>0</v>
      </c>
      <c r="H112" s="478">
        <f>'[15]DUoS (t)'!H109</f>
        <v>4.4000000000000003E-3</v>
      </c>
      <c r="I112" s="461"/>
      <c r="J112" s="461"/>
      <c r="K112" s="462"/>
      <c r="L112" s="461"/>
      <c r="M112" s="461"/>
      <c r="N112" s="461"/>
      <c r="O112" s="462"/>
      <c r="P112" s="461"/>
      <c r="Q112" s="461"/>
      <c r="R112" s="462"/>
      <c r="S112" s="478">
        <f>'[15]DUoS (t)'!S109</f>
        <v>4.1399999999999999E-2</v>
      </c>
      <c r="T112" s="483">
        <f>'[15]DUoS (t)'!T109</f>
        <v>7.3999999999999996E-2</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63"/>
        <v>0</v>
      </c>
      <c r="AP112" s="184">
        <f t="shared" si="76"/>
        <v>133.32000000000002</v>
      </c>
      <c r="AQ112" s="178">
        <f t="shared" si="76"/>
        <v>0</v>
      </c>
      <c r="AR112" s="178">
        <f t="shared" si="76"/>
        <v>0</v>
      </c>
      <c r="AS112" s="179">
        <f t="shared" si="76"/>
        <v>0</v>
      </c>
      <c r="AT112" s="178">
        <f t="shared" si="76"/>
        <v>0</v>
      </c>
      <c r="AU112" s="178">
        <f t="shared" si="76"/>
        <v>0</v>
      </c>
      <c r="AV112" s="178">
        <f t="shared" si="76"/>
        <v>0</v>
      </c>
      <c r="AW112" s="179">
        <f t="shared" si="76"/>
        <v>0</v>
      </c>
      <c r="AX112" s="178">
        <f t="shared" si="73"/>
        <v>0</v>
      </c>
      <c r="AY112" s="178">
        <f t="shared" si="74"/>
        <v>0</v>
      </c>
      <c r="AZ112" s="179">
        <f t="shared" si="75"/>
        <v>0</v>
      </c>
      <c r="BA112" s="184">
        <f t="shared" si="21"/>
        <v>149.55356700000002</v>
      </c>
      <c r="BB112" s="178">
        <f t="shared" si="21"/>
        <v>351.69720999999998</v>
      </c>
      <c r="BC112" s="184">
        <f t="shared" si="21"/>
        <v>0</v>
      </c>
      <c r="BD112" s="178">
        <f t="shared" si="21"/>
        <v>0</v>
      </c>
      <c r="BE112" s="244">
        <f t="shared" si="64"/>
        <v>1</v>
      </c>
      <c r="BF112" s="245">
        <f t="shared" ref="BF112:BF129" si="83">SUM(Y112:AF112)</f>
        <v>30300</v>
      </c>
      <c r="BH112" s="255">
        <f t="shared" si="77"/>
        <v>0</v>
      </c>
      <c r="BI112" s="255">
        <f t="shared" si="78"/>
        <v>133.32000000000002</v>
      </c>
      <c r="BJ112" s="255">
        <f t="shared" si="79"/>
        <v>0</v>
      </c>
      <c r="BK112" s="256">
        <f t="shared" si="80"/>
        <v>501.25077699999997</v>
      </c>
      <c r="BL112" s="262">
        <f t="shared" si="81"/>
        <v>0</v>
      </c>
      <c r="BM112" s="257">
        <f t="shared" si="82"/>
        <v>634.57077700000002</v>
      </c>
      <c r="BO112" s="714">
        <f t="shared" si="65"/>
        <v>20.942929933993398</v>
      </c>
    </row>
    <row r="113" spans="2:67" ht="15" customHeight="1" x14ac:dyDescent="0.25">
      <c r="B113" s="19">
        <f t="shared" si="72"/>
        <v>17</v>
      </c>
      <c r="C113" s="44" t="s">
        <v>131</v>
      </c>
      <c r="D113" s="45"/>
      <c r="E113" s="105" t="s">
        <v>126</v>
      </c>
      <c r="G113" s="477">
        <f>'[15]DUoS (t)'!G110</f>
        <v>84.04</v>
      </c>
      <c r="H113" s="478">
        <f>'[15]DUoS (t)'!H110</f>
        <v>4.4000000000000003E-3</v>
      </c>
      <c r="I113" s="461"/>
      <c r="J113" s="461"/>
      <c r="K113" s="462"/>
      <c r="L113" s="461"/>
      <c r="M113" s="461"/>
      <c r="N113" s="461"/>
      <c r="O113" s="462"/>
      <c r="P113" s="461"/>
      <c r="Q113" s="461"/>
      <c r="R113" s="462"/>
      <c r="S113" s="478">
        <f>'[15]DUoS (t)'!S110</f>
        <v>4.1399999999999999E-2</v>
      </c>
      <c r="T113" s="483">
        <f>'[15]DUoS (t)'!T110</f>
        <v>7.3999999999999996E-2</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63"/>
        <v>30.674600000000002</v>
      </c>
      <c r="AP113" s="184">
        <f t="shared" si="76"/>
        <v>210.32000000000002</v>
      </c>
      <c r="AQ113" s="178">
        <f t="shared" si="76"/>
        <v>0</v>
      </c>
      <c r="AR113" s="178">
        <f t="shared" si="76"/>
        <v>0</v>
      </c>
      <c r="AS113" s="179">
        <f t="shared" si="76"/>
        <v>0</v>
      </c>
      <c r="AT113" s="178">
        <f t="shared" si="76"/>
        <v>0</v>
      </c>
      <c r="AU113" s="178">
        <f t="shared" si="76"/>
        <v>0</v>
      </c>
      <c r="AV113" s="178">
        <f t="shared" si="76"/>
        <v>0</v>
      </c>
      <c r="AW113" s="179">
        <f t="shared" si="76"/>
        <v>0</v>
      </c>
      <c r="AX113" s="178">
        <f t="shared" si="73"/>
        <v>0</v>
      </c>
      <c r="AY113" s="178">
        <f t="shared" si="74"/>
        <v>0</v>
      </c>
      <c r="AZ113" s="179">
        <f t="shared" si="75"/>
        <v>0</v>
      </c>
      <c r="BA113" s="184">
        <f t="shared" si="21"/>
        <v>99.929043000000007</v>
      </c>
      <c r="BB113" s="178">
        <f t="shared" si="21"/>
        <v>195.12024</v>
      </c>
      <c r="BC113" s="184">
        <f t="shared" si="21"/>
        <v>0</v>
      </c>
      <c r="BD113" s="178">
        <f t="shared" si="21"/>
        <v>0</v>
      </c>
      <c r="BE113" s="244">
        <f t="shared" si="64"/>
        <v>1</v>
      </c>
      <c r="BF113" s="245">
        <f t="shared" si="83"/>
        <v>47800</v>
      </c>
      <c r="BH113" s="255">
        <f t="shared" si="77"/>
        <v>30.674600000000002</v>
      </c>
      <c r="BI113" s="255">
        <f t="shared" si="78"/>
        <v>210.32000000000002</v>
      </c>
      <c r="BJ113" s="255">
        <f t="shared" si="79"/>
        <v>0</v>
      </c>
      <c r="BK113" s="256">
        <f t="shared" si="80"/>
        <v>295.049283</v>
      </c>
      <c r="BL113" s="262">
        <f t="shared" si="81"/>
        <v>0</v>
      </c>
      <c r="BM113" s="257">
        <f t="shared" si="82"/>
        <v>536.04388300000005</v>
      </c>
      <c r="BO113" s="714">
        <f t="shared" si="65"/>
        <v>11.214307175732218</v>
      </c>
    </row>
    <row r="114" spans="2:67" ht="15" customHeight="1" x14ac:dyDescent="0.25">
      <c r="B114" s="19">
        <f t="shared" si="72"/>
        <v>18</v>
      </c>
      <c r="C114" s="44" t="s">
        <v>561</v>
      </c>
      <c r="D114" s="45"/>
      <c r="E114" s="105" t="s">
        <v>126</v>
      </c>
      <c r="G114" s="477">
        <f>'[15]DUoS (t)'!G111</f>
        <v>0</v>
      </c>
      <c r="H114" s="478">
        <f>'[15]DUoS (t)'!H111</f>
        <v>4.4000000000000003E-3</v>
      </c>
      <c r="I114" s="461"/>
      <c r="J114" s="461"/>
      <c r="K114" s="462"/>
      <c r="L114" s="461"/>
      <c r="M114" s="461"/>
      <c r="N114" s="461"/>
      <c r="O114" s="462"/>
      <c r="P114" s="461"/>
      <c r="Q114" s="461"/>
      <c r="R114" s="462"/>
      <c r="S114" s="478">
        <f>'[15]DUoS (t)'!S111</f>
        <v>4.1399999999999999E-2</v>
      </c>
      <c r="T114" s="483">
        <f>'[15]DUoS (t)'!T111</f>
        <v>7.3999999999999996E-2</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63"/>
        <v>0</v>
      </c>
      <c r="AP114" s="184">
        <f t="shared" si="76"/>
        <v>12.584000000000001</v>
      </c>
      <c r="AQ114" s="178">
        <f t="shared" si="76"/>
        <v>0</v>
      </c>
      <c r="AR114" s="178">
        <f t="shared" si="76"/>
        <v>0</v>
      </c>
      <c r="AS114" s="179">
        <f t="shared" si="76"/>
        <v>0</v>
      </c>
      <c r="AT114" s="178">
        <f t="shared" si="76"/>
        <v>0</v>
      </c>
      <c r="AU114" s="178">
        <f t="shared" si="76"/>
        <v>0</v>
      </c>
      <c r="AV114" s="178">
        <f t="shared" si="76"/>
        <v>0</v>
      </c>
      <c r="AW114" s="179">
        <f t="shared" si="76"/>
        <v>0</v>
      </c>
      <c r="AX114" s="178">
        <f t="shared" si="73"/>
        <v>0</v>
      </c>
      <c r="AY114" s="178">
        <f t="shared" si="74"/>
        <v>0</v>
      </c>
      <c r="AZ114" s="179">
        <f t="shared" si="75"/>
        <v>0</v>
      </c>
      <c r="BA114" s="184">
        <f t="shared" si="21"/>
        <v>19.342079999999999</v>
      </c>
      <c r="BB114" s="178">
        <f t="shared" si="21"/>
        <v>135.05000000000001</v>
      </c>
      <c r="BC114" s="184">
        <f t="shared" si="21"/>
        <v>0</v>
      </c>
      <c r="BD114" s="178">
        <f t="shared" si="21"/>
        <v>0</v>
      </c>
      <c r="BE114" s="244">
        <f t="shared" si="64"/>
        <v>1</v>
      </c>
      <c r="BF114" s="245">
        <f t="shared" si="83"/>
        <v>2860</v>
      </c>
      <c r="BH114" s="255">
        <f t="shared" si="77"/>
        <v>0</v>
      </c>
      <c r="BI114" s="255">
        <f t="shared" si="78"/>
        <v>12.584000000000001</v>
      </c>
      <c r="BJ114" s="255">
        <f t="shared" si="79"/>
        <v>0</v>
      </c>
      <c r="BK114" s="256">
        <f t="shared" si="80"/>
        <v>154.39208000000002</v>
      </c>
      <c r="BL114" s="262">
        <f t="shared" si="81"/>
        <v>0</v>
      </c>
      <c r="BM114" s="257">
        <f t="shared" si="82"/>
        <v>166.97608000000002</v>
      </c>
      <c r="BO114" s="714">
        <f t="shared" si="65"/>
        <v>58.38324475524476</v>
      </c>
    </row>
    <row r="115" spans="2:67"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63"/>
        <v>0</v>
      </c>
      <c r="AP115" s="184">
        <f t="shared" si="76"/>
        <v>0</v>
      </c>
      <c r="AQ115" s="178">
        <f t="shared" si="76"/>
        <v>0</v>
      </c>
      <c r="AR115" s="178">
        <f t="shared" si="76"/>
        <v>0</v>
      </c>
      <c r="AS115" s="179">
        <f t="shared" si="76"/>
        <v>0</v>
      </c>
      <c r="AT115" s="178">
        <f t="shared" si="76"/>
        <v>0</v>
      </c>
      <c r="AU115" s="178">
        <f t="shared" si="76"/>
        <v>0</v>
      </c>
      <c r="AV115" s="178">
        <f t="shared" si="76"/>
        <v>0</v>
      </c>
      <c r="AW115" s="179">
        <f t="shared" si="76"/>
        <v>0</v>
      </c>
      <c r="AX115" s="178">
        <f t="shared" si="73"/>
        <v>0</v>
      </c>
      <c r="AY115" s="178">
        <f t="shared" si="74"/>
        <v>0</v>
      </c>
      <c r="AZ115" s="179">
        <f t="shared" si="75"/>
        <v>0</v>
      </c>
      <c r="BA115" s="184">
        <f>S115*AJ115/1000</f>
        <v>0</v>
      </c>
      <c r="BB115" s="178">
        <f>T115*AK115/1000</f>
        <v>0</v>
      </c>
      <c r="BC115" s="184">
        <f>U115*AL115/1000</f>
        <v>0</v>
      </c>
      <c r="BD115" s="178">
        <f>V115*AM115/1000</f>
        <v>0</v>
      </c>
      <c r="BE115" s="244">
        <f t="shared" si="64"/>
        <v>0</v>
      </c>
      <c r="BF115" s="245">
        <f t="shared" si="83"/>
        <v>0</v>
      </c>
      <c r="BH115" s="252">
        <f>SUBTOTAL(9,BH116:BH119)</f>
        <v>530.00189999999998</v>
      </c>
      <c r="BI115" s="252">
        <f>SUBTOTAL(9,BI116:BI119)</f>
        <v>28.608000000000001</v>
      </c>
      <c r="BJ115" s="252">
        <f>SUBTOTAL(9,BJ116:BJ119)</f>
        <v>0</v>
      </c>
      <c r="BK115" s="252">
        <f>SUBTOTAL(9,BK116:BK119)</f>
        <v>226.66500000000002</v>
      </c>
      <c r="BL115" s="252">
        <f>SUBTOTAL(9,BL116:BL119)</f>
        <v>0</v>
      </c>
      <c r="BM115" s="257">
        <f t="shared" si="62"/>
        <v>785.27489999999989</v>
      </c>
      <c r="BO115" s="714" t="str">
        <f t="shared" si="65"/>
        <v/>
      </c>
    </row>
    <row r="116" spans="2:67" ht="15" customHeight="1" x14ac:dyDescent="0.25">
      <c r="B116" s="19">
        <f>B114+1</f>
        <v>19</v>
      </c>
      <c r="C116" s="44" t="s">
        <v>133</v>
      </c>
      <c r="D116" s="45"/>
      <c r="E116" s="105" t="s">
        <v>134</v>
      </c>
      <c r="G116" s="477">
        <f>'[15]DUoS (t)'!G113</f>
        <v>0</v>
      </c>
      <c r="H116" s="478">
        <f>'[15]DUoS (t)'!H113</f>
        <v>1.6000000000000001E-3</v>
      </c>
      <c r="I116" s="461"/>
      <c r="J116" s="461"/>
      <c r="K116" s="462"/>
      <c r="L116" s="461"/>
      <c r="M116" s="461"/>
      <c r="N116" s="461"/>
      <c r="O116" s="462"/>
      <c r="P116" s="461"/>
      <c r="Q116" s="461"/>
      <c r="R116" s="462"/>
      <c r="S116" s="478">
        <f>'[15]DUoS (t)'!S113</f>
        <v>0</v>
      </c>
      <c r="T116" s="483">
        <f>'[15]DUoS (t)'!T113</f>
        <v>4.1399999999999999E-2</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63"/>
        <v>0</v>
      </c>
      <c r="AP116" s="184">
        <f t="shared" si="76"/>
        <v>0</v>
      </c>
      <c r="AQ116" s="178">
        <f t="shared" si="76"/>
        <v>0</v>
      </c>
      <c r="AR116" s="178">
        <f t="shared" si="76"/>
        <v>0</v>
      </c>
      <c r="AS116" s="179">
        <f t="shared" si="76"/>
        <v>0</v>
      </c>
      <c r="AT116" s="178">
        <f t="shared" si="76"/>
        <v>0</v>
      </c>
      <c r="AU116" s="178">
        <f t="shared" si="76"/>
        <v>0</v>
      </c>
      <c r="AV116" s="178">
        <f t="shared" si="76"/>
        <v>0</v>
      </c>
      <c r="AW116" s="179">
        <f t="shared" si="76"/>
        <v>0</v>
      </c>
      <c r="AX116" s="178">
        <f t="shared" ref="AX116:BD129" si="84">P116*AG116/1000</f>
        <v>0</v>
      </c>
      <c r="AY116" s="178">
        <f t="shared" si="84"/>
        <v>0</v>
      </c>
      <c r="AZ116" s="179">
        <f t="shared" si="84"/>
        <v>0</v>
      </c>
      <c r="BA116" s="184">
        <f t="shared" si="84"/>
        <v>0</v>
      </c>
      <c r="BB116" s="178">
        <f t="shared" si="84"/>
        <v>0</v>
      </c>
      <c r="BC116" s="184">
        <f t="shared" si="84"/>
        <v>0</v>
      </c>
      <c r="BD116" s="178">
        <f t="shared" si="84"/>
        <v>0</v>
      </c>
      <c r="BE116" s="244">
        <f t="shared" si="64"/>
        <v>0</v>
      </c>
      <c r="BF116" s="245">
        <f t="shared" si="83"/>
        <v>0</v>
      </c>
      <c r="BH116" s="255">
        <f>SUM(AO116)</f>
        <v>0</v>
      </c>
      <c r="BI116" s="255">
        <f>SUM(AP116:AS116)</f>
        <v>0</v>
      </c>
      <c r="BJ116" s="255">
        <f>SUM(AT116:AW116)</f>
        <v>0</v>
      </c>
      <c r="BK116" s="256">
        <f>SUM(AX116:BB116)</f>
        <v>0</v>
      </c>
      <c r="BL116" s="262">
        <f>SUM(BC116:BD116)</f>
        <v>0</v>
      </c>
      <c r="BM116" s="257">
        <f t="shared" si="62"/>
        <v>0</v>
      </c>
      <c r="BO116" s="714" t="str">
        <f t="shared" si="65"/>
        <v/>
      </c>
    </row>
    <row r="117" spans="2:67" ht="15" customHeight="1" x14ac:dyDescent="0.25">
      <c r="B117" s="19">
        <f>B116+1</f>
        <v>20</v>
      </c>
      <c r="C117" s="44" t="s">
        <v>135</v>
      </c>
      <c r="D117" s="45"/>
      <c r="E117" s="105" t="s">
        <v>136</v>
      </c>
      <c r="G117" s="477">
        <f>'[15]DUoS (t)'!G114</f>
        <v>0</v>
      </c>
      <c r="H117" s="478">
        <f>'[15]DUoS (t)'!H114</f>
        <v>1.6000000000000001E-3</v>
      </c>
      <c r="I117" s="461"/>
      <c r="J117" s="461"/>
      <c r="K117" s="462"/>
      <c r="L117" s="461"/>
      <c r="M117" s="461"/>
      <c r="N117" s="461"/>
      <c r="O117" s="462"/>
      <c r="P117" s="461"/>
      <c r="Q117" s="461"/>
      <c r="R117" s="462"/>
      <c r="S117" s="478">
        <f>'[15]DUoS (t)'!S114</f>
        <v>0</v>
      </c>
      <c r="T117" s="483">
        <f>'[15]DUoS (t)'!T114</f>
        <v>4.1399999999999999E-2</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63"/>
        <v>0</v>
      </c>
      <c r="AP117" s="184">
        <f t="shared" si="76"/>
        <v>12</v>
      </c>
      <c r="AQ117" s="178">
        <f t="shared" si="76"/>
        <v>0</v>
      </c>
      <c r="AR117" s="178">
        <f t="shared" si="76"/>
        <v>0</v>
      </c>
      <c r="AS117" s="179">
        <f t="shared" si="76"/>
        <v>0</v>
      </c>
      <c r="AT117" s="178">
        <f t="shared" si="76"/>
        <v>0</v>
      </c>
      <c r="AU117" s="178">
        <f t="shared" si="76"/>
        <v>0</v>
      </c>
      <c r="AV117" s="178">
        <f t="shared" si="76"/>
        <v>0</v>
      </c>
      <c r="AW117" s="179">
        <f t="shared" si="76"/>
        <v>0</v>
      </c>
      <c r="AX117" s="178">
        <f t="shared" si="84"/>
        <v>0</v>
      </c>
      <c r="AY117" s="178">
        <f t="shared" si="84"/>
        <v>0</v>
      </c>
      <c r="AZ117" s="179">
        <f t="shared" si="84"/>
        <v>0</v>
      </c>
      <c r="BA117" s="184">
        <f t="shared" si="84"/>
        <v>0</v>
      </c>
      <c r="BB117" s="178">
        <f t="shared" si="84"/>
        <v>75.555000000000007</v>
      </c>
      <c r="BC117" s="184">
        <f t="shared" si="84"/>
        <v>0</v>
      </c>
      <c r="BD117" s="178">
        <f t="shared" si="84"/>
        <v>0</v>
      </c>
      <c r="BE117" s="244">
        <f t="shared" si="64"/>
        <v>1</v>
      </c>
      <c r="BF117" s="245">
        <f t="shared" si="83"/>
        <v>7500</v>
      </c>
      <c r="BH117" s="255">
        <f>SUM(AO117)</f>
        <v>0</v>
      </c>
      <c r="BI117" s="255">
        <f>SUM(AP117:AS117)</f>
        <v>12</v>
      </c>
      <c r="BJ117" s="255">
        <f>SUM(AT117:AW117)</f>
        <v>0</v>
      </c>
      <c r="BK117" s="256">
        <f>SUM(AX117:BB117)</f>
        <v>75.555000000000007</v>
      </c>
      <c r="BL117" s="262">
        <f>SUM(BC117:BD117)</f>
        <v>0</v>
      </c>
      <c r="BM117" s="257">
        <f t="shared" si="62"/>
        <v>87.555000000000007</v>
      </c>
      <c r="BO117" s="714">
        <f t="shared" si="65"/>
        <v>11.673999999999999</v>
      </c>
    </row>
    <row r="118" spans="2:67" ht="15" customHeight="1" x14ac:dyDescent="0.25">
      <c r="B118" s="19">
        <f t="shared" si="72"/>
        <v>21</v>
      </c>
      <c r="C118" s="44" t="s">
        <v>137</v>
      </c>
      <c r="D118" s="45"/>
      <c r="E118" s="105" t="s">
        <v>136</v>
      </c>
      <c r="G118" s="477">
        <f>'[15]DUoS (t)'!G115</f>
        <v>1019.18</v>
      </c>
      <c r="H118" s="478">
        <f>'[15]DUoS (t)'!H115</f>
        <v>1.6000000000000001E-3</v>
      </c>
      <c r="I118" s="461"/>
      <c r="J118" s="461"/>
      <c r="K118" s="462"/>
      <c r="L118" s="461"/>
      <c r="M118" s="461"/>
      <c r="N118" s="461"/>
      <c r="O118" s="462"/>
      <c r="P118" s="461"/>
      <c r="Q118" s="461"/>
      <c r="R118" s="462"/>
      <c r="S118" s="478">
        <f>'[15]DUoS (t)'!S115</f>
        <v>0</v>
      </c>
      <c r="T118" s="483">
        <f>'[15]DUoS (t)'!T115</f>
        <v>4.1399999999999999E-2</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63"/>
        <v>372.00069999999994</v>
      </c>
      <c r="AP118" s="184">
        <f t="shared" si="76"/>
        <v>3.52</v>
      </c>
      <c r="AQ118" s="178">
        <f t="shared" si="76"/>
        <v>0</v>
      </c>
      <c r="AR118" s="178">
        <f t="shared" si="76"/>
        <v>0</v>
      </c>
      <c r="AS118" s="179">
        <f t="shared" si="76"/>
        <v>0</v>
      </c>
      <c r="AT118" s="178">
        <f t="shared" si="76"/>
        <v>0</v>
      </c>
      <c r="AU118" s="178">
        <f t="shared" si="76"/>
        <v>0</v>
      </c>
      <c r="AV118" s="178">
        <f t="shared" si="76"/>
        <v>0</v>
      </c>
      <c r="AW118" s="179">
        <f t="shared" si="76"/>
        <v>0</v>
      </c>
      <c r="AX118" s="178">
        <f t="shared" si="84"/>
        <v>0</v>
      </c>
      <c r="AY118" s="178">
        <f t="shared" si="84"/>
        <v>0</v>
      </c>
      <c r="AZ118" s="179">
        <f t="shared" si="84"/>
        <v>0</v>
      </c>
      <c r="BA118" s="184">
        <f t="shared" si="84"/>
        <v>0</v>
      </c>
      <c r="BB118" s="178">
        <f t="shared" si="84"/>
        <v>75.555000000000007</v>
      </c>
      <c r="BC118" s="184">
        <f t="shared" si="84"/>
        <v>0</v>
      </c>
      <c r="BD118" s="178">
        <f t="shared" si="84"/>
        <v>0</v>
      </c>
      <c r="BE118" s="244">
        <f t="shared" si="64"/>
        <v>1</v>
      </c>
      <c r="BF118" s="245">
        <f t="shared" si="83"/>
        <v>2200</v>
      </c>
      <c r="BH118" s="255">
        <f>SUM(AO118)</f>
        <v>372.00069999999994</v>
      </c>
      <c r="BI118" s="255">
        <f>SUM(AP118:AS118)</f>
        <v>3.52</v>
      </c>
      <c r="BJ118" s="255">
        <f>SUM(AT118:AW118)</f>
        <v>0</v>
      </c>
      <c r="BK118" s="256">
        <f>SUM(AX118:BB118)</f>
        <v>75.555000000000007</v>
      </c>
      <c r="BL118" s="262">
        <f>SUM(BC118:BD118)</f>
        <v>0</v>
      </c>
      <c r="BM118" s="257">
        <f t="shared" si="62"/>
        <v>451.07569999999993</v>
      </c>
      <c r="BO118" s="714">
        <f t="shared" si="65"/>
        <v>205.03440909090907</v>
      </c>
    </row>
    <row r="119" spans="2:67" ht="15" customHeight="1" x14ac:dyDescent="0.25">
      <c r="B119" s="19">
        <f t="shared" si="72"/>
        <v>22</v>
      </c>
      <c r="C119" s="44" t="s">
        <v>138</v>
      </c>
      <c r="D119" s="45"/>
      <c r="E119" s="105" t="s">
        <v>136</v>
      </c>
      <c r="G119" s="477">
        <f>'[15]DUoS (t)'!G116</f>
        <v>432.88</v>
      </c>
      <c r="H119" s="478">
        <f>'[15]DUoS (t)'!H116</f>
        <v>1.6000000000000001E-3</v>
      </c>
      <c r="I119" s="461"/>
      <c r="J119" s="461"/>
      <c r="K119" s="462"/>
      <c r="L119" s="461"/>
      <c r="M119" s="461"/>
      <c r="N119" s="461"/>
      <c r="O119" s="462"/>
      <c r="P119" s="461"/>
      <c r="Q119" s="461"/>
      <c r="R119" s="462"/>
      <c r="S119" s="478">
        <f>'[15]DUoS (t)'!S116</f>
        <v>0</v>
      </c>
      <c r="T119" s="483">
        <f>'[15]DUoS (t)'!T116</f>
        <v>4.1399999999999999E-2</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63"/>
        <v>158.00120000000001</v>
      </c>
      <c r="AP119" s="184">
        <f t="shared" si="76"/>
        <v>13.088000000000001</v>
      </c>
      <c r="AQ119" s="178">
        <f t="shared" si="76"/>
        <v>0</v>
      </c>
      <c r="AR119" s="178">
        <f t="shared" si="76"/>
        <v>0</v>
      </c>
      <c r="AS119" s="179">
        <f t="shared" si="76"/>
        <v>0</v>
      </c>
      <c r="AT119" s="178">
        <f t="shared" si="76"/>
        <v>0</v>
      </c>
      <c r="AU119" s="178">
        <f t="shared" si="76"/>
        <v>0</v>
      </c>
      <c r="AV119" s="178">
        <f t="shared" si="76"/>
        <v>0</v>
      </c>
      <c r="AW119" s="179">
        <f t="shared" si="76"/>
        <v>0</v>
      </c>
      <c r="AX119" s="178">
        <f t="shared" si="84"/>
        <v>0</v>
      </c>
      <c r="AY119" s="178">
        <f t="shared" si="84"/>
        <v>0</v>
      </c>
      <c r="AZ119" s="179">
        <f t="shared" si="84"/>
        <v>0</v>
      </c>
      <c r="BA119" s="184">
        <f t="shared" si="84"/>
        <v>0</v>
      </c>
      <c r="BB119" s="178">
        <f t="shared" si="84"/>
        <v>75.555000000000007</v>
      </c>
      <c r="BC119" s="184">
        <f t="shared" si="84"/>
        <v>0</v>
      </c>
      <c r="BD119" s="178">
        <f t="shared" si="84"/>
        <v>0</v>
      </c>
      <c r="BE119" s="244">
        <f t="shared" si="64"/>
        <v>1</v>
      </c>
      <c r="BF119" s="245">
        <f t="shared" si="83"/>
        <v>8180</v>
      </c>
      <c r="BH119" s="255">
        <f>SUM(AO119)</f>
        <v>158.00120000000001</v>
      </c>
      <c r="BI119" s="255">
        <f>SUM(AP119:AS119)</f>
        <v>13.088000000000001</v>
      </c>
      <c r="BJ119" s="255">
        <f>SUM(AT119:AW119)</f>
        <v>0</v>
      </c>
      <c r="BK119" s="256">
        <f>SUM(AX119:BB119)</f>
        <v>75.555000000000007</v>
      </c>
      <c r="BL119" s="262">
        <f>SUM(BC119:BD119)</f>
        <v>0</v>
      </c>
      <c r="BM119" s="257">
        <f t="shared" si="62"/>
        <v>246.64420000000001</v>
      </c>
      <c r="BO119" s="714">
        <f t="shared" si="65"/>
        <v>30.152102689486554</v>
      </c>
    </row>
    <row r="120" spans="2:67"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63"/>
        <v>0</v>
      </c>
      <c r="AP120" s="184">
        <f t="shared" si="76"/>
        <v>0</v>
      </c>
      <c r="AQ120" s="178">
        <f t="shared" si="76"/>
        <v>0</v>
      </c>
      <c r="AR120" s="178">
        <f t="shared" si="76"/>
        <v>0</v>
      </c>
      <c r="AS120" s="179">
        <f t="shared" si="76"/>
        <v>0</v>
      </c>
      <c r="AT120" s="178">
        <f t="shared" si="76"/>
        <v>0</v>
      </c>
      <c r="AU120" s="178">
        <f t="shared" si="76"/>
        <v>0</v>
      </c>
      <c r="AV120" s="178">
        <f t="shared" si="76"/>
        <v>0</v>
      </c>
      <c r="AW120" s="179">
        <f t="shared" si="76"/>
        <v>0</v>
      </c>
      <c r="AX120" s="178">
        <f t="shared" si="84"/>
        <v>0</v>
      </c>
      <c r="AY120" s="178">
        <f t="shared" si="84"/>
        <v>0</v>
      </c>
      <c r="AZ120" s="179">
        <f t="shared" si="84"/>
        <v>0</v>
      </c>
      <c r="BA120" s="184">
        <f t="shared" si="84"/>
        <v>0</v>
      </c>
      <c r="BB120" s="178">
        <f t="shared" si="84"/>
        <v>0</v>
      </c>
      <c r="BC120" s="184">
        <f t="shared" si="84"/>
        <v>0</v>
      </c>
      <c r="BD120" s="178">
        <f t="shared" si="84"/>
        <v>0</v>
      </c>
      <c r="BE120" s="244">
        <f t="shared" si="64"/>
        <v>0</v>
      </c>
      <c r="BF120" s="245">
        <f t="shared" si="83"/>
        <v>0</v>
      </c>
      <c r="BH120" s="252">
        <f>SUBTOTAL(9,BH121:BH129)</f>
        <v>0</v>
      </c>
      <c r="BI120" s="252">
        <f>SUBTOTAL(9,BI121:BI129)</f>
        <v>1036.9600000000003</v>
      </c>
      <c r="BJ120" s="252">
        <f>SUBTOTAL(9,BJ121:BJ129)</f>
        <v>0</v>
      </c>
      <c r="BK120" s="252">
        <f>SUBTOTAL(9,BK121:BK129)</f>
        <v>3024.5875380000002</v>
      </c>
      <c r="BL120" s="252">
        <f>SUBTOTAL(9,BL121:BL129)</f>
        <v>0</v>
      </c>
      <c r="BM120" s="257">
        <f t="shared" si="62"/>
        <v>4061.5475380000007</v>
      </c>
      <c r="BO120" s="714" t="str">
        <f t="shared" si="65"/>
        <v/>
      </c>
    </row>
    <row r="121" spans="2:67" ht="15" customHeight="1" x14ac:dyDescent="0.25">
      <c r="B121" s="19">
        <f>B119+1</f>
        <v>23</v>
      </c>
      <c r="C121" s="44" t="s">
        <v>140</v>
      </c>
      <c r="D121" s="45"/>
      <c r="E121" s="105" t="s">
        <v>141</v>
      </c>
      <c r="G121" s="477">
        <f>'[15]DUoS (t)'!G118</f>
        <v>0</v>
      </c>
      <c r="H121" s="478">
        <f>'[15]DUoS (t)'!H118</f>
        <v>1.6000000000000001E-3</v>
      </c>
      <c r="I121" s="461"/>
      <c r="J121" s="461"/>
      <c r="K121" s="462"/>
      <c r="L121" s="461"/>
      <c r="M121" s="461"/>
      <c r="N121" s="461"/>
      <c r="O121" s="462"/>
      <c r="P121" s="461"/>
      <c r="Q121" s="461"/>
      <c r="R121" s="462"/>
      <c r="S121" s="478">
        <f>'[15]DUoS (t)'!S118</f>
        <v>0</v>
      </c>
      <c r="T121" s="483">
        <f>'[15]DUoS (t)'!T118</f>
        <v>4.1399999999999999E-2</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63"/>
        <v>0</v>
      </c>
      <c r="AP121" s="184">
        <f t="shared" si="76"/>
        <v>226.4</v>
      </c>
      <c r="AQ121" s="178">
        <f t="shared" si="76"/>
        <v>0</v>
      </c>
      <c r="AR121" s="178">
        <f t="shared" si="76"/>
        <v>0</v>
      </c>
      <c r="AS121" s="179">
        <f t="shared" si="76"/>
        <v>0</v>
      </c>
      <c r="AT121" s="178">
        <f t="shared" si="76"/>
        <v>0</v>
      </c>
      <c r="AU121" s="178">
        <f t="shared" si="76"/>
        <v>0</v>
      </c>
      <c r="AV121" s="178">
        <f t="shared" si="76"/>
        <v>0</v>
      </c>
      <c r="AW121" s="179">
        <f t="shared" si="76"/>
        <v>0</v>
      </c>
      <c r="AX121" s="178">
        <f t="shared" si="84"/>
        <v>0</v>
      </c>
      <c r="AY121" s="178">
        <f t="shared" si="84"/>
        <v>0</v>
      </c>
      <c r="AZ121" s="179">
        <f t="shared" si="84"/>
        <v>0</v>
      </c>
      <c r="BA121" s="184">
        <f t="shared" si="84"/>
        <v>0</v>
      </c>
      <c r="BB121" s="178">
        <f t="shared" si="84"/>
        <v>323.08829099999997</v>
      </c>
      <c r="BC121" s="184">
        <f t="shared" si="84"/>
        <v>0</v>
      </c>
      <c r="BD121" s="178">
        <f t="shared" si="84"/>
        <v>0</v>
      </c>
      <c r="BE121" s="244">
        <f t="shared" si="64"/>
        <v>1</v>
      </c>
      <c r="BF121" s="245">
        <f t="shared" si="83"/>
        <v>141500</v>
      </c>
      <c r="BH121" s="255">
        <f t="shared" ref="BH121:BH129" si="85">SUM(AO121)</f>
        <v>0</v>
      </c>
      <c r="BI121" s="255">
        <f t="shared" ref="BI121:BI129" si="86">SUM(AP121:AS121)</f>
        <v>226.4</v>
      </c>
      <c r="BJ121" s="255">
        <f t="shared" ref="BJ121:BJ129" si="87">SUM(AT121:AW121)</f>
        <v>0</v>
      </c>
      <c r="BK121" s="256">
        <f t="shared" ref="BK121:BK129" si="88">SUM(AX121:BB121)</f>
        <v>323.08829099999997</v>
      </c>
      <c r="BL121" s="262">
        <f t="shared" ref="BL121:BL129" si="89">SUM(BC121:BD121)</f>
        <v>0</v>
      </c>
      <c r="BM121" s="257">
        <f t="shared" si="62"/>
        <v>549.488291</v>
      </c>
      <c r="BO121" s="714">
        <f t="shared" si="65"/>
        <v>3.8833094770318017</v>
      </c>
    </row>
    <row r="122" spans="2:67" ht="15" customHeight="1" x14ac:dyDescent="0.25">
      <c r="B122" s="19">
        <f t="shared" si="72"/>
        <v>24</v>
      </c>
      <c r="C122" s="44" t="s">
        <v>142</v>
      </c>
      <c r="D122" s="45"/>
      <c r="E122" s="105" t="s">
        <v>141</v>
      </c>
      <c r="G122" s="477">
        <f>'[15]DUoS (t)'!G119</f>
        <v>0</v>
      </c>
      <c r="H122" s="478">
        <f>'[15]DUoS (t)'!H119</f>
        <v>1.6000000000000001E-3</v>
      </c>
      <c r="I122" s="461"/>
      <c r="J122" s="461"/>
      <c r="K122" s="462"/>
      <c r="L122" s="461"/>
      <c r="M122" s="461"/>
      <c r="N122" s="461"/>
      <c r="O122" s="462"/>
      <c r="P122" s="461"/>
      <c r="Q122" s="461"/>
      <c r="R122" s="462"/>
      <c r="S122" s="478">
        <f>'[15]DUoS (t)'!S119</f>
        <v>0</v>
      </c>
      <c r="T122" s="483">
        <f>'[15]DUoS (t)'!T119</f>
        <v>4.1399999999999999E-2</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63"/>
        <v>0</v>
      </c>
      <c r="AP122" s="184">
        <f t="shared" si="76"/>
        <v>432.16</v>
      </c>
      <c r="AQ122" s="178">
        <f t="shared" si="76"/>
        <v>0</v>
      </c>
      <c r="AR122" s="178">
        <f t="shared" si="76"/>
        <v>0</v>
      </c>
      <c r="AS122" s="179">
        <f t="shared" si="76"/>
        <v>0</v>
      </c>
      <c r="AT122" s="178">
        <f t="shared" si="76"/>
        <v>0</v>
      </c>
      <c r="AU122" s="178">
        <f t="shared" si="76"/>
        <v>0</v>
      </c>
      <c r="AV122" s="178">
        <f t="shared" si="76"/>
        <v>0</v>
      </c>
      <c r="AW122" s="179">
        <f t="shared" si="76"/>
        <v>0</v>
      </c>
      <c r="AX122" s="178">
        <f t="shared" si="84"/>
        <v>0</v>
      </c>
      <c r="AY122" s="178">
        <f t="shared" si="84"/>
        <v>0</v>
      </c>
      <c r="AZ122" s="179">
        <f t="shared" si="84"/>
        <v>0</v>
      </c>
      <c r="BA122" s="184">
        <f t="shared" si="84"/>
        <v>0</v>
      </c>
      <c r="BB122" s="178">
        <f t="shared" si="84"/>
        <v>778.48849800000005</v>
      </c>
      <c r="BC122" s="184">
        <f t="shared" si="84"/>
        <v>0</v>
      </c>
      <c r="BD122" s="178">
        <f t="shared" si="84"/>
        <v>0</v>
      </c>
      <c r="BE122" s="244">
        <f t="shared" si="64"/>
        <v>1</v>
      </c>
      <c r="BF122" s="245">
        <f t="shared" si="83"/>
        <v>270100</v>
      </c>
      <c r="BH122" s="255">
        <f t="shared" si="85"/>
        <v>0</v>
      </c>
      <c r="BI122" s="255">
        <f t="shared" si="86"/>
        <v>432.16</v>
      </c>
      <c r="BJ122" s="255">
        <f t="shared" si="87"/>
        <v>0</v>
      </c>
      <c r="BK122" s="256">
        <f t="shared" si="88"/>
        <v>778.48849800000005</v>
      </c>
      <c r="BL122" s="262">
        <f t="shared" si="89"/>
        <v>0</v>
      </c>
      <c r="BM122" s="257">
        <f t="shared" si="62"/>
        <v>1210.648498</v>
      </c>
      <c r="BO122" s="714">
        <f t="shared" si="65"/>
        <v>4.4822232432432427</v>
      </c>
    </row>
    <row r="123" spans="2:67" ht="15" customHeight="1" x14ac:dyDescent="0.25">
      <c r="B123" s="19">
        <f t="shared" si="72"/>
        <v>25</v>
      </c>
      <c r="C123" s="44" t="s">
        <v>143</v>
      </c>
      <c r="D123" s="45"/>
      <c r="E123" s="105" t="s">
        <v>141</v>
      </c>
      <c r="G123" s="477">
        <f>'[15]DUoS (t)'!G120</f>
        <v>0</v>
      </c>
      <c r="H123" s="478">
        <f>'[15]DUoS (t)'!H120</f>
        <v>1.6000000000000001E-3</v>
      </c>
      <c r="I123" s="461"/>
      <c r="J123" s="461"/>
      <c r="K123" s="462"/>
      <c r="L123" s="461"/>
      <c r="M123" s="461"/>
      <c r="N123" s="461"/>
      <c r="O123" s="462"/>
      <c r="P123" s="461"/>
      <c r="Q123" s="461"/>
      <c r="R123" s="462"/>
      <c r="S123" s="478">
        <f>'[15]DUoS (t)'!S120</f>
        <v>0</v>
      </c>
      <c r="T123" s="483">
        <f>'[15]DUoS (t)'!T120</f>
        <v>4.1399999999999999E-2</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63"/>
        <v>0</v>
      </c>
      <c r="AP123" s="184">
        <f t="shared" ref="AP123:AW129" si="90">H123*Y123</f>
        <v>33.6</v>
      </c>
      <c r="AQ123" s="178">
        <f t="shared" si="90"/>
        <v>0</v>
      </c>
      <c r="AR123" s="178">
        <f t="shared" si="90"/>
        <v>0</v>
      </c>
      <c r="AS123" s="179">
        <f t="shared" si="90"/>
        <v>0</v>
      </c>
      <c r="AT123" s="178">
        <f t="shared" si="90"/>
        <v>0</v>
      </c>
      <c r="AU123" s="178">
        <f t="shared" si="90"/>
        <v>0</v>
      </c>
      <c r="AV123" s="178">
        <f t="shared" si="90"/>
        <v>0</v>
      </c>
      <c r="AW123" s="179">
        <f t="shared" si="90"/>
        <v>0</v>
      </c>
      <c r="AX123" s="178">
        <f t="shared" si="84"/>
        <v>0</v>
      </c>
      <c r="AY123" s="178">
        <f t="shared" si="84"/>
        <v>0</v>
      </c>
      <c r="AZ123" s="179">
        <f t="shared" si="84"/>
        <v>0</v>
      </c>
      <c r="BA123" s="184">
        <f t="shared" si="84"/>
        <v>0</v>
      </c>
      <c r="BB123" s="178">
        <f t="shared" si="84"/>
        <v>697.56909299999995</v>
      </c>
      <c r="BC123" s="184">
        <f t="shared" si="84"/>
        <v>0</v>
      </c>
      <c r="BD123" s="178">
        <f t="shared" si="84"/>
        <v>0</v>
      </c>
      <c r="BE123" s="244">
        <f t="shared" si="64"/>
        <v>1</v>
      </c>
      <c r="BF123" s="245">
        <f t="shared" si="83"/>
        <v>21000</v>
      </c>
      <c r="BH123" s="255">
        <f t="shared" si="85"/>
        <v>0</v>
      </c>
      <c r="BI123" s="255">
        <f t="shared" si="86"/>
        <v>33.6</v>
      </c>
      <c r="BJ123" s="255">
        <f t="shared" si="87"/>
        <v>0</v>
      </c>
      <c r="BK123" s="256">
        <f t="shared" si="88"/>
        <v>697.56909299999995</v>
      </c>
      <c r="BL123" s="262">
        <f t="shared" si="89"/>
        <v>0</v>
      </c>
      <c r="BM123" s="257">
        <f t="shared" si="62"/>
        <v>731.16909299999998</v>
      </c>
      <c r="BO123" s="714">
        <f t="shared" si="65"/>
        <v>34.817575857142856</v>
      </c>
    </row>
    <row r="124" spans="2:67" ht="15" customHeight="1" x14ac:dyDescent="0.25">
      <c r="B124" s="19">
        <f t="shared" si="72"/>
        <v>26</v>
      </c>
      <c r="C124" s="44" t="s">
        <v>144</v>
      </c>
      <c r="D124" s="45"/>
      <c r="E124" s="105" t="s">
        <v>141</v>
      </c>
      <c r="G124" s="477">
        <f>'[15]DUoS (t)'!G121</f>
        <v>0</v>
      </c>
      <c r="H124" s="478">
        <f>'[15]DUoS (t)'!H121</f>
        <v>1.6000000000000001E-3</v>
      </c>
      <c r="I124" s="461"/>
      <c r="J124" s="461"/>
      <c r="K124" s="462"/>
      <c r="L124" s="461"/>
      <c r="M124" s="461"/>
      <c r="N124" s="461"/>
      <c r="O124" s="462"/>
      <c r="P124" s="461"/>
      <c r="Q124" s="461"/>
      <c r="R124" s="462"/>
      <c r="S124" s="478">
        <f>'[15]DUoS (t)'!S121</f>
        <v>0</v>
      </c>
      <c r="T124" s="483">
        <f>'[15]DUoS (t)'!T121</f>
        <v>4.1399999999999999E-2</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63"/>
        <v>0</v>
      </c>
      <c r="AP124" s="184">
        <f t="shared" si="90"/>
        <v>24.32</v>
      </c>
      <c r="AQ124" s="178">
        <f t="shared" si="90"/>
        <v>0</v>
      </c>
      <c r="AR124" s="178">
        <f t="shared" si="90"/>
        <v>0</v>
      </c>
      <c r="AS124" s="179">
        <f t="shared" si="90"/>
        <v>0</v>
      </c>
      <c r="AT124" s="178">
        <f t="shared" si="90"/>
        <v>0</v>
      </c>
      <c r="AU124" s="178">
        <f t="shared" si="90"/>
        <v>0</v>
      </c>
      <c r="AV124" s="178">
        <f t="shared" si="90"/>
        <v>0</v>
      </c>
      <c r="AW124" s="179">
        <f t="shared" si="90"/>
        <v>0</v>
      </c>
      <c r="AX124" s="178">
        <f t="shared" si="84"/>
        <v>0</v>
      </c>
      <c r="AY124" s="178">
        <f t="shared" si="84"/>
        <v>0</v>
      </c>
      <c r="AZ124" s="179">
        <f t="shared" si="84"/>
        <v>0</v>
      </c>
      <c r="BA124" s="184">
        <f t="shared" si="84"/>
        <v>0</v>
      </c>
      <c r="BB124" s="178">
        <f t="shared" si="84"/>
        <v>151.11000000000001</v>
      </c>
      <c r="BC124" s="184">
        <f t="shared" si="84"/>
        <v>0</v>
      </c>
      <c r="BD124" s="178">
        <f t="shared" si="84"/>
        <v>0</v>
      </c>
      <c r="BE124" s="244">
        <f t="shared" si="64"/>
        <v>1</v>
      </c>
      <c r="BF124" s="245">
        <f t="shared" si="83"/>
        <v>15200</v>
      </c>
      <c r="BH124" s="255">
        <f t="shared" si="85"/>
        <v>0</v>
      </c>
      <c r="BI124" s="255">
        <f t="shared" si="86"/>
        <v>24.32</v>
      </c>
      <c r="BJ124" s="255">
        <f t="shared" si="87"/>
        <v>0</v>
      </c>
      <c r="BK124" s="256">
        <f t="shared" si="88"/>
        <v>151.11000000000001</v>
      </c>
      <c r="BL124" s="262">
        <f t="shared" si="89"/>
        <v>0</v>
      </c>
      <c r="BM124" s="257">
        <f t="shared" si="62"/>
        <v>175.43</v>
      </c>
      <c r="BO124" s="714">
        <f t="shared" si="65"/>
        <v>11.541447368421053</v>
      </c>
    </row>
    <row r="125" spans="2:67" ht="15" customHeight="1" x14ac:dyDescent="0.25">
      <c r="B125" s="19">
        <f t="shared" si="72"/>
        <v>27</v>
      </c>
      <c r="C125" s="44" t="s">
        <v>145</v>
      </c>
      <c r="D125" s="45"/>
      <c r="E125" s="105" t="s">
        <v>141</v>
      </c>
      <c r="G125" s="477">
        <f>'[15]DUoS (t)'!G122</f>
        <v>0</v>
      </c>
      <c r="H125" s="478">
        <f>'[15]DUoS (t)'!H122</f>
        <v>1.6000000000000001E-3</v>
      </c>
      <c r="I125" s="461"/>
      <c r="J125" s="461"/>
      <c r="K125" s="462"/>
      <c r="L125" s="461"/>
      <c r="M125" s="461"/>
      <c r="N125" s="461"/>
      <c r="O125" s="462"/>
      <c r="P125" s="461"/>
      <c r="Q125" s="461"/>
      <c r="R125" s="462"/>
      <c r="S125" s="478">
        <f>'[15]DUoS (t)'!S122</f>
        <v>0</v>
      </c>
      <c r="T125" s="483">
        <f>'[15]DUoS (t)'!T122</f>
        <v>4.1399999999999999E-2</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63"/>
        <v>0</v>
      </c>
      <c r="AP125" s="184">
        <f t="shared" si="90"/>
        <v>137.6</v>
      </c>
      <c r="AQ125" s="178">
        <f t="shared" si="90"/>
        <v>0</v>
      </c>
      <c r="AR125" s="178">
        <f t="shared" si="90"/>
        <v>0</v>
      </c>
      <c r="AS125" s="179">
        <f t="shared" si="90"/>
        <v>0</v>
      </c>
      <c r="AT125" s="178">
        <f t="shared" si="90"/>
        <v>0</v>
      </c>
      <c r="AU125" s="178">
        <f t="shared" si="90"/>
        <v>0</v>
      </c>
      <c r="AV125" s="178">
        <f t="shared" si="90"/>
        <v>0</v>
      </c>
      <c r="AW125" s="179">
        <f t="shared" si="90"/>
        <v>0</v>
      </c>
      <c r="AX125" s="178">
        <f t="shared" si="84"/>
        <v>0</v>
      </c>
      <c r="AY125" s="178">
        <f t="shared" si="84"/>
        <v>0</v>
      </c>
      <c r="AZ125" s="179">
        <f t="shared" si="84"/>
        <v>0</v>
      </c>
      <c r="BA125" s="184">
        <f t="shared" si="84"/>
        <v>0</v>
      </c>
      <c r="BB125" s="178">
        <f t="shared" si="84"/>
        <v>239.73601499999998</v>
      </c>
      <c r="BC125" s="184">
        <f t="shared" si="84"/>
        <v>0</v>
      </c>
      <c r="BD125" s="178">
        <f t="shared" si="84"/>
        <v>0</v>
      </c>
      <c r="BE125" s="244">
        <f t="shared" si="64"/>
        <v>1</v>
      </c>
      <c r="BF125" s="245">
        <f t="shared" si="83"/>
        <v>86000</v>
      </c>
      <c r="BH125" s="255">
        <f t="shared" si="85"/>
        <v>0</v>
      </c>
      <c r="BI125" s="255">
        <f t="shared" si="86"/>
        <v>137.6</v>
      </c>
      <c r="BJ125" s="255">
        <f t="shared" si="87"/>
        <v>0</v>
      </c>
      <c r="BK125" s="256">
        <f t="shared" si="88"/>
        <v>239.73601499999998</v>
      </c>
      <c r="BL125" s="262">
        <f t="shared" si="89"/>
        <v>0</v>
      </c>
      <c r="BM125" s="257">
        <f t="shared" si="62"/>
        <v>377.33601499999997</v>
      </c>
      <c r="BO125" s="714">
        <f t="shared" si="65"/>
        <v>4.3876280813953485</v>
      </c>
    </row>
    <row r="126" spans="2:67" ht="15" customHeight="1" x14ac:dyDescent="0.25">
      <c r="B126" s="19">
        <f t="shared" si="72"/>
        <v>28</v>
      </c>
      <c r="C126" s="44" t="s">
        <v>146</v>
      </c>
      <c r="D126" s="45"/>
      <c r="E126" s="105" t="s">
        <v>141</v>
      </c>
      <c r="G126" s="477">
        <f>'[15]DUoS (t)'!G123</f>
        <v>0</v>
      </c>
      <c r="H126" s="478">
        <f>'[15]DUoS (t)'!H123</f>
        <v>1.6000000000000001E-3</v>
      </c>
      <c r="I126" s="461"/>
      <c r="J126" s="461"/>
      <c r="K126" s="462"/>
      <c r="L126" s="461"/>
      <c r="M126" s="461"/>
      <c r="N126" s="461"/>
      <c r="O126" s="462"/>
      <c r="P126" s="461"/>
      <c r="Q126" s="461"/>
      <c r="R126" s="462"/>
      <c r="S126" s="478">
        <f>'[15]DUoS (t)'!S123</f>
        <v>0</v>
      </c>
      <c r="T126" s="483">
        <f>'[15]DUoS (t)'!T123</f>
        <v>4.1399999999999999E-2</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63"/>
        <v>0</v>
      </c>
      <c r="AP126" s="184">
        <f t="shared" si="90"/>
        <v>44.64</v>
      </c>
      <c r="AQ126" s="178">
        <f t="shared" si="90"/>
        <v>0</v>
      </c>
      <c r="AR126" s="178">
        <f t="shared" si="90"/>
        <v>0</v>
      </c>
      <c r="AS126" s="179">
        <f t="shared" si="90"/>
        <v>0</v>
      </c>
      <c r="AT126" s="178">
        <f t="shared" si="90"/>
        <v>0</v>
      </c>
      <c r="AU126" s="178">
        <f t="shared" si="90"/>
        <v>0</v>
      </c>
      <c r="AV126" s="178">
        <f t="shared" si="90"/>
        <v>0</v>
      </c>
      <c r="AW126" s="179">
        <f t="shared" si="90"/>
        <v>0</v>
      </c>
      <c r="AX126" s="178">
        <f t="shared" si="84"/>
        <v>0</v>
      </c>
      <c r="AY126" s="178">
        <f t="shared" si="84"/>
        <v>0</v>
      </c>
      <c r="AZ126" s="179">
        <f t="shared" si="84"/>
        <v>0</v>
      </c>
      <c r="BA126" s="184">
        <f t="shared" si="84"/>
        <v>0</v>
      </c>
      <c r="BB126" s="178">
        <f t="shared" si="84"/>
        <v>194.856345</v>
      </c>
      <c r="BC126" s="184">
        <f t="shared" si="84"/>
        <v>0</v>
      </c>
      <c r="BD126" s="178">
        <f t="shared" si="84"/>
        <v>0</v>
      </c>
      <c r="BE126" s="244">
        <f t="shared" si="64"/>
        <v>1</v>
      </c>
      <c r="BF126" s="245">
        <f t="shared" si="83"/>
        <v>27900</v>
      </c>
      <c r="BH126" s="255">
        <f t="shared" si="85"/>
        <v>0</v>
      </c>
      <c r="BI126" s="255">
        <f t="shared" si="86"/>
        <v>44.64</v>
      </c>
      <c r="BJ126" s="255">
        <f t="shared" si="87"/>
        <v>0</v>
      </c>
      <c r="BK126" s="256">
        <f t="shared" si="88"/>
        <v>194.856345</v>
      </c>
      <c r="BL126" s="262">
        <f t="shared" si="89"/>
        <v>0</v>
      </c>
      <c r="BM126" s="257">
        <f t="shared" si="62"/>
        <v>239.49634500000002</v>
      </c>
      <c r="BO126" s="714">
        <f t="shared" si="65"/>
        <v>8.5840983870967751</v>
      </c>
    </row>
    <row r="127" spans="2:67" ht="15" customHeight="1" x14ac:dyDescent="0.25">
      <c r="B127" s="19">
        <f t="shared" si="72"/>
        <v>29</v>
      </c>
      <c r="C127" s="44" t="s">
        <v>147</v>
      </c>
      <c r="D127" s="45"/>
      <c r="E127" s="105" t="s">
        <v>141</v>
      </c>
      <c r="G127" s="477">
        <f>'[15]DUoS (t)'!G124</f>
        <v>0</v>
      </c>
      <c r="H127" s="478">
        <f>'[15]DUoS (t)'!H124</f>
        <v>1.6000000000000001E-3</v>
      </c>
      <c r="I127" s="461"/>
      <c r="J127" s="461"/>
      <c r="K127" s="462"/>
      <c r="L127" s="461"/>
      <c r="M127" s="461"/>
      <c r="N127" s="461"/>
      <c r="O127" s="462"/>
      <c r="P127" s="461"/>
      <c r="Q127" s="461"/>
      <c r="R127" s="462"/>
      <c r="S127" s="478">
        <f>'[15]DUoS (t)'!S124</f>
        <v>0</v>
      </c>
      <c r="T127" s="483">
        <f>'[15]DUoS (t)'!T124</f>
        <v>4.1399999999999999E-2</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63"/>
        <v>0</v>
      </c>
      <c r="AP127" s="184">
        <f t="shared" si="90"/>
        <v>43.84</v>
      </c>
      <c r="AQ127" s="178">
        <f t="shared" si="90"/>
        <v>0</v>
      </c>
      <c r="AR127" s="178">
        <f t="shared" si="90"/>
        <v>0</v>
      </c>
      <c r="AS127" s="179">
        <f t="shared" si="90"/>
        <v>0</v>
      </c>
      <c r="AT127" s="178">
        <f t="shared" si="90"/>
        <v>0</v>
      </c>
      <c r="AU127" s="178">
        <f t="shared" si="90"/>
        <v>0</v>
      </c>
      <c r="AV127" s="178">
        <f t="shared" si="90"/>
        <v>0</v>
      </c>
      <c r="AW127" s="179">
        <f t="shared" si="90"/>
        <v>0</v>
      </c>
      <c r="AX127" s="178">
        <f t="shared" si="84"/>
        <v>0</v>
      </c>
      <c r="AY127" s="178">
        <f t="shared" si="84"/>
        <v>0</v>
      </c>
      <c r="AZ127" s="179">
        <f t="shared" si="84"/>
        <v>0</v>
      </c>
      <c r="BA127" s="184">
        <f t="shared" si="84"/>
        <v>0</v>
      </c>
      <c r="BB127" s="178">
        <f t="shared" si="84"/>
        <v>384.19717500000002</v>
      </c>
      <c r="BC127" s="184">
        <f t="shared" si="84"/>
        <v>0</v>
      </c>
      <c r="BD127" s="178">
        <f t="shared" si="84"/>
        <v>0</v>
      </c>
      <c r="BE127" s="244">
        <f t="shared" si="64"/>
        <v>1</v>
      </c>
      <c r="BF127" s="245">
        <f t="shared" si="83"/>
        <v>27400</v>
      </c>
      <c r="BH127" s="255">
        <f t="shared" si="85"/>
        <v>0</v>
      </c>
      <c r="BI127" s="255">
        <f t="shared" si="86"/>
        <v>43.84</v>
      </c>
      <c r="BJ127" s="255">
        <f t="shared" si="87"/>
        <v>0</v>
      </c>
      <c r="BK127" s="256">
        <f t="shared" si="88"/>
        <v>384.19717500000002</v>
      </c>
      <c r="BL127" s="262">
        <f t="shared" si="89"/>
        <v>0</v>
      </c>
      <c r="BM127" s="257">
        <f t="shared" si="62"/>
        <v>428.03717500000005</v>
      </c>
      <c r="BO127" s="714">
        <f t="shared" si="65"/>
        <v>15.621794708029199</v>
      </c>
    </row>
    <row r="128" spans="2:67" ht="15" customHeight="1" x14ac:dyDescent="0.25">
      <c r="B128" s="19">
        <f t="shared" si="72"/>
        <v>30</v>
      </c>
      <c r="C128" s="44" t="s">
        <v>148</v>
      </c>
      <c r="D128" s="45"/>
      <c r="E128" s="105" t="s">
        <v>141</v>
      </c>
      <c r="G128" s="477">
        <f>'[15]DUoS (t)'!G125</f>
        <v>0</v>
      </c>
      <c r="H128" s="478">
        <f>'[15]DUoS (t)'!H125</f>
        <v>1.6000000000000001E-3</v>
      </c>
      <c r="I128" s="461"/>
      <c r="J128" s="461"/>
      <c r="K128" s="462"/>
      <c r="L128" s="461"/>
      <c r="M128" s="461"/>
      <c r="N128" s="461"/>
      <c r="O128" s="462"/>
      <c r="P128" s="461"/>
      <c r="Q128" s="461"/>
      <c r="R128" s="462"/>
      <c r="S128" s="478">
        <f>'[15]DUoS (t)'!S125</f>
        <v>0</v>
      </c>
      <c r="T128" s="483">
        <f>'[15]DUoS (t)'!T125</f>
        <v>4.1399999999999999E-2</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63"/>
        <v>0</v>
      </c>
      <c r="AP128" s="184">
        <f t="shared" si="90"/>
        <v>94.4</v>
      </c>
      <c r="AQ128" s="178">
        <f t="shared" si="90"/>
        <v>0</v>
      </c>
      <c r="AR128" s="178">
        <f t="shared" si="90"/>
        <v>0</v>
      </c>
      <c r="AS128" s="179">
        <f t="shared" si="90"/>
        <v>0</v>
      </c>
      <c r="AT128" s="178">
        <f t="shared" si="90"/>
        <v>0</v>
      </c>
      <c r="AU128" s="178">
        <f t="shared" si="90"/>
        <v>0</v>
      </c>
      <c r="AV128" s="178">
        <f t="shared" si="90"/>
        <v>0</v>
      </c>
      <c r="AW128" s="179">
        <f t="shared" si="90"/>
        <v>0</v>
      </c>
      <c r="AX128" s="178">
        <f t="shared" si="84"/>
        <v>0</v>
      </c>
      <c r="AY128" s="178">
        <f t="shared" si="84"/>
        <v>0</v>
      </c>
      <c r="AZ128" s="179">
        <f t="shared" si="84"/>
        <v>0</v>
      </c>
      <c r="BA128" s="184">
        <f t="shared" si="84"/>
        <v>0</v>
      </c>
      <c r="BB128" s="178">
        <f t="shared" si="84"/>
        <v>255.54212099999998</v>
      </c>
      <c r="BC128" s="184">
        <f t="shared" si="84"/>
        <v>0</v>
      </c>
      <c r="BD128" s="178">
        <f t="shared" si="84"/>
        <v>0</v>
      </c>
      <c r="BE128" s="244">
        <f t="shared" si="64"/>
        <v>1</v>
      </c>
      <c r="BF128" s="245">
        <f t="shared" si="83"/>
        <v>59000</v>
      </c>
      <c r="BH128" s="255">
        <f t="shared" si="85"/>
        <v>0</v>
      </c>
      <c r="BI128" s="255">
        <f t="shared" si="86"/>
        <v>94.4</v>
      </c>
      <c r="BJ128" s="255">
        <f t="shared" si="87"/>
        <v>0</v>
      </c>
      <c r="BK128" s="256">
        <f t="shared" si="88"/>
        <v>255.54212099999998</v>
      </c>
      <c r="BL128" s="262">
        <f t="shared" si="89"/>
        <v>0</v>
      </c>
      <c r="BM128" s="257">
        <f t="shared" si="62"/>
        <v>349.94212099999999</v>
      </c>
      <c r="BO128" s="714">
        <f t="shared" si="65"/>
        <v>5.9312223898305083</v>
      </c>
    </row>
    <row r="129" spans="1:70" ht="15" customHeight="1" x14ac:dyDescent="0.25">
      <c r="A129" s="214"/>
      <c r="B129" s="26">
        <f t="shared" si="72"/>
        <v>31</v>
      </c>
      <c r="C129" s="839" t="s">
        <v>149</v>
      </c>
      <c r="D129" s="56"/>
      <c r="E129" s="840" t="s">
        <v>141</v>
      </c>
      <c r="G129" s="485">
        <f>'[15]DUoS (t)'!G126</f>
        <v>0</v>
      </c>
      <c r="H129" s="486">
        <f>'[15]DUoS (t)'!H126</f>
        <v>1.6000000000000001E-3</v>
      </c>
      <c r="I129" s="487"/>
      <c r="J129" s="487"/>
      <c r="K129" s="488"/>
      <c r="L129" s="487"/>
      <c r="M129" s="487"/>
      <c r="N129" s="487"/>
      <c r="O129" s="488"/>
      <c r="P129" s="487"/>
      <c r="Q129" s="487"/>
      <c r="R129" s="488"/>
      <c r="S129" s="486">
        <f>'[15]DUoS (t)'!S126</f>
        <v>0</v>
      </c>
      <c r="T129" s="489">
        <f>'[15]DUoS (t)'!T126</f>
        <v>4.1399999999999999E-2</v>
      </c>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63"/>
        <v>0</v>
      </c>
      <c r="AP129" s="197">
        <f t="shared" si="90"/>
        <v>0</v>
      </c>
      <c r="AQ129" s="192">
        <f t="shared" si="90"/>
        <v>0</v>
      </c>
      <c r="AR129" s="192">
        <f t="shared" si="90"/>
        <v>0</v>
      </c>
      <c r="AS129" s="193">
        <f t="shared" si="90"/>
        <v>0</v>
      </c>
      <c r="AT129" s="192">
        <f t="shared" si="90"/>
        <v>0</v>
      </c>
      <c r="AU129" s="192">
        <f t="shared" si="90"/>
        <v>0</v>
      </c>
      <c r="AV129" s="192">
        <f t="shared" si="90"/>
        <v>0</v>
      </c>
      <c r="AW129" s="193">
        <f t="shared" si="90"/>
        <v>0</v>
      </c>
      <c r="AX129" s="192">
        <f t="shared" si="84"/>
        <v>0</v>
      </c>
      <c r="AY129" s="192">
        <f t="shared" si="84"/>
        <v>0</v>
      </c>
      <c r="AZ129" s="193">
        <f t="shared" si="84"/>
        <v>0</v>
      </c>
      <c r="BA129" s="197">
        <f t="shared" si="84"/>
        <v>0</v>
      </c>
      <c r="BB129" s="192">
        <f t="shared" si="84"/>
        <v>0</v>
      </c>
      <c r="BC129" s="197">
        <f t="shared" si="84"/>
        <v>0</v>
      </c>
      <c r="BD129" s="193">
        <f t="shared" si="84"/>
        <v>0</v>
      </c>
      <c r="BE129" s="246">
        <f t="shared" si="64"/>
        <v>0</v>
      </c>
      <c r="BF129" s="247">
        <f t="shared" si="83"/>
        <v>0</v>
      </c>
      <c r="BH129" s="258">
        <f t="shared" si="85"/>
        <v>0</v>
      </c>
      <c r="BI129" s="258">
        <f t="shared" si="86"/>
        <v>0</v>
      </c>
      <c r="BJ129" s="258">
        <f t="shared" si="87"/>
        <v>0</v>
      </c>
      <c r="BK129" s="259">
        <f t="shared" si="88"/>
        <v>0</v>
      </c>
      <c r="BL129" s="263">
        <f t="shared" si="89"/>
        <v>0</v>
      </c>
      <c r="BM129" s="264">
        <f t="shared" si="62"/>
        <v>0</v>
      </c>
      <c r="BO129" s="714" t="str">
        <f t="shared" si="65"/>
        <v/>
      </c>
    </row>
    <row r="130" spans="1:70" x14ac:dyDescent="0.25">
      <c r="BE130" s="248"/>
      <c r="BF130" s="249"/>
    </row>
    <row r="131" spans="1:70"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91">SUM(X16:X25)</f>
        <v>293618410</v>
      </c>
      <c r="Y131" s="218">
        <f t="shared" si="91"/>
        <v>2400100</v>
      </c>
      <c r="Z131" s="218">
        <f t="shared" si="91"/>
        <v>570050</v>
      </c>
      <c r="AA131" s="218">
        <f t="shared" si="91"/>
        <v>114350</v>
      </c>
      <c r="AB131" s="218">
        <f t="shared" si="91"/>
        <v>126950</v>
      </c>
      <c r="AC131" s="218">
        <f t="shared" si="91"/>
        <v>361300</v>
      </c>
      <c r="AD131" s="218">
        <f t="shared" si="91"/>
        <v>0</v>
      </c>
      <c r="AE131" s="218">
        <f t="shared" si="91"/>
        <v>92600</v>
      </c>
      <c r="AF131" s="218">
        <f t="shared" si="91"/>
        <v>23100</v>
      </c>
      <c r="AG131" s="218">
        <f t="shared" si="91"/>
        <v>0</v>
      </c>
      <c r="AH131" s="218">
        <f t="shared" si="91"/>
        <v>0</v>
      </c>
      <c r="AI131" s="218">
        <f t="shared" si="91"/>
        <v>0</v>
      </c>
      <c r="AJ131" s="218">
        <f t="shared" si="91"/>
        <v>0</v>
      </c>
      <c r="AK131" s="218">
        <f t="shared" si="91"/>
        <v>0</v>
      </c>
      <c r="AL131" s="218">
        <f t="shared" si="91"/>
        <v>446395</v>
      </c>
      <c r="AM131" s="218">
        <f t="shared" si="91"/>
        <v>0</v>
      </c>
      <c r="AO131" s="218">
        <f t="shared" ref="AO131:BD131" si="92">SUM(AO16:AO25)</f>
        <v>124699.738727</v>
      </c>
      <c r="AP131" s="218">
        <f t="shared" si="92"/>
        <v>221529.22999999998</v>
      </c>
      <c r="AQ131" s="218">
        <f t="shared" si="92"/>
        <v>65762.98</v>
      </c>
      <c r="AR131" s="218">
        <f t="shared" si="92"/>
        <v>5274.6449999999995</v>
      </c>
      <c r="AS131" s="218">
        <f t="shared" si="92"/>
        <v>2930.22</v>
      </c>
      <c r="AT131" s="218">
        <f t="shared" si="92"/>
        <v>16692.059999999998</v>
      </c>
      <c r="AU131" s="218">
        <f t="shared" si="92"/>
        <v>0</v>
      </c>
      <c r="AV131" s="218">
        <f t="shared" si="92"/>
        <v>4278.12</v>
      </c>
      <c r="AW131" s="218">
        <f t="shared" si="92"/>
        <v>533.61</v>
      </c>
      <c r="AX131" s="218">
        <f t="shared" si="92"/>
        <v>0</v>
      </c>
      <c r="AY131" s="218">
        <f t="shared" si="92"/>
        <v>0</v>
      </c>
      <c r="AZ131" s="218">
        <f t="shared" si="92"/>
        <v>0</v>
      </c>
      <c r="BA131" s="218">
        <f t="shared" si="92"/>
        <v>0</v>
      </c>
      <c r="BB131" s="218">
        <f t="shared" si="92"/>
        <v>0</v>
      </c>
      <c r="BC131" s="218">
        <f t="shared" si="92"/>
        <v>229.08991399999999</v>
      </c>
      <c r="BD131" s="218">
        <f t="shared" si="92"/>
        <v>0</v>
      </c>
      <c r="BE131" s="244">
        <f>SUM(BE17:BE25)</f>
        <v>804434</v>
      </c>
      <c r="BF131" s="245">
        <f>SUM(BF17:BF25)</f>
        <v>3688450</v>
      </c>
      <c r="BH131" s="218">
        <f t="shared" ref="BH131:BM131" si="93">BH16</f>
        <v>124867.8905405</v>
      </c>
      <c r="BI131" s="218">
        <f t="shared" si="93"/>
        <v>295598.08179999993</v>
      </c>
      <c r="BJ131" s="218">
        <f t="shared" si="93"/>
        <v>21503.789999999997</v>
      </c>
      <c r="BK131" s="218">
        <f t="shared" si="93"/>
        <v>0</v>
      </c>
      <c r="BL131" s="218">
        <f t="shared" si="93"/>
        <v>229.08991399999999</v>
      </c>
      <c r="BM131" s="218">
        <f t="shared" si="93"/>
        <v>442198.85225449991</v>
      </c>
      <c r="BN131" s="718">
        <f>BM131/$BM$136</f>
        <v>0.55152809831920846</v>
      </c>
      <c r="BO131" s="714">
        <f t="shared" ref="BO131:BO136" si="94">BM131*1000/BF131</f>
        <v>119.88744655736147</v>
      </c>
      <c r="BQ131" s="659">
        <f>'[19]DUOS (t)'!AR133</f>
        <v>125.03804282208803</v>
      </c>
      <c r="BR131" s="718">
        <f>BO131/BQ131-1</f>
        <v>-4.1192233567308389E-2</v>
      </c>
    </row>
    <row r="132" spans="1:70"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95">SUM(X28:X41)</f>
        <v>34229335</v>
      </c>
      <c r="Y132" s="218">
        <f t="shared" si="95"/>
        <v>447400</v>
      </c>
      <c r="Z132" s="218">
        <f t="shared" si="95"/>
        <v>200600</v>
      </c>
      <c r="AA132" s="218">
        <f t="shared" si="95"/>
        <v>272300</v>
      </c>
      <c r="AB132" s="218">
        <f t="shared" si="95"/>
        <v>379200</v>
      </c>
      <c r="AC132" s="218">
        <f t="shared" si="95"/>
        <v>6000</v>
      </c>
      <c r="AD132" s="218">
        <f t="shared" si="95"/>
        <v>0</v>
      </c>
      <c r="AE132" s="218">
        <f t="shared" si="95"/>
        <v>0</v>
      </c>
      <c r="AF132" s="218">
        <f t="shared" si="95"/>
        <v>0</v>
      </c>
      <c r="AG132" s="218">
        <f t="shared" si="95"/>
        <v>0</v>
      </c>
      <c r="AH132" s="218">
        <f t="shared" si="95"/>
        <v>1070741</v>
      </c>
      <c r="AI132" s="218">
        <f t="shared" si="95"/>
        <v>2717425</v>
      </c>
      <c r="AJ132" s="218">
        <f t="shared" si="95"/>
        <v>0</v>
      </c>
      <c r="AK132" s="218">
        <f t="shared" si="95"/>
        <v>27963015</v>
      </c>
      <c r="AL132" s="218">
        <f t="shared" si="95"/>
        <v>0</v>
      </c>
      <c r="AM132" s="218">
        <f t="shared" si="95"/>
        <v>0</v>
      </c>
      <c r="AO132" s="218">
        <f t="shared" ref="AO132:BF132" si="96">SUM(AO28:AO41)</f>
        <v>16511.6481895</v>
      </c>
      <c r="AP132" s="218">
        <f t="shared" si="96"/>
        <v>41899.700000000004</v>
      </c>
      <c r="AQ132" s="218">
        <f t="shared" si="96"/>
        <v>24930.469999999998</v>
      </c>
      <c r="AR132" s="218">
        <f t="shared" si="96"/>
        <v>28818.49</v>
      </c>
      <c r="AS132" s="218">
        <f t="shared" si="96"/>
        <v>22009.199999999997</v>
      </c>
      <c r="AT132" s="218">
        <f t="shared" si="96"/>
        <v>277.2</v>
      </c>
      <c r="AU132" s="218">
        <f t="shared" si="96"/>
        <v>0</v>
      </c>
      <c r="AV132" s="218">
        <f t="shared" si="96"/>
        <v>0</v>
      </c>
      <c r="AW132" s="218">
        <f t="shared" si="96"/>
        <v>0</v>
      </c>
      <c r="AX132" s="218">
        <f t="shared" si="96"/>
        <v>0</v>
      </c>
      <c r="AY132" s="218">
        <f t="shared" si="96"/>
        <v>331.28726540000002</v>
      </c>
      <c r="AZ132" s="218">
        <f t="shared" si="96"/>
        <v>416.03776750000003</v>
      </c>
      <c r="BA132" s="218">
        <f t="shared" si="96"/>
        <v>0</v>
      </c>
      <c r="BB132" s="218">
        <f t="shared" si="96"/>
        <v>2276.189421</v>
      </c>
      <c r="BC132" s="218">
        <f t="shared" si="96"/>
        <v>0</v>
      </c>
      <c r="BD132" s="218">
        <f t="shared" si="96"/>
        <v>0</v>
      </c>
      <c r="BE132" s="244">
        <f t="shared" si="96"/>
        <v>93779</v>
      </c>
      <c r="BF132" s="245">
        <f t="shared" si="96"/>
        <v>1305500</v>
      </c>
      <c r="BH132" s="218">
        <f t="shared" ref="BH132:BM132" si="97">BH28</f>
        <v>16511.6481895</v>
      </c>
      <c r="BI132" s="218">
        <f t="shared" si="97"/>
        <v>117657.86</v>
      </c>
      <c r="BJ132" s="218">
        <f t="shared" si="97"/>
        <v>277.2</v>
      </c>
      <c r="BK132" s="218">
        <f t="shared" si="97"/>
        <v>3023.5144539000003</v>
      </c>
      <c r="BL132" s="218">
        <f t="shared" si="97"/>
        <v>0</v>
      </c>
      <c r="BM132" s="218">
        <f t="shared" si="97"/>
        <v>137470.22264339999</v>
      </c>
      <c r="BN132" s="718">
        <f t="shared" ref="BN132:BN139" si="98">BM132/$BM$136</f>
        <v>0.17145836105969006</v>
      </c>
      <c r="BO132" s="714">
        <f t="shared" si="94"/>
        <v>105.30082163416314</v>
      </c>
      <c r="BQ132" s="659">
        <f>'[19]DUOS (t)'!AR134</f>
        <v>107.65216721383861</v>
      </c>
      <c r="BR132" s="718">
        <f t="shared" ref="BR132:BR139" si="99">BO132/BQ132-1</f>
        <v>-2.1842064498383884E-2</v>
      </c>
    </row>
    <row r="133" spans="1:70"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100">SUM(X42:X69)</f>
        <v>1953845</v>
      </c>
      <c r="Y133" s="218">
        <f t="shared" si="100"/>
        <v>10000</v>
      </c>
      <c r="Z133" s="218">
        <f t="shared" si="100"/>
        <v>1383994</v>
      </c>
      <c r="AA133" s="218">
        <f t="shared" si="100"/>
        <v>0</v>
      </c>
      <c r="AB133" s="218">
        <f t="shared" si="100"/>
        <v>1232955</v>
      </c>
      <c r="AC133" s="218">
        <f t="shared" si="100"/>
        <v>0</v>
      </c>
      <c r="AD133" s="218">
        <f t="shared" si="100"/>
        <v>0</v>
      </c>
      <c r="AE133" s="218">
        <f t="shared" si="100"/>
        <v>0</v>
      </c>
      <c r="AF133" s="218">
        <f t="shared" si="100"/>
        <v>0</v>
      </c>
      <c r="AG133" s="218">
        <f t="shared" si="100"/>
        <v>3555144</v>
      </c>
      <c r="AH133" s="218">
        <f t="shared" si="100"/>
        <v>757869</v>
      </c>
      <c r="AI133" s="218">
        <f t="shared" si="100"/>
        <v>1631915</v>
      </c>
      <c r="AJ133" s="218">
        <f t="shared" si="100"/>
        <v>232218475</v>
      </c>
      <c r="AK133" s="218">
        <f t="shared" si="100"/>
        <v>345057495</v>
      </c>
      <c r="AL133" s="218">
        <f t="shared" si="100"/>
        <v>0</v>
      </c>
      <c r="AM133" s="218">
        <f t="shared" si="100"/>
        <v>0</v>
      </c>
      <c r="AO133" s="218">
        <f t="shared" ref="AO133:BF133" si="101">SUM(AO42:AO69)</f>
        <v>13418.970229999999</v>
      </c>
      <c r="AP133" s="218">
        <f t="shared" si="101"/>
        <v>515</v>
      </c>
      <c r="AQ133" s="218">
        <f t="shared" si="101"/>
        <v>58236.677399999993</v>
      </c>
      <c r="AR133" s="218">
        <f t="shared" si="101"/>
        <v>0</v>
      </c>
      <c r="AS133" s="218">
        <f t="shared" si="101"/>
        <v>32410.9365</v>
      </c>
      <c r="AT133" s="218">
        <f t="shared" si="101"/>
        <v>0</v>
      </c>
      <c r="AU133" s="218">
        <f t="shared" si="101"/>
        <v>0</v>
      </c>
      <c r="AV133" s="218">
        <f t="shared" si="101"/>
        <v>0</v>
      </c>
      <c r="AW133" s="218">
        <f t="shared" si="101"/>
        <v>0</v>
      </c>
      <c r="AX133" s="218">
        <f t="shared" si="101"/>
        <v>1868.9392008</v>
      </c>
      <c r="AY133" s="218">
        <f t="shared" si="101"/>
        <v>234.48466859999999</v>
      </c>
      <c r="AZ133" s="218">
        <f t="shared" si="101"/>
        <v>249.84618650000002</v>
      </c>
      <c r="BA133" s="218">
        <f t="shared" si="101"/>
        <v>33671.678875000005</v>
      </c>
      <c r="BB133" s="218">
        <f t="shared" si="101"/>
        <v>35747.956481999994</v>
      </c>
      <c r="BC133" s="218">
        <f t="shared" si="101"/>
        <v>0</v>
      </c>
      <c r="BD133" s="218">
        <f t="shared" si="101"/>
        <v>0</v>
      </c>
      <c r="BE133" s="244">
        <f t="shared" si="101"/>
        <v>5353</v>
      </c>
      <c r="BF133" s="245">
        <f t="shared" si="101"/>
        <v>2626949</v>
      </c>
      <c r="BH133" s="218">
        <f t="shared" ref="BH133:BM133" si="102">BH42</f>
        <v>13418.970229999999</v>
      </c>
      <c r="BI133" s="218">
        <f t="shared" si="102"/>
        <v>91162.613900000026</v>
      </c>
      <c r="BJ133" s="218">
        <f t="shared" si="102"/>
        <v>0</v>
      </c>
      <c r="BK133" s="218">
        <f t="shared" si="102"/>
        <v>71772.905412900014</v>
      </c>
      <c r="BL133" s="218">
        <f t="shared" si="102"/>
        <v>0</v>
      </c>
      <c r="BM133" s="218">
        <f t="shared" si="102"/>
        <v>176354.48954290006</v>
      </c>
      <c r="BN133" s="718">
        <f t="shared" si="98"/>
        <v>0.21995637426863227</v>
      </c>
      <c r="BO133" s="714">
        <f t="shared" si="94"/>
        <v>67.132818163923261</v>
      </c>
      <c r="BQ133" s="659">
        <f>'[19]DUOS (t)'!AR135</f>
        <v>70.599075896771254</v>
      </c>
      <c r="BR133" s="718">
        <f t="shared" si="99"/>
        <v>-4.9097777680777166E-2</v>
      </c>
    </row>
    <row r="134" spans="1:70"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103">SUM(X70:X93)</f>
        <v>72635</v>
      </c>
      <c r="Y134" s="218">
        <f t="shared" si="103"/>
        <v>0</v>
      </c>
      <c r="Z134" s="218">
        <f t="shared" si="103"/>
        <v>364504</v>
      </c>
      <c r="AA134" s="218">
        <f t="shared" si="103"/>
        <v>0</v>
      </c>
      <c r="AB134" s="218">
        <f t="shared" si="103"/>
        <v>350404</v>
      </c>
      <c r="AC134" s="218">
        <f t="shared" si="103"/>
        <v>0</v>
      </c>
      <c r="AD134" s="218">
        <f t="shared" si="103"/>
        <v>0</v>
      </c>
      <c r="AE134" s="218">
        <f t="shared" si="103"/>
        <v>0</v>
      </c>
      <c r="AF134" s="218">
        <f t="shared" si="103"/>
        <v>0</v>
      </c>
      <c r="AG134" s="218">
        <f t="shared" si="103"/>
        <v>1488105</v>
      </c>
      <c r="AH134" s="218">
        <f t="shared" si="103"/>
        <v>0</v>
      </c>
      <c r="AI134" s="218">
        <f t="shared" si="103"/>
        <v>0</v>
      </c>
      <c r="AJ134" s="218">
        <f t="shared" si="103"/>
        <v>59423825</v>
      </c>
      <c r="AK134" s="218">
        <f t="shared" si="103"/>
        <v>87282815</v>
      </c>
      <c r="AL134" s="218">
        <f t="shared" si="103"/>
        <v>0</v>
      </c>
      <c r="AM134" s="218">
        <f t="shared" si="103"/>
        <v>0</v>
      </c>
      <c r="AO134" s="218">
        <f t="shared" ref="AO134:BF134" si="104">SUM(AO70:AO93)</f>
        <v>2707.834405999999</v>
      </c>
      <c r="AP134" s="218">
        <f t="shared" si="104"/>
        <v>0</v>
      </c>
      <c r="AQ134" s="218">
        <f t="shared" si="104"/>
        <v>8789.2055999999993</v>
      </c>
      <c r="AR134" s="218">
        <f t="shared" si="104"/>
        <v>0</v>
      </c>
      <c r="AS134" s="218">
        <f t="shared" si="104"/>
        <v>5256.3696</v>
      </c>
      <c r="AT134" s="218">
        <f t="shared" si="104"/>
        <v>0</v>
      </c>
      <c r="AU134" s="218">
        <f t="shared" si="104"/>
        <v>0</v>
      </c>
      <c r="AV134" s="218">
        <f t="shared" si="104"/>
        <v>0</v>
      </c>
      <c r="AW134" s="218">
        <f t="shared" si="104"/>
        <v>0</v>
      </c>
      <c r="AX134" s="218">
        <f t="shared" si="104"/>
        <v>574.70615099999998</v>
      </c>
      <c r="AY134" s="218">
        <f t="shared" si="104"/>
        <v>0</v>
      </c>
      <c r="AZ134" s="218">
        <f t="shared" si="104"/>
        <v>0</v>
      </c>
      <c r="BA134" s="218">
        <f t="shared" si="104"/>
        <v>6359.4263900000005</v>
      </c>
      <c r="BB134" s="218">
        <f t="shared" si="104"/>
        <v>9042.4996340000016</v>
      </c>
      <c r="BC134" s="218">
        <f t="shared" si="104"/>
        <v>0</v>
      </c>
      <c r="BD134" s="218">
        <f t="shared" si="104"/>
        <v>0</v>
      </c>
      <c r="BE134" s="244">
        <f t="shared" si="104"/>
        <v>199</v>
      </c>
      <c r="BF134" s="245">
        <f t="shared" si="104"/>
        <v>714908</v>
      </c>
      <c r="BH134" s="218">
        <f t="shared" ref="BH134:BM134" si="105">BH70</f>
        <v>2707.834405999999</v>
      </c>
      <c r="BI134" s="218">
        <f t="shared" si="105"/>
        <v>14045.575200000001</v>
      </c>
      <c r="BJ134" s="218">
        <f t="shared" si="105"/>
        <v>0</v>
      </c>
      <c r="BK134" s="218">
        <f t="shared" si="105"/>
        <v>15976.632175000001</v>
      </c>
      <c r="BL134" s="218">
        <f t="shared" si="105"/>
        <v>0</v>
      </c>
      <c r="BM134" s="218">
        <f t="shared" si="105"/>
        <v>32730.041781</v>
      </c>
      <c r="BN134" s="718">
        <f t="shared" si="98"/>
        <v>4.0822217446629457E-2</v>
      </c>
      <c r="BO134" s="714">
        <f t="shared" si="94"/>
        <v>45.782173064226448</v>
      </c>
      <c r="BQ134" s="659">
        <f>'[19]DUOS (t)'!AR136</f>
        <v>47.914679556219781</v>
      </c>
      <c r="BR134" s="718">
        <f t="shared" si="99"/>
        <v>-4.450632899446183E-2</v>
      </c>
    </row>
    <row r="135" spans="1:70"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06">SUM(X94:X129)</f>
        <v>10220</v>
      </c>
      <c r="Y135" s="218">
        <f t="shared" si="106"/>
        <v>1181592</v>
      </c>
      <c r="Z135" s="218">
        <f t="shared" si="106"/>
        <v>0</v>
      </c>
      <c r="AA135" s="218">
        <f t="shared" si="106"/>
        <v>0</v>
      </c>
      <c r="AB135" s="218">
        <f t="shared" si="106"/>
        <v>0</v>
      </c>
      <c r="AC135" s="218">
        <f t="shared" si="106"/>
        <v>0</v>
      </c>
      <c r="AD135" s="218">
        <f t="shared" si="106"/>
        <v>0</v>
      </c>
      <c r="AE135" s="218">
        <f t="shared" si="106"/>
        <v>0</v>
      </c>
      <c r="AF135" s="218">
        <f t="shared" si="106"/>
        <v>0</v>
      </c>
      <c r="AG135" s="218">
        <f t="shared" si="106"/>
        <v>0</v>
      </c>
      <c r="AH135" s="218">
        <f t="shared" si="106"/>
        <v>0</v>
      </c>
      <c r="AI135" s="218">
        <f t="shared" si="106"/>
        <v>0</v>
      </c>
      <c r="AJ135" s="218">
        <f t="shared" si="106"/>
        <v>82932745</v>
      </c>
      <c r="AK135" s="218">
        <f t="shared" si="106"/>
        <v>125423125</v>
      </c>
      <c r="AL135" s="218">
        <f t="shared" si="106"/>
        <v>0</v>
      </c>
      <c r="AM135" s="218">
        <f t="shared" si="106"/>
        <v>0</v>
      </c>
      <c r="AO135" s="218">
        <f t="shared" ref="AO135:BF135" si="107">SUM(AO94:AO129)</f>
        <v>1204.1408035000002</v>
      </c>
      <c r="AP135" s="218">
        <f t="shared" si="107"/>
        <v>3508.1408000000006</v>
      </c>
      <c r="AQ135" s="218">
        <f t="shared" si="107"/>
        <v>0</v>
      </c>
      <c r="AR135" s="218">
        <f t="shared" si="107"/>
        <v>0</v>
      </c>
      <c r="AS135" s="218">
        <f t="shared" si="107"/>
        <v>0</v>
      </c>
      <c r="AT135" s="218">
        <f t="shared" si="107"/>
        <v>0</v>
      </c>
      <c r="AU135" s="218">
        <f t="shared" si="107"/>
        <v>0</v>
      </c>
      <c r="AV135" s="218">
        <f t="shared" si="107"/>
        <v>0</v>
      </c>
      <c r="AW135" s="218">
        <f t="shared" si="107"/>
        <v>0</v>
      </c>
      <c r="AX135" s="218">
        <f t="shared" si="107"/>
        <v>0</v>
      </c>
      <c r="AY135" s="218">
        <f t="shared" si="107"/>
        <v>0</v>
      </c>
      <c r="AZ135" s="218">
        <f t="shared" si="107"/>
        <v>0</v>
      </c>
      <c r="BA135" s="218">
        <f t="shared" si="107"/>
        <v>1529.2521435000001</v>
      </c>
      <c r="BB135" s="218">
        <f t="shared" si="107"/>
        <v>6775.1662080000015</v>
      </c>
      <c r="BC135" s="218">
        <f t="shared" si="107"/>
        <v>0</v>
      </c>
      <c r="BD135" s="218">
        <f t="shared" si="107"/>
        <v>0</v>
      </c>
      <c r="BE135" s="244">
        <f t="shared" si="107"/>
        <v>28</v>
      </c>
      <c r="BF135" s="245">
        <f t="shared" si="107"/>
        <v>1181592</v>
      </c>
      <c r="BH135" s="218">
        <f t="shared" ref="BH135:BM135" si="108">BH94</f>
        <v>1204.1408035000002</v>
      </c>
      <c r="BI135" s="218">
        <f t="shared" si="108"/>
        <v>3508.1408000000006</v>
      </c>
      <c r="BJ135" s="218">
        <f t="shared" si="108"/>
        <v>0</v>
      </c>
      <c r="BK135" s="218">
        <f t="shared" si="108"/>
        <v>8304.4183515000004</v>
      </c>
      <c r="BL135" s="218">
        <f t="shared" si="108"/>
        <v>0</v>
      </c>
      <c r="BM135" s="218">
        <f t="shared" si="108"/>
        <v>13016.699955</v>
      </c>
      <c r="BN135" s="718">
        <f t="shared" si="98"/>
        <v>1.6234948905839954E-2</v>
      </c>
      <c r="BO135" s="714">
        <f t="shared" si="94"/>
        <v>11.016239069831212</v>
      </c>
      <c r="BQ135" s="659">
        <f>'[19]DUOS (t)'!AR137</f>
        <v>10.79123501975532</v>
      </c>
      <c r="BR135" s="718">
        <f t="shared" si="99"/>
        <v>2.0850630133064652E-2</v>
      </c>
    </row>
    <row r="136" spans="1:70"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09">SUM(X131:X135)</f>
        <v>329884445</v>
      </c>
      <c r="Y136" s="221">
        <f t="shared" si="109"/>
        <v>4039092</v>
      </c>
      <c r="Z136" s="221">
        <f t="shared" si="109"/>
        <v>2519148</v>
      </c>
      <c r="AA136" s="221">
        <f t="shared" si="109"/>
        <v>386650</v>
      </c>
      <c r="AB136" s="221">
        <f t="shared" si="109"/>
        <v>2089509</v>
      </c>
      <c r="AC136" s="221">
        <f t="shared" si="109"/>
        <v>367300</v>
      </c>
      <c r="AD136" s="221">
        <f t="shared" si="109"/>
        <v>0</v>
      </c>
      <c r="AE136" s="221">
        <f t="shared" si="109"/>
        <v>92600</v>
      </c>
      <c r="AF136" s="221">
        <f t="shared" si="109"/>
        <v>23100</v>
      </c>
      <c r="AG136" s="221">
        <f t="shared" si="109"/>
        <v>5043249</v>
      </c>
      <c r="AH136" s="221">
        <f t="shared" si="109"/>
        <v>1828610</v>
      </c>
      <c r="AI136" s="221">
        <f t="shared" si="109"/>
        <v>4349340</v>
      </c>
      <c r="AJ136" s="221">
        <f t="shared" si="109"/>
        <v>374575045</v>
      </c>
      <c r="AK136" s="221">
        <f t="shared" si="109"/>
        <v>585726450</v>
      </c>
      <c r="AL136" s="221">
        <f t="shared" si="109"/>
        <v>446395</v>
      </c>
      <c r="AM136" s="221">
        <f>SUM(AM131:AM135)</f>
        <v>0</v>
      </c>
      <c r="AO136" s="221">
        <f>SUM(AO131:AO135)</f>
        <v>158542.332356</v>
      </c>
      <c r="AP136" s="221">
        <f t="shared" ref="AP136:BD136" si="110">SUM(AP131:AP135)</f>
        <v>267452.07079999999</v>
      </c>
      <c r="AQ136" s="221">
        <f t="shared" si="110"/>
        <v>157719.33299999998</v>
      </c>
      <c r="AR136" s="221">
        <f t="shared" si="110"/>
        <v>34093.135000000002</v>
      </c>
      <c r="AS136" s="221">
        <f t="shared" si="110"/>
        <v>62606.726099999993</v>
      </c>
      <c r="AT136" s="221">
        <f t="shared" si="110"/>
        <v>16969.259999999998</v>
      </c>
      <c r="AU136" s="221">
        <f t="shared" si="110"/>
        <v>0</v>
      </c>
      <c r="AV136" s="221">
        <f t="shared" si="110"/>
        <v>4278.12</v>
      </c>
      <c r="AW136" s="221">
        <f t="shared" si="110"/>
        <v>533.61</v>
      </c>
      <c r="AX136" s="221">
        <f t="shared" si="110"/>
        <v>2443.6453517999998</v>
      </c>
      <c r="AY136" s="221">
        <f t="shared" si="110"/>
        <v>565.77193399999999</v>
      </c>
      <c r="AZ136" s="221">
        <f t="shared" si="110"/>
        <v>665.88395400000002</v>
      </c>
      <c r="BA136" s="221">
        <f t="shared" si="110"/>
        <v>41560.357408500007</v>
      </c>
      <c r="BB136" s="221">
        <f t="shared" si="110"/>
        <v>53841.811744999999</v>
      </c>
      <c r="BC136" s="221">
        <f t="shared" si="110"/>
        <v>229.08991399999999</v>
      </c>
      <c r="BD136" s="221">
        <f t="shared" si="110"/>
        <v>0</v>
      </c>
      <c r="BE136" s="238">
        <f>SUM(BE131:BE135)</f>
        <v>903793</v>
      </c>
      <c r="BF136" s="239">
        <f>SUM(BF131:BF135)</f>
        <v>9517399</v>
      </c>
      <c r="BH136" s="221">
        <f t="shared" ref="BH136:BM136" si="111">SUM(BH131:BH135)</f>
        <v>158710.48416950001</v>
      </c>
      <c r="BI136" s="221">
        <f t="shared" si="111"/>
        <v>521972.27169999992</v>
      </c>
      <c r="BJ136" s="221">
        <f t="shared" si="111"/>
        <v>21780.989999999998</v>
      </c>
      <c r="BK136" s="221">
        <f t="shared" si="111"/>
        <v>99077.470393300027</v>
      </c>
      <c r="BL136" s="221">
        <f t="shared" si="111"/>
        <v>229.08991399999999</v>
      </c>
      <c r="BM136" s="221">
        <f t="shared" si="111"/>
        <v>801770.30617679982</v>
      </c>
      <c r="BN136" s="718">
        <f t="shared" si="98"/>
        <v>1</v>
      </c>
      <c r="BO136" s="715">
        <f t="shared" si="94"/>
        <v>84.242586254584864</v>
      </c>
      <c r="BQ136" s="659">
        <f>'[19]DUOS (t)'!AR138</f>
        <v>87.18378705254095</v>
      </c>
      <c r="BR136" s="718">
        <f t="shared" si="99"/>
        <v>-3.3735639358996705E-2</v>
      </c>
    </row>
    <row r="137" spans="1:70"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R137" s="718"/>
    </row>
    <row r="138" spans="1:70"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124867.8905405</v>
      </c>
      <c r="BI138" s="218">
        <f>BI131</f>
        <v>295598.08179999993</v>
      </c>
      <c r="BJ138" s="218"/>
      <c r="BK138" s="218">
        <f>BK131</f>
        <v>0</v>
      </c>
      <c r="BL138" s="218">
        <f>BL131</f>
        <v>229.08991399999999</v>
      </c>
      <c r="BM138" s="218">
        <f>SUM(BH138:BL138)</f>
        <v>420695.06225449994</v>
      </c>
      <c r="BN138" s="718">
        <f t="shared" si="98"/>
        <v>0.52470771119045623</v>
      </c>
      <c r="BO138" s="714">
        <f>BM138*1000/BF138</f>
        <v>130.99847802534677</v>
      </c>
      <c r="BQ138" s="659">
        <f>'[19]DUOS (t)'!AR131</f>
        <v>137.00785523498408</v>
      </c>
      <c r="BR138" s="718">
        <f t="shared" si="99"/>
        <v>-4.3861552312679741E-2</v>
      </c>
    </row>
    <row r="139" spans="1:70"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21503.789999999997</v>
      </c>
      <c r="BK139" s="218"/>
      <c r="BL139" s="218"/>
      <c r="BM139" s="218">
        <f>SUM(BH139:BL139)</f>
        <v>21503.789999999997</v>
      </c>
      <c r="BN139" s="718">
        <f t="shared" si="98"/>
        <v>2.6820387128752256E-2</v>
      </c>
      <c r="BO139" s="714">
        <f>BM139*1000/BF139</f>
        <v>45.081320754716977</v>
      </c>
      <c r="BQ139" s="659">
        <f>'[19]DUOS (t)'!AR132</f>
        <v>45.2</v>
      </c>
      <c r="BR139" s="718">
        <f t="shared" si="99"/>
        <v>-2.6256470195359372E-3</v>
      </c>
    </row>
    <row r="140" spans="1:70"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row>
    <row r="141" spans="1:70"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c r="BM141" s="718"/>
    </row>
    <row r="142" spans="1:70"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(t-1)'!BM131</f>
        <v>0.72406742649924993</v>
      </c>
    </row>
    <row r="143" spans="1:70" x14ac:dyDescent="0.25">
      <c r="E143" s="222"/>
      <c r="F143" s="222"/>
      <c r="G143" s="223"/>
      <c r="H143" s="223"/>
      <c r="I143" s="223"/>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(t-1)'!BM132</f>
        <v>0.72055392778308358</v>
      </c>
    </row>
    <row r="144" spans="1:70" x14ac:dyDescent="0.25">
      <c r="E144" s="224" t="s">
        <v>45</v>
      </c>
      <c r="F144" s="224"/>
      <c r="G144" s="225">
        <f>SUM(AO18:AO19,AX18:BD19)</f>
        <v>98515.450559999997</v>
      </c>
      <c r="H144" s="225">
        <f>SUM(AP18:AS19)</f>
        <v>221529.22999999998</v>
      </c>
      <c r="I144" s="225">
        <f>SUM(G144:H144)</f>
        <v>320044.68056000001</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3:57" x14ac:dyDescent="0.25">
      <c r="E145" s="224" t="s">
        <v>158</v>
      </c>
      <c r="F145" s="224"/>
      <c r="G145" s="225">
        <f>SUM(AO22:AO23,AX22:BD23)</f>
        <v>26026.327372500004</v>
      </c>
      <c r="H145" s="225">
        <f>SUM(AP22:AS23)</f>
        <v>73920.789999999994</v>
      </c>
      <c r="I145" s="225">
        <f t="shared" ref="I145:I164" si="112">SUM(G145:H145)</f>
        <v>99947.117372499997</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3:57" x14ac:dyDescent="0.25">
      <c r="E146" s="224" t="s">
        <v>54</v>
      </c>
      <c r="F146" s="224"/>
      <c r="G146" s="225">
        <f>SUM(AO24:AO25,AX24:BD25)</f>
        <v>387.05070850000004</v>
      </c>
      <c r="H146" s="225">
        <f>SUM(AP24:AS25)</f>
        <v>47.055000000000007</v>
      </c>
      <c r="I146" s="225">
        <f t="shared" si="112"/>
        <v>434.10570850000005</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3:57" x14ac:dyDescent="0.25">
      <c r="E147" s="224" t="s">
        <v>704</v>
      </c>
      <c r="F147" s="224"/>
      <c r="G147" s="225">
        <f>SUM(AO26:AO27,AX26:BD27)</f>
        <v>168.1518135</v>
      </c>
      <c r="H147" s="225">
        <f>SUM(AP26:AS27)</f>
        <v>101.0068</v>
      </c>
      <c r="I147" s="225">
        <f t="shared" si="112"/>
        <v>269.1586135</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3:57" x14ac:dyDescent="0.25">
      <c r="E148" s="224" t="s">
        <v>159</v>
      </c>
      <c r="F148" s="224"/>
      <c r="G148" s="225"/>
      <c r="H148" s="225">
        <f>SUM(AT16:AW129)-H149</f>
        <v>16969.259999999995</v>
      </c>
      <c r="I148" s="225">
        <f t="shared" si="112"/>
        <v>16969.259999999995</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3:57" x14ac:dyDescent="0.25">
      <c r="E149" s="224" t="s">
        <v>160</v>
      </c>
      <c r="F149" s="224"/>
      <c r="G149" s="225"/>
      <c r="H149" s="225">
        <f>SUM(AT22:AW25,AT39:AW40,AT49:AW53)</f>
        <v>4811.7299999999996</v>
      </c>
      <c r="I149" s="225">
        <f t="shared" si="112"/>
        <v>4811.7299999999996</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3:57" x14ac:dyDescent="0.25">
      <c r="E150" s="224" t="s">
        <v>161</v>
      </c>
      <c r="F150" s="224"/>
      <c r="G150" s="225">
        <f>SUM(AO30:AO31,AX30:BD31)</f>
        <v>0</v>
      </c>
      <c r="H150" s="225">
        <f>SUM(AP30:AS31)</f>
        <v>7344</v>
      </c>
      <c r="I150" s="225">
        <f t="shared" si="112"/>
        <v>7344</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3:57" x14ac:dyDescent="0.25">
      <c r="E151" s="224" t="s">
        <v>162</v>
      </c>
      <c r="F151" s="224"/>
      <c r="G151" s="225">
        <f>SUM(AO33:AO37,AO44:AO47,AX33:BD37,AX44:BD47)</f>
        <v>11742.592901</v>
      </c>
      <c r="H151" s="225">
        <f>SUM(AP33:AS37,AP44:AS47)</f>
        <v>61600.28</v>
      </c>
      <c r="I151" s="225">
        <f t="shared" si="112"/>
        <v>73342.872900999995</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3:57" x14ac:dyDescent="0.25">
      <c r="E152" s="224" t="s">
        <v>163</v>
      </c>
      <c r="F152" s="224"/>
      <c r="G152" s="225">
        <f>SUM(AO39:AO39,AX39:BD39)</f>
        <v>3816.4021860000003</v>
      </c>
      <c r="H152" s="225">
        <f>SUM(AP39:AS39)</f>
        <v>42376.130000000005</v>
      </c>
      <c r="I152" s="225">
        <f t="shared" si="112"/>
        <v>46192.532186000004</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3:57" x14ac:dyDescent="0.25">
      <c r="E153" s="224" t="s">
        <v>164</v>
      </c>
      <c r="F153" s="224"/>
      <c r="G153" s="225">
        <f>SUM(AO40:AO40,AX40:BD40)</f>
        <v>2540.8490595000003</v>
      </c>
      <c r="H153" s="225">
        <f>SUM(AP40:AS40)</f>
        <v>5451.6500000000005</v>
      </c>
      <c r="I153" s="225">
        <f t="shared" si="112"/>
        <v>7992.4990595000008</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3:57" x14ac:dyDescent="0.25">
      <c r="E154" s="224" t="s">
        <v>165</v>
      </c>
      <c r="F154" s="224"/>
      <c r="G154" s="225">
        <f>SUM(AO41:AO41,AX41:BD41)</f>
        <v>1435.3184969000001</v>
      </c>
      <c r="H154" s="225">
        <f>SUM(AP41:AS41)</f>
        <v>885.8</v>
      </c>
      <c r="I154" s="225">
        <f t="shared" si="112"/>
        <v>2321.1184969000001</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3:57" x14ac:dyDescent="0.25">
      <c r="E155" s="224" t="s">
        <v>166</v>
      </c>
      <c r="F155" s="224"/>
      <c r="G155" s="225">
        <f>SUM(AO49:AO49,AO55:AO68,AX49:BD49,AX55:BD68)</f>
        <v>79180.656361499961</v>
      </c>
      <c r="H155" s="225">
        <f>SUM(AP49:AS49,AP55:AS68)</f>
        <v>86135.693900000027</v>
      </c>
      <c r="I155" s="225">
        <f t="shared" si="112"/>
        <v>165316.35026149999</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3:57" x14ac:dyDescent="0.25">
      <c r="E156" s="224" t="s">
        <v>167</v>
      </c>
      <c r="F156" s="224"/>
      <c r="G156" s="225">
        <f>SUM(AO50:AO51,AO69,AX50:BD51,AX69:BD69)</f>
        <v>5465.9859133</v>
      </c>
      <c r="H156" s="225">
        <f>SUM(AP50:AS51,AP69:AS69)</f>
        <v>4511.92</v>
      </c>
      <c r="I156" s="225">
        <f t="shared" si="112"/>
        <v>9977.905913300001</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3:57" x14ac:dyDescent="0.25">
      <c r="E157" s="224" t="s">
        <v>168</v>
      </c>
      <c r="F157" s="224"/>
      <c r="G157" s="225">
        <f>SUM(AO52:AO53,AX52:BD53)</f>
        <v>545.23336810000001</v>
      </c>
      <c r="H157" s="225">
        <f>SUM(AP52:AS53)</f>
        <v>515</v>
      </c>
      <c r="I157" s="225">
        <f t="shared" si="112"/>
        <v>1060.2333681</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3:57" x14ac:dyDescent="0.25">
      <c r="E158" s="224" t="s">
        <v>169</v>
      </c>
      <c r="F158" s="224"/>
      <c r="G158" s="225">
        <f>SUM(AO72:AO72,AO76,AO79:AO87,AX72:BD72,AX76:BD76,AX79:BD87)</f>
        <v>16876.400098999999</v>
      </c>
      <c r="H158" s="225">
        <f>SUM(AP72:AS72,AP76:AS76,AP79:AS87)</f>
        <v>13054.065200000003</v>
      </c>
      <c r="I158" s="225">
        <f t="shared" si="112"/>
        <v>29930.465299000003</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3:57" x14ac:dyDescent="0.25">
      <c r="E159" s="224" t="s">
        <v>170</v>
      </c>
      <c r="F159" s="224"/>
      <c r="G159" s="225">
        <f>SUM(AO73:AO74,AX73:BD74)</f>
        <v>1774.7901619999998</v>
      </c>
      <c r="H159" s="225">
        <f>SUM(AP73:AS74)</f>
        <v>991.51</v>
      </c>
      <c r="I159" s="225">
        <f t="shared" si="112"/>
        <v>2766.3001619999995</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3:57" x14ac:dyDescent="0.25">
      <c r="C160" s="215"/>
      <c r="D160" s="215"/>
      <c r="E160" s="224" t="s">
        <v>171</v>
      </c>
      <c r="F160" s="224"/>
      <c r="G160" s="225">
        <f>SUM(AO75,AO77:AO77,AX75:BD75,AX77:BD77)</f>
        <v>33.276319999999998</v>
      </c>
      <c r="H160" s="225">
        <f>SUM(AP75:AS75,AP77:AS77)</f>
        <v>0</v>
      </c>
      <c r="I160" s="225">
        <f t="shared" si="112"/>
        <v>33.276319999999998</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C161" s="215"/>
      <c r="D161" s="215"/>
      <c r="E161" s="224" t="s">
        <v>172</v>
      </c>
      <c r="F161" s="224"/>
      <c r="G161" s="225">
        <f>SUM(AO96:AO103,AX96:BD103)</f>
        <v>2193.3779290000002</v>
      </c>
      <c r="H161" s="225">
        <f>SUM(AP96:AS103)</f>
        <v>690.62480000000005</v>
      </c>
      <c r="I161" s="225">
        <f t="shared" si="112"/>
        <v>2884.0027290000003</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3533.9267880000007</v>
      </c>
      <c r="H162" s="225">
        <f>SUM(AP105:AS114)</f>
        <v>1751.9479999999999</v>
      </c>
      <c r="I162" s="225">
        <f t="shared" si="112"/>
        <v>5285.874788000001</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E163" s="224" t="s">
        <v>174</v>
      </c>
      <c r="F163" s="224"/>
      <c r="G163" s="225">
        <f>SUM(AO116:AO119,AX116:BD119)</f>
        <v>756.66690000000017</v>
      </c>
      <c r="H163" s="225">
        <f>SUM(AP116:AS119)</f>
        <v>28.608000000000001</v>
      </c>
      <c r="I163" s="225">
        <f t="shared" si="112"/>
        <v>785.27490000000012</v>
      </c>
    </row>
    <row r="164" spans="3:57" x14ac:dyDescent="0.25">
      <c r="E164" s="224" t="s">
        <v>175</v>
      </c>
      <c r="F164" s="224"/>
      <c r="G164" s="225">
        <f>SUM(AO121:AO129,AX121:BD129)</f>
        <v>3024.5875380000002</v>
      </c>
      <c r="H164" s="225">
        <f>SUM(AP121:AS129)</f>
        <v>1036.9600000000003</v>
      </c>
      <c r="I164" s="225">
        <f t="shared" si="112"/>
        <v>4061.5475380000007</v>
      </c>
    </row>
    <row r="165" spans="3:57" ht="15.75" thickBot="1" x14ac:dyDescent="0.3">
      <c r="E165" s="224"/>
      <c r="F165" s="224"/>
      <c r="G165" s="226">
        <f>SUM(G144:G164)</f>
        <v>258017.04447679996</v>
      </c>
      <c r="H165" s="226">
        <f>SUM(H144:H164)</f>
        <v>543753.26169999992</v>
      </c>
      <c r="I165" s="226">
        <f>SUM(I144:I164)</f>
        <v>801770.30617680016</v>
      </c>
    </row>
    <row r="166" spans="3:57" x14ac:dyDescent="0.25">
      <c r="E166" s="222" t="s">
        <v>176</v>
      </c>
      <c r="F166" s="222"/>
      <c r="G166" s="227"/>
      <c r="H166" s="227"/>
      <c r="I166" s="228">
        <f>SUM(BM136)</f>
        <v>801770.30617679982</v>
      </c>
      <c r="Y166" s="137"/>
      <c r="AP166" s="137"/>
    </row>
    <row r="167" spans="3:57" x14ac:dyDescent="0.25">
      <c r="E167" s="222" t="s">
        <v>177</v>
      </c>
      <c r="F167" s="222"/>
      <c r="G167" s="228"/>
      <c r="H167" s="228"/>
      <c r="I167" s="228">
        <f>I166-I165</f>
        <v>0</v>
      </c>
      <c r="Y167" s="137"/>
      <c r="AP167" s="137"/>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C185" s="135"/>
      <c r="D185" s="135"/>
      <c r="H185" s="137"/>
      <c r="Y185" s="137"/>
      <c r="AP185" s="137"/>
    </row>
    <row r="186" spans="3:45" x14ac:dyDescent="0.25">
      <c r="C186" s="135"/>
      <c r="D186" s="135"/>
      <c r="H186" s="137"/>
      <c r="Y186" s="137"/>
      <c r="AP186" s="137"/>
    </row>
    <row r="187" spans="3:45" x14ac:dyDescent="0.25">
      <c r="C187" s="135"/>
      <c r="D187" s="135"/>
      <c r="H187" s="137"/>
      <c r="Y187" s="137"/>
      <c r="Z187" s="137"/>
      <c r="AP187" s="137"/>
      <c r="AQ187" s="137"/>
    </row>
    <row r="188" spans="3:45" x14ac:dyDescent="0.25">
      <c r="C188" s="135"/>
      <c r="D188" s="135"/>
      <c r="H188" s="137"/>
      <c r="K188" s="137"/>
      <c r="Y188" s="137"/>
      <c r="Z188" s="137"/>
      <c r="AB188" s="137"/>
      <c r="AP188" s="137"/>
      <c r="AQ188" s="137"/>
      <c r="AS188" s="137"/>
    </row>
    <row r="189" spans="3:45" x14ac:dyDescent="0.25">
      <c r="C189" s="135"/>
      <c r="D189" s="135"/>
      <c r="H189" s="137"/>
      <c r="K189" s="137"/>
      <c r="Y189" s="137"/>
      <c r="Z189" s="137"/>
      <c r="AB189" s="137"/>
      <c r="AP189" s="137"/>
      <c r="AQ189" s="137"/>
      <c r="AS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Y196" s="137"/>
      <c r="AP196" s="137"/>
    </row>
    <row r="197" spans="3:45" x14ac:dyDescent="0.25">
      <c r="C197" s="135"/>
      <c r="D197" s="135"/>
      <c r="H197" s="137"/>
      <c r="I197" s="137"/>
      <c r="Y197" s="137"/>
      <c r="AP197" s="137"/>
    </row>
    <row r="198" spans="3:45" x14ac:dyDescent="0.25">
      <c r="C198" s="135"/>
      <c r="D198" s="135"/>
      <c r="H198" s="137"/>
      <c r="I198" s="137"/>
      <c r="Y198" s="137"/>
      <c r="Z198" s="137"/>
      <c r="AP198" s="137"/>
      <c r="AQ198" s="137"/>
    </row>
    <row r="199" spans="3:45" x14ac:dyDescent="0.25">
      <c r="C199" s="135"/>
      <c r="D199" s="135"/>
      <c r="H199" s="137"/>
      <c r="I199" s="137"/>
      <c r="K199" s="137"/>
      <c r="Y199" s="137"/>
      <c r="Z199" s="137"/>
      <c r="AB199" s="137"/>
      <c r="AP199" s="137"/>
      <c r="AQ199" s="137"/>
      <c r="AS199" s="137"/>
    </row>
    <row r="200" spans="3:45" x14ac:dyDescent="0.25">
      <c r="C200" s="135"/>
      <c r="D200" s="135"/>
      <c r="H200" s="137"/>
      <c r="I200" s="137"/>
      <c r="K200" s="137"/>
      <c r="Y200" s="137"/>
      <c r="AB200" s="137"/>
      <c r="AP200" s="137"/>
      <c r="AS200" s="137"/>
    </row>
    <row r="201" spans="3:45" x14ac:dyDescent="0.25">
      <c r="C201" s="135"/>
      <c r="D201" s="135"/>
      <c r="H201" s="137"/>
      <c r="Y201" s="137"/>
      <c r="AP201" s="137"/>
    </row>
    <row r="202" spans="3:45" x14ac:dyDescent="0.25">
      <c r="C202" s="135"/>
      <c r="D202" s="135"/>
      <c r="H202" s="137"/>
      <c r="Y202" s="137"/>
      <c r="AP202" s="137"/>
    </row>
    <row r="203" spans="3:45" x14ac:dyDescent="0.25">
      <c r="C203" s="135"/>
      <c r="D203" s="135"/>
      <c r="H203" s="137"/>
      <c r="I203" s="137"/>
      <c r="Y203" s="137"/>
      <c r="Z203" s="137"/>
      <c r="AP203" s="137"/>
      <c r="AQ203" s="137"/>
    </row>
    <row r="204" spans="3:45" x14ac:dyDescent="0.25">
      <c r="C204" s="135"/>
      <c r="D204" s="135"/>
      <c r="H204" s="137"/>
      <c r="I204" s="137"/>
      <c r="K204" s="137"/>
      <c r="Y204" s="137"/>
      <c r="Z204" s="137"/>
      <c r="AB204" s="137"/>
      <c r="AP204" s="137"/>
      <c r="AQ204" s="137"/>
      <c r="AS204" s="137"/>
    </row>
    <row r="205" spans="3:45" x14ac:dyDescent="0.25">
      <c r="C205" s="135"/>
      <c r="D205" s="135"/>
      <c r="H205" s="137"/>
      <c r="K205" s="137"/>
      <c r="Y205" s="137"/>
      <c r="Z205" s="137"/>
      <c r="AB205" s="137"/>
      <c r="AP205" s="137"/>
      <c r="AQ205" s="137"/>
      <c r="AS205" s="137"/>
    </row>
    <row r="206" spans="3:45" x14ac:dyDescent="0.25">
      <c r="C206" s="135"/>
      <c r="D206" s="135"/>
      <c r="H206" s="137"/>
      <c r="K206" s="137"/>
      <c r="Y206" s="137"/>
      <c r="AB206" s="137"/>
      <c r="AP206" s="137"/>
      <c r="AS206" s="137"/>
    </row>
    <row r="207" spans="3:45" x14ac:dyDescent="0.25">
      <c r="C207" s="135"/>
      <c r="D207" s="135"/>
      <c r="H207" s="137"/>
      <c r="Y207" s="137"/>
      <c r="Z207" s="137"/>
      <c r="AP207" s="137"/>
      <c r="AQ207" s="137"/>
    </row>
    <row r="208" spans="3:45" x14ac:dyDescent="0.25">
      <c r="C208" s="135"/>
      <c r="D208" s="135"/>
      <c r="H208" s="137"/>
      <c r="I208" s="137"/>
      <c r="K208" s="137"/>
      <c r="Y208" s="137"/>
      <c r="Z208" s="137"/>
      <c r="AB208" s="137"/>
      <c r="AP208" s="137"/>
      <c r="AQ208" s="137"/>
      <c r="AS208" s="137"/>
    </row>
    <row r="209" spans="3:45" x14ac:dyDescent="0.25">
      <c r="C209" s="135"/>
      <c r="D209" s="135"/>
      <c r="H209" s="137"/>
      <c r="I209" s="137"/>
      <c r="K209" s="137"/>
      <c r="Y209" s="137"/>
      <c r="Z209" s="137"/>
      <c r="AB209" s="137"/>
      <c r="AP209" s="137"/>
      <c r="AQ209" s="137"/>
      <c r="AS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AB211" s="137"/>
      <c r="AP211" s="137"/>
      <c r="AS211" s="137"/>
    </row>
    <row r="212" spans="3:45" x14ac:dyDescent="0.25">
      <c r="C212" s="135"/>
      <c r="D212" s="135"/>
      <c r="H212" s="137"/>
      <c r="I212" s="137"/>
      <c r="Y212" s="137"/>
      <c r="AP212" s="137"/>
    </row>
    <row r="213" spans="3:45" x14ac:dyDescent="0.25">
      <c r="C213" s="135"/>
      <c r="D213" s="135"/>
      <c r="H213" s="137"/>
      <c r="I213" s="137"/>
      <c r="Y213" s="137"/>
      <c r="Z213" s="137"/>
      <c r="AP213" s="137"/>
      <c r="AQ213" s="137"/>
    </row>
    <row r="214" spans="3:45" x14ac:dyDescent="0.25">
      <c r="C214" s="135"/>
      <c r="D214" s="135"/>
      <c r="H214" s="137"/>
      <c r="I214" s="137"/>
      <c r="K214" s="137"/>
      <c r="Y214" s="137"/>
      <c r="Z214" s="137"/>
      <c r="AB214" s="137"/>
      <c r="AP214" s="137"/>
      <c r="AQ214" s="137"/>
      <c r="AS214" s="137"/>
    </row>
    <row r="215" spans="3:45" x14ac:dyDescent="0.25">
      <c r="H215" s="137"/>
      <c r="I215" s="137"/>
      <c r="K215" s="137"/>
      <c r="Y215" s="137"/>
      <c r="AB215" s="137"/>
      <c r="AP215" s="137"/>
      <c r="AS215" s="137"/>
    </row>
    <row r="216" spans="3:45" x14ac:dyDescent="0.25">
      <c r="H216" s="137"/>
      <c r="Y216" s="137"/>
      <c r="AP216" s="137"/>
    </row>
    <row r="217" spans="3:45" x14ac:dyDescent="0.25">
      <c r="H217" s="137"/>
      <c r="Y217" s="137"/>
      <c r="AP217" s="137"/>
    </row>
    <row r="218" spans="3:45" x14ac:dyDescent="0.25">
      <c r="H218" s="137"/>
      <c r="I218" s="137"/>
      <c r="Y218" s="137"/>
      <c r="AP218" s="137"/>
    </row>
    <row r="219" spans="3:45" x14ac:dyDescent="0.25">
      <c r="C219" s="229"/>
      <c r="D219" s="229"/>
      <c r="H219" s="137"/>
      <c r="I219" s="137"/>
      <c r="Y219" s="137"/>
      <c r="AP219" s="137"/>
    </row>
    <row r="220" spans="3:45" x14ac:dyDescent="0.25">
      <c r="H220" s="137"/>
      <c r="Y220" s="137"/>
      <c r="AP220" s="137"/>
    </row>
    <row r="221" spans="3:45" x14ac:dyDescent="0.25">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row>
    <row r="451" spans="8:42" x14ac:dyDescent="0.25">
      <c r="H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9CE5-1A3E-486F-8787-4E88E5B48671}">
  <sheetPr>
    <tabColor rgb="FFFF0000"/>
    <pageSetUpPr fitToPage="1"/>
  </sheetPr>
  <dimension ref="A1:BR454"/>
  <sheetViews>
    <sheetView showGridLines="0" zoomScaleNormal="100" workbookViewId="0">
      <pane xSplit="4" ySplit="15" topLeftCell="Z118" activePane="bottomRight" state="frozenSplit"/>
      <selection activeCell="N80" sqref="N80"/>
      <selection pane="topRight" activeCell="N80" sqref="N80"/>
      <selection pane="bottomLeft" activeCell="N80" sqref="N80"/>
      <selection pane="bottomRight" activeCell="S101" sqref="S101"/>
    </sheetView>
  </sheetViews>
  <sheetFormatPr defaultRowHeight="15" x14ac:dyDescent="0.25"/>
  <cols>
    <col min="1" max="1" width="1.5703125" style="128" customWidth="1"/>
    <col min="2" max="2" width="6.85546875" style="128" customWidth="1"/>
    <col min="3" max="3" width="11.140625" style="128" bestFit="1" customWidth="1"/>
    <col min="4" max="4" width="13.28515625" style="128" bestFit="1" customWidth="1"/>
    <col min="5" max="5" width="49.28515625" style="128" customWidth="1"/>
    <col min="6" max="6" width="3.7109375" style="128" customWidth="1"/>
    <col min="7" max="22" width="13.140625" style="128" customWidth="1"/>
    <col min="23" max="23" width="9.140625" style="128" customWidth="1"/>
    <col min="24" max="39" width="13.140625" style="128" customWidth="1"/>
    <col min="40" max="40" width="3.85546875" style="128" customWidth="1"/>
    <col min="41" max="56" width="13.140625" style="128" customWidth="1"/>
    <col min="57" max="58" width="13.140625" style="126" customWidth="1"/>
    <col min="59" max="59" width="9.140625" style="128" customWidth="1"/>
    <col min="60" max="16384" width="9.140625" style="128"/>
  </cols>
  <sheetData>
    <row r="1" spans="2:69" ht="24" hidden="1" customHeight="1" x14ac:dyDescent="0.35">
      <c r="B1" s="1" t="str">
        <f>'Model Update'!D5</f>
        <v>SA Power Networks</v>
      </c>
      <c r="C1" s="141"/>
      <c r="D1" s="141"/>
      <c r="G1" s="1" t="s">
        <v>11</v>
      </c>
      <c r="X1" s="140"/>
      <c r="AO1" s="140"/>
    </row>
    <row r="2" spans="2:69" ht="21.75" hidden="1" customHeight="1" x14ac:dyDescent="0.3">
      <c r="B2" s="123" t="s">
        <v>215</v>
      </c>
      <c r="C2" s="141"/>
      <c r="D2" s="141"/>
      <c r="H2" s="142" t="s">
        <v>13</v>
      </c>
      <c r="I2" s="142"/>
      <c r="J2" s="142"/>
      <c r="K2" s="142"/>
      <c r="Y2" s="142"/>
      <c r="Z2" s="142"/>
      <c r="AA2" s="142"/>
      <c r="AB2" s="142"/>
      <c r="AP2" s="142"/>
      <c r="AQ2" s="142"/>
      <c r="AR2" s="142"/>
      <c r="AS2" s="142"/>
    </row>
    <row r="3" spans="2:69" ht="18" hidden="1" customHeight="1" x14ac:dyDescent="0.25">
      <c r="B3" s="143"/>
      <c r="C3" s="141"/>
      <c r="D3" s="141"/>
      <c r="H3" s="142"/>
      <c r="I3" s="142"/>
      <c r="J3" s="142"/>
      <c r="K3" s="142"/>
      <c r="Y3" s="142"/>
      <c r="Z3" s="142"/>
      <c r="AA3" s="142"/>
      <c r="AB3" s="142"/>
      <c r="AP3" s="142"/>
      <c r="AQ3" s="142"/>
      <c r="AR3" s="142"/>
      <c r="AS3" s="142"/>
    </row>
    <row r="4" spans="2:69" ht="18" hidden="1" customHeight="1" x14ac:dyDescent="0.25">
      <c r="B4" s="143"/>
      <c r="C4" s="141"/>
      <c r="D4" s="141"/>
      <c r="H4" s="142"/>
      <c r="I4" s="142"/>
      <c r="J4" s="142"/>
      <c r="K4" s="142"/>
      <c r="Y4" s="142"/>
      <c r="Z4" s="142"/>
      <c r="AA4" s="142"/>
      <c r="AB4" s="142"/>
      <c r="AP4" s="142"/>
      <c r="AQ4" s="142"/>
      <c r="AR4" s="142"/>
      <c r="AS4" s="142"/>
    </row>
    <row r="5" spans="2:69" ht="12.75" hidden="1" customHeight="1" x14ac:dyDescent="0.25">
      <c r="B5" s="143"/>
      <c r="C5" s="141"/>
      <c r="D5" s="141"/>
      <c r="H5" s="142"/>
      <c r="I5" s="142"/>
      <c r="J5" s="142"/>
      <c r="K5" s="142"/>
      <c r="Y5" s="142"/>
      <c r="Z5" s="142"/>
      <c r="AA5" s="142"/>
      <c r="AB5" s="142"/>
      <c r="AP5" s="142"/>
      <c r="AQ5" s="142"/>
      <c r="AR5" s="142"/>
      <c r="AS5" s="142"/>
    </row>
    <row r="6" spans="2:69" ht="12.75" hidden="1" customHeight="1" x14ac:dyDescent="0.25">
      <c r="B6" s="143"/>
      <c r="C6" s="141"/>
      <c r="D6" s="141"/>
      <c r="I6" s="142"/>
      <c r="J6" s="142"/>
      <c r="K6" s="142"/>
      <c r="Z6" s="142"/>
      <c r="AA6" s="142"/>
      <c r="AB6" s="142"/>
      <c r="AQ6" s="142"/>
      <c r="AR6" s="142"/>
      <c r="AS6" s="142"/>
    </row>
    <row r="7" spans="2:69" ht="18.75" hidden="1" x14ac:dyDescent="0.3">
      <c r="B7" s="7" t="str">
        <f>"Information for financial year ending 30 June "&amp;'Model Update'!C12</f>
        <v>Information for financial year ending 30 June 2022</v>
      </c>
      <c r="C7" s="141"/>
      <c r="D7" s="141"/>
      <c r="H7" s="142"/>
      <c r="I7" s="142"/>
      <c r="J7" s="142"/>
      <c r="K7" s="142"/>
      <c r="Y7" s="142"/>
      <c r="Z7" s="142"/>
      <c r="AA7" s="142"/>
      <c r="AB7" s="142"/>
      <c r="AP7" s="142"/>
      <c r="AQ7" s="142"/>
      <c r="AR7" s="142"/>
      <c r="AS7" s="142"/>
      <c r="BE7" s="251">
        <f>Days_Year</f>
        <v>365</v>
      </c>
    </row>
    <row r="8" spans="2:69" hidden="1" x14ac:dyDescent="0.25">
      <c r="B8" s="143"/>
      <c r="C8" s="141"/>
      <c r="D8" s="141"/>
    </row>
    <row r="9" spans="2:69" hidden="1"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x14ac:dyDescent="0.25">
      <c r="B11" s="146" t="s">
        <v>16</v>
      </c>
      <c r="C11" s="147"/>
      <c r="D11" s="147"/>
      <c r="E11" s="148"/>
      <c r="G11" s="149">
        <f>'Model Update'!C12-1</f>
        <v>2021</v>
      </c>
      <c r="H11" s="150">
        <f>$G$11</f>
        <v>2021</v>
      </c>
      <c r="I11" s="147"/>
      <c r="J11" s="151"/>
      <c r="K11" s="152"/>
      <c r="L11" s="150">
        <f>$G$11</f>
        <v>2021</v>
      </c>
      <c r="M11" s="153"/>
      <c r="N11" s="153"/>
      <c r="O11" s="152"/>
      <c r="P11" s="150">
        <f>$G$11</f>
        <v>2021</v>
      </c>
      <c r="Q11" s="147"/>
      <c r="R11" s="151"/>
      <c r="S11" s="150">
        <f>$G$11</f>
        <v>2021</v>
      </c>
      <c r="T11" s="154"/>
      <c r="U11" s="150">
        <f>$G$11</f>
        <v>2021</v>
      </c>
      <c r="V11" s="148"/>
      <c r="X11" s="150">
        <f>$G$11</f>
        <v>2021</v>
      </c>
      <c r="Y11" s="150">
        <f>$G$11</f>
        <v>2021</v>
      </c>
      <c r="Z11" s="147"/>
      <c r="AA11" s="151"/>
      <c r="AB11" s="152"/>
      <c r="AC11" s="150">
        <f>$G$11</f>
        <v>2021</v>
      </c>
      <c r="AD11" s="153"/>
      <c r="AE11" s="153"/>
      <c r="AF11" s="152"/>
      <c r="AG11" s="150">
        <f>$G$11</f>
        <v>2021</v>
      </c>
      <c r="AH11" s="147"/>
      <c r="AI11" s="151"/>
      <c r="AJ11" s="150">
        <f>$G$11</f>
        <v>2021</v>
      </c>
      <c r="AK11" s="154"/>
      <c r="AL11" s="150">
        <f>$G$11</f>
        <v>2021</v>
      </c>
      <c r="AM11" s="148"/>
      <c r="AO11" s="150">
        <f>$G$11</f>
        <v>2021</v>
      </c>
      <c r="AP11" s="150">
        <f>$G$11</f>
        <v>2021</v>
      </c>
      <c r="AQ11" s="147"/>
      <c r="AR11" s="151"/>
      <c r="AS11" s="152"/>
      <c r="AT11" s="150">
        <f>$G$11</f>
        <v>2021</v>
      </c>
      <c r="AU11" s="153"/>
      <c r="AV11" s="153"/>
      <c r="AW11" s="152"/>
      <c r="AX11" s="150">
        <f>$G$11</f>
        <v>2021</v>
      </c>
      <c r="AY11" s="147"/>
      <c r="AZ11" s="151"/>
      <c r="BA11" s="150">
        <f>$G$11</f>
        <v>2021</v>
      </c>
      <c r="BB11" s="154"/>
      <c r="BC11" s="150">
        <f>$G$11</f>
        <v>2021</v>
      </c>
      <c r="BD11" s="147"/>
      <c r="BE11" s="912" t="s">
        <v>17</v>
      </c>
      <c r="BF11" s="900"/>
      <c r="BH11" s="912" t="s">
        <v>205</v>
      </c>
      <c r="BI11" s="899"/>
      <c r="BJ11" s="899"/>
      <c r="BK11" s="899"/>
      <c r="BL11" s="899"/>
      <c r="BM11" s="900"/>
    </row>
    <row r="12" spans="2:69"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825" t="s">
        <v>204</v>
      </c>
      <c r="BF12" s="827" t="s">
        <v>23</v>
      </c>
      <c r="BH12" s="232"/>
      <c r="BI12" s="233"/>
      <c r="BJ12" s="233"/>
      <c r="BK12" s="233"/>
      <c r="BL12" s="233"/>
      <c r="BM12" s="145"/>
    </row>
    <row r="13" spans="2:69"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827"/>
      <c r="BH13" s="825" t="s">
        <v>206</v>
      </c>
      <c r="BI13" s="826" t="s">
        <v>23</v>
      </c>
      <c r="BJ13" s="826" t="s">
        <v>23</v>
      </c>
      <c r="BK13" s="826" t="s">
        <v>210</v>
      </c>
      <c r="BL13" s="826" t="s">
        <v>211</v>
      </c>
      <c r="BM13" s="827" t="s">
        <v>212</v>
      </c>
      <c r="BO13" s="826" t="s">
        <v>600</v>
      </c>
      <c r="BQ13" s="126" t="s">
        <v>255</v>
      </c>
    </row>
    <row r="14" spans="2:69"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825" t="s">
        <v>22</v>
      </c>
      <c r="BF14" s="827" t="s">
        <v>35</v>
      </c>
      <c r="BH14" s="825" t="s">
        <v>207</v>
      </c>
      <c r="BI14" s="826" t="s">
        <v>208</v>
      </c>
      <c r="BJ14" s="826" t="s">
        <v>209</v>
      </c>
      <c r="BK14" s="826"/>
      <c r="BL14" s="826"/>
      <c r="BM14" s="827"/>
    </row>
    <row r="15" spans="2:69"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69"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c r="Y16" s="169"/>
      <c r="Z16" s="170"/>
      <c r="AA16" s="170"/>
      <c r="AB16" s="171"/>
      <c r="AC16" s="170"/>
      <c r="AD16" s="170"/>
      <c r="AE16" s="170"/>
      <c r="AF16" s="171"/>
      <c r="AG16" s="169"/>
      <c r="AH16" s="170"/>
      <c r="AI16" s="171"/>
      <c r="AJ16" s="169"/>
      <c r="AK16" s="170"/>
      <c r="AL16" s="169"/>
      <c r="AM16" s="171"/>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2"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0</v>
      </c>
      <c r="BI16" s="253">
        <f>SUBTOTAL(9,BI17:BI27)</f>
        <v>108566.378455</v>
      </c>
      <c r="BJ16" s="253">
        <f>SUBTOTAL(9,BJ17:BJ27)</f>
        <v>7912.6500000000005</v>
      </c>
      <c r="BK16" s="253">
        <f>SUBTOTAL(9,BK17:BK27)</f>
        <v>0</v>
      </c>
      <c r="BL16" s="253">
        <f>SUBTOTAL(9,BL17:BL27)</f>
        <v>84.234736499999997</v>
      </c>
      <c r="BM16" s="254">
        <f>SUM(BH16:BL16)</f>
        <v>116563.26319149999</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c r="Y17" s="175"/>
      <c r="Z17" s="176"/>
      <c r="AA17" s="176"/>
      <c r="AB17" s="177"/>
      <c r="AC17" s="178"/>
      <c r="AD17" s="178"/>
      <c r="AE17" s="178"/>
      <c r="AF17" s="179"/>
      <c r="AG17" s="175"/>
      <c r="AH17" s="176"/>
      <c r="AI17" s="177"/>
      <c r="AJ17" s="175"/>
      <c r="AK17" s="176"/>
      <c r="AL17" s="175"/>
      <c r="AM17" s="177"/>
      <c r="AO17" s="174">
        <f t="shared" ref="AO17:AO80"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80" si="3">X17/$BE$7</f>
        <v>0</v>
      </c>
      <c r="BF17" s="245">
        <f t="shared" ref="BF17:BF51" si="4">SUM(Y17:AF17)</f>
        <v>0</v>
      </c>
      <c r="BH17" s="252">
        <f>SUBTOTAL(9,BH18:BH19)</f>
        <v>0</v>
      </c>
      <c r="BI17" s="252">
        <f>SUBTOTAL(9,BI18:BI19)</f>
        <v>81363.39</v>
      </c>
      <c r="BJ17" s="252">
        <f>SUBTOTAL(9,BJ18:BJ19)</f>
        <v>6142.1</v>
      </c>
      <c r="BK17" s="260">
        <f>SUBTOTAL(9,BK18:BK19)</f>
        <v>0</v>
      </c>
      <c r="BL17" s="261">
        <f>SUBTOTAL(9,BL18:BL19)</f>
        <v>0</v>
      </c>
      <c r="BM17" s="257">
        <f t="shared" ref="BM17:BM79" si="5">SUM(BH17:BL17)</f>
        <v>87505.49</v>
      </c>
      <c r="BO17" s="714" t="str">
        <f t="shared" ref="BO17:BO80" si="6">IF(BF17=0,"",BM17*1000/BF17)</f>
        <v/>
      </c>
    </row>
    <row r="18" spans="2:67" ht="15" customHeight="1" x14ac:dyDescent="0.25">
      <c r="B18" s="156">
        <v>1</v>
      </c>
      <c r="C18" s="180" t="s">
        <v>44</v>
      </c>
      <c r="D18" s="181" t="s">
        <v>44</v>
      </c>
      <c r="E18" s="182" t="s">
        <v>641</v>
      </c>
      <c r="G18" s="463">
        <f>'[15]TUoS (t)'!G18</f>
        <v>0</v>
      </c>
      <c r="H18" s="464">
        <f>'[15]TUoS (t)'!H18</f>
        <v>3.39E-2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0</v>
      </c>
      <c r="AP18" s="184">
        <f t="shared" si="0"/>
        <v>81363.39</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0</v>
      </c>
      <c r="BI18" s="255">
        <f>SUM(AP18:AS18)</f>
        <v>81363.39</v>
      </c>
      <c r="BJ18" s="255">
        <f>SUM(AT18:AW18)</f>
        <v>0</v>
      </c>
      <c r="BK18" s="256">
        <f>SUM(AX18:BB18)</f>
        <v>0</v>
      </c>
      <c r="BL18" s="262">
        <f>SUM(BC18:BD18)</f>
        <v>0</v>
      </c>
      <c r="BM18" s="257">
        <f t="shared" si="5"/>
        <v>81363.39</v>
      </c>
      <c r="BO18" s="714">
        <f t="shared" si="6"/>
        <v>33.9</v>
      </c>
    </row>
    <row r="19" spans="2:67" ht="15" customHeight="1" x14ac:dyDescent="0.25">
      <c r="B19" s="156">
        <f>B18+1</f>
        <v>2</v>
      </c>
      <c r="C19" s="180" t="s">
        <v>643</v>
      </c>
      <c r="D19" s="181" t="s">
        <v>643</v>
      </c>
      <c r="E19" s="182" t="s">
        <v>47</v>
      </c>
      <c r="G19" s="463">
        <f>'[15]TUoS (t)'!G19</f>
        <v>0</v>
      </c>
      <c r="H19" s="464">
        <f>'[15]TUoS (t)'!H19</f>
        <v>3.39E-2</v>
      </c>
      <c r="I19" s="459"/>
      <c r="J19" s="459"/>
      <c r="K19" s="460"/>
      <c r="L19" s="465">
        <f>'[15]TUoS (t)'!L19</f>
        <v>1.7000000000000001E-2</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6142.1</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6142.1</v>
      </c>
      <c r="BK19" s="256">
        <f>SUM(AX19:BB19)</f>
        <v>0</v>
      </c>
      <c r="BL19" s="262">
        <f>SUM(BC19:BD19)</f>
        <v>0</v>
      </c>
      <c r="BM19" s="257">
        <f t="shared" si="5"/>
        <v>6142.1</v>
      </c>
      <c r="BO19" s="714">
        <f t="shared" si="6"/>
        <v>17</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0</v>
      </c>
      <c r="BI20" s="252">
        <f>SUBTOTAL(9,BI21:BI27)</f>
        <v>27202.988454999999</v>
      </c>
      <c r="BJ20" s="252">
        <f>SUBTOTAL(9,BJ21:BJ27)</f>
        <v>1770.5500000000002</v>
      </c>
      <c r="BK20" s="252">
        <f>SUBTOTAL(9,BK21:BK27)</f>
        <v>0</v>
      </c>
      <c r="BL20" s="252">
        <f>SUBTOTAL(9,BL21:BL27)</f>
        <v>84.234736499999997</v>
      </c>
      <c r="BM20" s="257">
        <f t="shared" si="5"/>
        <v>29057.773191499997</v>
      </c>
      <c r="BO20" s="714" t="str">
        <f t="shared" si="6"/>
        <v/>
      </c>
    </row>
    <row r="21" spans="2:67" ht="15" customHeight="1" x14ac:dyDescent="0.25">
      <c r="B21" s="156">
        <f>B19+1</f>
        <v>3</v>
      </c>
      <c r="C21" s="180" t="s">
        <v>46</v>
      </c>
      <c r="D21" s="181" t="s">
        <v>46</v>
      </c>
      <c r="E21" s="182" t="s">
        <v>642</v>
      </c>
      <c r="G21" s="463">
        <f>'[15]TUoS (t)'!G21</f>
        <v>0</v>
      </c>
      <c r="H21" s="758">
        <f>'[15]TUoS (t)'!H21</f>
        <v>3.39E-2</v>
      </c>
      <c r="I21" s="459"/>
      <c r="J21" s="459"/>
      <c r="K21" s="460"/>
      <c r="L21" s="414"/>
      <c r="M21" s="759">
        <f>'[15]TUoS (t)'!M21</f>
        <v>4.24E-2</v>
      </c>
      <c r="N21" s="759">
        <f>'[15]TUoS (t)'!N21</f>
        <v>1.7000000000000001E-2</v>
      </c>
      <c r="O21" s="760">
        <f>'[15]TUoS (t)'!O21</f>
        <v>8.5000000000000006E-3</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 t="shared" si="2"/>
        <v>0</v>
      </c>
      <c r="AP21" s="175">
        <f t="shared" si="0"/>
        <v>0</v>
      </c>
      <c r="AQ21" s="178">
        <f t="shared" si="0"/>
        <v>0</v>
      </c>
      <c r="AR21" s="178">
        <f t="shared" si="0"/>
        <v>0</v>
      </c>
      <c r="AS21" s="179">
        <f t="shared" si="0"/>
        <v>0</v>
      </c>
      <c r="AT21" s="185">
        <f t="shared" si="0"/>
        <v>0</v>
      </c>
      <c r="AU21" s="185">
        <f t="shared" si="0"/>
        <v>0</v>
      </c>
      <c r="AV21" s="185">
        <f t="shared" si="0"/>
        <v>0</v>
      </c>
      <c r="AW21" s="186">
        <f t="shared" si="0"/>
        <v>0</v>
      </c>
      <c r="AX21" s="175">
        <f t="shared" si="1"/>
        <v>0</v>
      </c>
      <c r="AY21" s="176">
        <f t="shared" si="1"/>
        <v>0</v>
      </c>
      <c r="AZ21" s="177">
        <f t="shared" si="1"/>
        <v>0</v>
      </c>
      <c r="BA21" s="175">
        <f t="shared" si="1"/>
        <v>0</v>
      </c>
      <c r="BB21" s="176">
        <f t="shared" si="1"/>
        <v>0</v>
      </c>
      <c r="BC21" s="175">
        <f t="shared" si="1"/>
        <v>0</v>
      </c>
      <c r="BD21" s="176">
        <f t="shared" si="1"/>
        <v>0</v>
      </c>
      <c r="BE21" s="244">
        <f t="shared" si="3"/>
        <v>0</v>
      </c>
      <c r="BF21" s="245">
        <f t="shared" si="4"/>
        <v>0</v>
      </c>
      <c r="BH21" s="255">
        <f t="shared" ref="BH21:BH27" si="7">SUM(AO21)</f>
        <v>0</v>
      </c>
      <c r="BI21" s="255">
        <f t="shared" ref="BI21:BI27" si="8">SUM(AP21:AS21)</f>
        <v>0</v>
      </c>
      <c r="BJ21" s="255">
        <f t="shared" ref="BJ21:BJ27" si="9">SUM(AT21:AW21)</f>
        <v>0</v>
      </c>
      <c r="BK21" s="256">
        <f t="shared" ref="BK21:BK27" si="10">SUM(AX21:BB21)</f>
        <v>0</v>
      </c>
      <c r="BL21" s="262">
        <f t="shared" ref="BL21:BL27" si="11">SUM(BC21:BD21)</f>
        <v>0</v>
      </c>
      <c r="BM21" s="257">
        <f>SUM(BH21:BL21)</f>
        <v>0</v>
      </c>
      <c r="BO21" s="714" t="str">
        <f t="shared" si="6"/>
        <v/>
      </c>
    </row>
    <row r="22" spans="2:67" ht="15" customHeight="1" x14ac:dyDescent="0.25">
      <c r="B22" s="156">
        <f t="shared" ref="B22:B27" si="12">B21+1</f>
        <v>4</v>
      </c>
      <c r="C22" s="180" t="s">
        <v>49</v>
      </c>
      <c r="D22" s="181" t="s">
        <v>49</v>
      </c>
      <c r="E22" s="182" t="s">
        <v>50</v>
      </c>
      <c r="G22" s="463">
        <f>'[15]TUoS (t)'!G22</f>
        <v>0</v>
      </c>
      <c r="H22" s="458"/>
      <c r="I22" s="465">
        <f>'[15]TUoS (t)'!I22</f>
        <v>4.24E-2</v>
      </c>
      <c r="J22" s="465">
        <f>'[15]TUoS (t)'!J22</f>
        <v>1.7000000000000001E-2</v>
      </c>
      <c r="K22" s="466">
        <f>'[15]TUoS (t)'!K22</f>
        <v>8.5000000000000006E-3</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0</v>
      </c>
      <c r="AP22" s="175">
        <f t="shared" si="0"/>
        <v>0</v>
      </c>
      <c r="AQ22" s="178">
        <f t="shared" si="0"/>
        <v>24151.040000000001</v>
      </c>
      <c r="AR22" s="178">
        <f t="shared" si="0"/>
        <v>1936.3000000000002</v>
      </c>
      <c r="AS22" s="179">
        <f t="shared" si="0"/>
        <v>1076.95</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7"/>
        <v>0</v>
      </c>
      <c r="BI22" s="255">
        <f t="shared" si="8"/>
        <v>27164.29</v>
      </c>
      <c r="BJ22" s="255">
        <f t="shared" si="9"/>
        <v>0</v>
      </c>
      <c r="BK22" s="256">
        <f t="shared" si="10"/>
        <v>0</v>
      </c>
      <c r="BL22" s="262">
        <f t="shared" si="11"/>
        <v>0</v>
      </c>
      <c r="BM22" s="257">
        <f t="shared" si="5"/>
        <v>27164.29</v>
      </c>
      <c r="BO22" s="714">
        <f t="shared" si="6"/>
        <v>33.527882004443349</v>
      </c>
    </row>
    <row r="23" spans="2:67" ht="15" customHeight="1" x14ac:dyDescent="0.25">
      <c r="B23" s="156">
        <f t="shared" si="12"/>
        <v>5</v>
      </c>
      <c r="C23" s="180" t="s">
        <v>51</v>
      </c>
      <c r="D23" s="181" t="s">
        <v>51</v>
      </c>
      <c r="E23" s="182" t="s">
        <v>52</v>
      </c>
      <c r="G23" s="463">
        <f>'[15]TUoS (t)'!G23</f>
        <v>0</v>
      </c>
      <c r="H23" s="458"/>
      <c r="I23" s="465">
        <f>'[15]TUoS (t)'!I23</f>
        <v>4.24E-2</v>
      </c>
      <c r="J23" s="465">
        <f>'[15]TUoS (t)'!J23</f>
        <v>1.7000000000000001E-2</v>
      </c>
      <c r="K23" s="466">
        <f>'[15]TUoS (t)'!K23</f>
        <v>8.5000000000000006E-3</v>
      </c>
      <c r="L23" s="414"/>
      <c r="M23" s="465">
        <f>'[15]TUoS (t)'!M23</f>
        <v>4.24E-2</v>
      </c>
      <c r="N23" s="465">
        <f>'[15]TUoS (t)'!N23</f>
        <v>1.7000000000000001E-2</v>
      </c>
      <c r="O23" s="465">
        <f>'[15]TUoS (t)'!O23</f>
        <v>8.5000000000000006E-3</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1574.2</v>
      </c>
      <c r="AW23" s="178">
        <f t="shared" si="0"/>
        <v>196.35000000000002</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7"/>
        <v>0</v>
      </c>
      <c r="BI23" s="255">
        <f t="shared" si="8"/>
        <v>0</v>
      </c>
      <c r="BJ23" s="255">
        <f t="shared" si="9"/>
        <v>1770.5500000000002</v>
      </c>
      <c r="BK23" s="256">
        <f t="shared" si="10"/>
        <v>0</v>
      </c>
      <c r="BL23" s="262">
        <f t="shared" si="11"/>
        <v>0</v>
      </c>
      <c r="BM23" s="257">
        <f t="shared" si="5"/>
        <v>1770.5500000000002</v>
      </c>
      <c r="BO23" s="714">
        <f t="shared" si="6"/>
        <v>15.302938634399311</v>
      </c>
    </row>
    <row r="24" spans="2:67" ht="15" customHeight="1" x14ac:dyDescent="0.25">
      <c r="B24" s="156">
        <f t="shared" si="12"/>
        <v>6</v>
      </c>
      <c r="C24" s="180" t="s">
        <v>53</v>
      </c>
      <c r="D24" s="181" t="s">
        <v>53</v>
      </c>
      <c r="E24" s="182" t="s">
        <v>54</v>
      </c>
      <c r="G24" s="463">
        <f>'[15]TUoS (t)'!G24</f>
        <v>0</v>
      </c>
      <c r="H24" s="458"/>
      <c r="I24" s="465">
        <f>'[15]TUoS (t)'!I24</f>
        <v>2.5399999999999999E-2</v>
      </c>
      <c r="J24" s="465">
        <f>'[15]TUoS (t)'!J24</f>
        <v>1.0200000000000001E-2</v>
      </c>
      <c r="K24" s="466">
        <f>'[15]TUoS (t)'!K24</f>
        <v>5.1000000000000004E-3</v>
      </c>
      <c r="L24" s="414"/>
      <c r="M24" s="414"/>
      <c r="N24" s="414"/>
      <c r="O24" s="415"/>
      <c r="P24" s="458"/>
      <c r="Q24" s="459"/>
      <c r="R24" s="460"/>
      <c r="S24" s="458"/>
      <c r="T24" s="459"/>
      <c r="U24" s="464">
        <f>'[15]TUoS (t)'!U24</f>
        <v>0.18870000000000001</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0</v>
      </c>
      <c r="AP24" s="175">
        <f t="shared" si="0"/>
        <v>0</v>
      </c>
      <c r="AQ24" s="178">
        <f t="shared" si="0"/>
        <v>11.43</v>
      </c>
      <c r="AR24" s="178">
        <f t="shared" si="0"/>
        <v>4.5900000000000007</v>
      </c>
      <c r="AS24" s="179">
        <f t="shared" si="0"/>
        <v>1.2750000000000001</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84.234736499999997</v>
      </c>
      <c r="BD24" s="176">
        <f t="shared" si="1"/>
        <v>0</v>
      </c>
      <c r="BE24" s="244">
        <f t="shared" si="3"/>
        <v>1019</v>
      </c>
      <c r="BF24" s="245">
        <f t="shared" si="4"/>
        <v>1150</v>
      </c>
      <c r="BH24" s="255">
        <f t="shared" si="7"/>
        <v>0</v>
      </c>
      <c r="BI24" s="255">
        <f t="shared" si="8"/>
        <v>17.294999999999998</v>
      </c>
      <c r="BJ24" s="255">
        <f t="shared" si="9"/>
        <v>0</v>
      </c>
      <c r="BK24" s="256">
        <f t="shared" si="10"/>
        <v>0</v>
      </c>
      <c r="BL24" s="262">
        <f t="shared" si="11"/>
        <v>84.234736499999997</v>
      </c>
      <c r="BM24" s="257">
        <f t="shared" si="5"/>
        <v>101.5297365</v>
      </c>
      <c r="BO24" s="714"/>
    </row>
    <row r="25" spans="2:67" ht="15" customHeight="1" x14ac:dyDescent="0.25">
      <c r="B25" s="156">
        <f t="shared" si="12"/>
        <v>7</v>
      </c>
      <c r="C25" s="180" t="s">
        <v>55</v>
      </c>
      <c r="D25" s="181" t="s">
        <v>55</v>
      </c>
      <c r="E25" s="182" t="s">
        <v>56</v>
      </c>
      <c r="G25" s="463">
        <f>'[15]TUoS (t)'!G25</f>
        <v>0</v>
      </c>
      <c r="H25" s="458"/>
      <c r="I25" s="465">
        <f>'[15]TUoS (t)'!I25</f>
        <v>2.5399999999999999E-2</v>
      </c>
      <c r="J25" s="465">
        <f>'[15]TUoS (t)'!J25</f>
        <v>1.0200000000000001E-2</v>
      </c>
      <c r="K25" s="466">
        <f>'[15]TUoS (t)'!K25</f>
        <v>5.1000000000000004E-3</v>
      </c>
      <c r="L25" s="414"/>
      <c r="M25" s="465">
        <f>'[15]TUoS (t)'!M25</f>
        <v>4.24E-2</v>
      </c>
      <c r="N25" s="465">
        <f>'[15]TUoS (t)'!N25</f>
        <v>1.7000000000000001E-2</v>
      </c>
      <c r="O25" s="465">
        <f>'[15]TUoS (t)'!O25</f>
        <v>8.5000000000000006E-3</v>
      </c>
      <c r="P25" s="458"/>
      <c r="Q25" s="459"/>
      <c r="R25" s="460"/>
      <c r="S25" s="458"/>
      <c r="T25" s="459"/>
      <c r="U25" s="464">
        <f>'[15]TUoS (t)'!U25</f>
        <v>0.18870000000000001</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7"/>
        <v>0</v>
      </c>
      <c r="BI25" s="255">
        <f t="shared" si="8"/>
        <v>0</v>
      </c>
      <c r="BJ25" s="255">
        <f t="shared" si="9"/>
        <v>0</v>
      </c>
      <c r="BK25" s="256">
        <f t="shared" si="10"/>
        <v>0</v>
      </c>
      <c r="BL25" s="262">
        <f t="shared" si="11"/>
        <v>0</v>
      </c>
      <c r="BM25" s="257">
        <f t="shared" si="5"/>
        <v>0</v>
      </c>
      <c r="BO25" s="714"/>
    </row>
    <row r="26" spans="2:67" ht="15" customHeight="1" x14ac:dyDescent="0.25">
      <c r="B26" s="156">
        <f t="shared" si="12"/>
        <v>8</v>
      </c>
      <c r="C26" s="180" t="s">
        <v>699</v>
      </c>
      <c r="D26" s="181" t="str">
        <f>C26</f>
        <v>RTOU+TR</v>
      </c>
      <c r="E26" s="182" t="s">
        <v>701</v>
      </c>
      <c r="G26" s="862">
        <f>G22</f>
        <v>0</v>
      </c>
      <c r="H26" s="458"/>
      <c r="I26" s="851">
        <f t="shared" ref="I26:K27" si="13">I22</f>
        <v>4.24E-2</v>
      </c>
      <c r="J26" s="851">
        <f t="shared" si="13"/>
        <v>1.7000000000000001E-2</v>
      </c>
      <c r="K26" s="852">
        <f t="shared" si="13"/>
        <v>8.5000000000000006E-3</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 t="shared" si="2"/>
        <v>0</v>
      </c>
      <c r="AP26" s="175">
        <f t="shared" si="0"/>
        <v>0</v>
      </c>
      <c r="AQ26" s="178">
        <f t="shared" si="0"/>
        <v>5.7536799999999992</v>
      </c>
      <c r="AR26" s="178">
        <f t="shared" si="0"/>
        <v>14.056450000000002</v>
      </c>
      <c r="AS26" s="179">
        <f t="shared" si="0"/>
        <v>1.5933250000000003</v>
      </c>
      <c r="AT26" s="185">
        <f t="shared" si="0"/>
        <v>0</v>
      </c>
      <c r="AU26" s="185">
        <f t="shared" si="0"/>
        <v>0</v>
      </c>
      <c r="AV26" s="185">
        <f t="shared" si="0"/>
        <v>0</v>
      </c>
      <c r="AW26" s="186">
        <f t="shared" si="0"/>
        <v>0</v>
      </c>
      <c r="AX26" s="175">
        <f t="shared" si="1"/>
        <v>0</v>
      </c>
      <c r="AY26" s="176">
        <f t="shared" si="1"/>
        <v>0</v>
      </c>
      <c r="AZ26" s="177">
        <f t="shared" si="1"/>
        <v>0</v>
      </c>
      <c r="BA26" s="175">
        <f t="shared" si="1"/>
        <v>0</v>
      </c>
      <c r="BB26" s="176">
        <f t="shared" si="1"/>
        <v>0</v>
      </c>
      <c r="BC26" s="184">
        <f t="shared" si="1"/>
        <v>0</v>
      </c>
      <c r="BD26" s="176">
        <f t="shared" si="1"/>
        <v>0</v>
      </c>
      <c r="BE26" s="244">
        <f t="shared" si="3"/>
        <v>1019</v>
      </c>
      <c r="BF26" s="245">
        <f t="shared" si="4"/>
        <v>1150</v>
      </c>
      <c r="BH26" s="255">
        <f t="shared" si="7"/>
        <v>0</v>
      </c>
      <c r="BI26" s="255">
        <f t="shared" si="8"/>
        <v>21.403455000000001</v>
      </c>
      <c r="BJ26" s="255">
        <f t="shared" si="9"/>
        <v>0</v>
      </c>
      <c r="BK26" s="256">
        <f t="shared" si="10"/>
        <v>0</v>
      </c>
      <c r="BL26" s="262">
        <f t="shared" si="11"/>
        <v>0</v>
      </c>
      <c r="BM26" s="257">
        <f>SUM(BH26:BL26)</f>
        <v>21.403455000000001</v>
      </c>
      <c r="BO26" s="714"/>
    </row>
    <row r="27" spans="2:67" ht="15" customHeight="1" x14ac:dyDescent="0.25">
      <c r="B27" s="162">
        <f t="shared" si="12"/>
        <v>9</v>
      </c>
      <c r="C27" s="187" t="s">
        <v>700</v>
      </c>
      <c r="D27" s="188" t="str">
        <f>C27</f>
        <v>RTOU+CLTR</v>
      </c>
      <c r="E27" s="189" t="s">
        <v>702</v>
      </c>
      <c r="G27" s="879">
        <f>G23</f>
        <v>0</v>
      </c>
      <c r="H27" s="468"/>
      <c r="I27" s="853">
        <f t="shared" si="13"/>
        <v>4.24E-2</v>
      </c>
      <c r="J27" s="853">
        <f t="shared" si="13"/>
        <v>1.7000000000000001E-2</v>
      </c>
      <c r="K27" s="854">
        <f t="shared" si="13"/>
        <v>8.5000000000000006E-3</v>
      </c>
      <c r="L27" s="416"/>
      <c r="M27" s="853">
        <f>M23</f>
        <v>4.24E-2</v>
      </c>
      <c r="N27" s="853">
        <f>N23</f>
        <v>1.7000000000000001E-2</v>
      </c>
      <c r="O27" s="853">
        <f>O23</f>
        <v>8.5000000000000006E-3</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 t="shared" si="2"/>
        <v>0</v>
      </c>
      <c r="AP27" s="191">
        <f t="shared" si="0"/>
        <v>0</v>
      </c>
      <c r="AQ27" s="192">
        <f t="shared" si="0"/>
        <v>0</v>
      </c>
      <c r="AR27" s="192">
        <f t="shared" si="0"/>
        <v>0</v>
      </c>
      <c r="AS27" s="193">
        <f t="shared" si="0"/>
        <v>0</v>
      </c>
      <c r="AT27" s="194">
        <f t="shared" si="0"/>
        <v>0</v>
      </c>
      <c r="AU27" s="192">
        <f t="shared" si="0"/>
        <v>0</v>
      </c>
      <c r="AV27" s="192">
        <f t="shared" si="0"/>
        <v>0</v>
      </c>
      <c r="AW27" s="192">
        <f t="shared" si="0"/>
        <v>0</v>
      </c>
      <c r="AX27" s="191">
        <f t="shared" si="1"/>
        <v>0</v>
      </c>
      <c r="AY27" s="195">
        <f t="shared" si="1"/>
        <v>0</v>
      </c>
      <c r="AZ27" s="196">
        <f t="shared" si="1"/>
        <v>0</v>
      </c>
      <c r="BA27" s="191">
        <f t="shared" si="1"/>
        <v>0</v>
      </c>
      <c r="BB27" s="195">
        <f t="shared" si="1"/>
        <v>0</v>
      </c>
      <c r="BC27" s="197">
        <f t="shared" si="1"/>
        <v>0</v>
      </c>
      <c r="BD27" s="195">
        <f t="shared" si="1"/>
        <v>0</v>
      </c>
      <c r="BE27" s="246">
        <f t="shared" si="3"/>
        <v>0</v>
      </c>
      <c r="BF27" s="247">
        <f t="shared" si="4"/>
        <v>0</v>
      </c>
      <c r="BH27" s="255">
        <f t="shared" si="7"/>
        <v>0</v>
      </c>
      <c r="BI27" s="255">
        <f t="shared" si="8"/>
        <v>0</v>
      </c>
      <c r="BJ27" s="255">
        <f t="shared" si="9"/>
        <v>0</v>
      </c>
      <c r="BK27" s="256">
        <f t="shared" si="10"/>
        <v>0</v>
      </c>
      <c r="BL27" s="262">
        <f t="shared" si="11"/>
        <v>0</v>
      </c>
      <c r="BM27" s="257">
        <f>SUM(BH27:BL27)</f>
        <v>0</v>
      </c>
      <c r="BO27" s="714"/>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c r="Y28" s="169"/>
      <c r="Z28" s="170"/>
      <c r="AA28" s="170"/>
      <c r="AB28" s="171"/>
      <c r="AC28" s="198"/>
      <c r="AD28" s="198"/>
      <c r="AE28" s="198"/>
      <c r="AF28" s="199"/>
      <c r="AG28" s="170"/>
      <c r="AH28" s="170"/>
      <c r="AI28" s="171"/>
      <c r="AJ28" s="169"/>
      <c r="AK28" s="170"/>
      <c r="AL28" s="169"/>
      <c r="AM28" s="171"/>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0</v>
      </c>
      <c r="BI28" s="253">
        <f>SUBTOTAL(9,BI29:BI41)</f>
        <v>42066.360000000008</v>
      </c>
      <c r="BJ28" s="253">
        <f>SUBTOTAL(9,BJ29:BJ41)</f>
        <v>102.00000000000001</v>
      </c>
      <c r="BK28" s="253">
        <f>SUBTOTAL(9,BK29:BK41)</f>
        <v>209.51785130000002</v>
      </c>
      <c r="BL28" s="253">
        <f>SUBTOTAL(9,BL29:BL41)</f>
        <v>0</v>
      </c>
      <c r="BM28" s="257">
        <f t="shared" si="5"/>
        <v>42377.877851300007</v>
      </c>
      <c r="BO28" s="714" t="str">
        <f t="shared" si="6"/>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c r="Y29" s="175"/>
      <c r="Z29" s="176"/>
      <c r="AA29" s="176"/>
      <c r="AB29" s="177"/>
      <c r="AC29" s="185"/>
      <c r="AD29" s="185"/>
      <c r="AE29" s="185"/>
      <c r="AF29" s="186"/>
      <c r="AG29" s="176"/>
      <c r="AH29" s="176"/>
      <c r="AI29" s="177"/>
      <c r="AJ29" s="175"/>
      <c r="AK29" s="176"/>
      <c r="AL29" s="175"/>
      <c r="AM29" s="177"/>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2721.6</v>
      </c>
      <c r="BJ29" s="252">
        <f>SUBTOTAL(9,BJ30:BJ31)</f>
        <v>0</v>
      </c>
      <c r="BK29" s="260">
        <f>SUBTOTAL(9,BK30:BK31)</f>
        <v>0</v>
      </c>
      <c r="BL29" s="261">
        <f>SUBTOTAL(9,BL30:BL31)</f>
        <v>0</v>
      </c>
      <c r="BM29" s="257">
        <f t="shared" si="5"/>
        <v>2721.6</v>
      </c>
      <c r="BO29" s="714" t="str">
        <f t="shared" si="6"/>
        <v/>
      </c>
    </row>
    <row r="30" spans="2:67" ht="15" customHeight="1" x14ac:dyDescent="0.25">
      <c r="B30" s="156">
        <v>1</v>
      </c>
      <c r="C30" s="180" t="s">
        <v>60</v>
      </c>
      <c r="D30" s="181" t="str">
        <f>C30</f>
        <v>LVUU</v>
      </c>
      <c r="E30" s="200" t="s">
        <v>61</v>
      </c>
      <c r="G30" s="477"/>
      <c r="H30" s="478">
        <f>'[15]TUoS (t)'!H28</f>
        <v>2.52E-2</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2293.1999999999998</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2293.1999999999998</v>
      </c>
      <c r="BJ30" s="255">
        <f>SUM(AT30:AW30)</f>
        <v>0</v>
      </c>
      <c r="BK30" s="256">
        <f>SUM(AX30:BB30)</f>
        <v>0</v>
      </c>
      <c r="BL30" s="262">
        <f>SUM(BC30:BD30)</f>
        <v>0</v>
      </c>
      <c r="BM30" s="257">
        <f t="shared" si="5"/>
        <v>2293.1999999999998</v>
      </c>
      <c r="BO30" s="714">
        <f t="shared" si="6"/>
        <v>25.2</v>
      </c>
    </row>
    <row r="31" spans="2:67" ht="15" customHeight="1" x14ac:dyDescent="0.25">
      <c r="B31" s="156">
        <f t="shared" ref="B31:B41" si="14">B30+1</f>
        <v>2</v>
      </c>
      <c r="C31" s="180" t="s">
        <v>62</v>
      </c>
      <c r="D31" s="181" t="str">
        <f>C31</f>
        <v>LVUU24</v>
      </c>
      <c r="E31" s="200" t="s">
        <v>63</v>
      </c>
      <c r="G31" s="477"/>
      <c r="H31" s="478">
        <f>'[15]TUoS (t)'!H29</f>
        <v>2.52E-2</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428.4</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428.4</v>
      </c>
      <c r="BJ31" s="255">
        <f>SUM(AT31:AW31)</f>
        <v>0</v>
      </c>
      <c r="BK31" s="256">
        <f>SUM(AX31:BB31)</f>
        <v>0</v>
      </c>
      <c r="BL31" s="262">
        <f>SUM(BC31:BD31)</f>
        <v>0</v>
      </c>
      <c r="BM31" s="257">
        <f t="shared" si="5"/>
        <v>428.4</v>
      </c>
      <c r="BO31" s="714">
        <f t="shared" si="6"/>
        <v>25.2</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0</v>
      </c>
      <c r="BI32" s="252">
        <f>SUBTOTAL(9,BI33:BI37)</f>
        <v>21944.04</v>
      </c>
      <c r="BJ32" s="252">
        <f>SUBTOTAL(9,BJ33:BJ37)</f>
        <v>102.00000000000001</v>
      </c>
      <c r="BK32" s="252">
        <f>SUBTOTAL(9,BK33:BK37)</f>
        <v>0</v>
      </c>
      <c r="BL32" s="252">
        <f>SUBTOTAL(9,BL33:BL37)</f>
        <v>0</v>
      </c>
      <c r="BM32" s="257">
        <f t="shared" si="5"/>
        <v>22046.04</v>
      </c>
      <c r="BO32" s="714" t="str">
        <f t="shared" si="6"/>
        <v/>
      </c>
    </row>
    <row r="33" spans="2:67" ht="15" customHeight="1" x14ac:dyDescent="0.25">
      <c r="B33" s="156">
        <f>B31+1</f>
        <v>3</v>
      </c>
      <c r="C33" s="180" t="s">
        <v>65</v>
      </c>
      <c r="D33" s="181" t="str">
        <f>C33</f>
        <v>BSR</v>
      </c>
      <c r="E33" s="200" t="s">
        <v>66</v>
      </c>
      <c r="G33" s="477">
        <f>'[15]TUoS (t)'!G31</f>
        <v>0</v>
      </c>
      <c r="H33" s="478">
        <f>'[15]TUoS (t)'!H31</f>
        <v>3.7199999999999997E-2</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0</v>
      </c>
      <c r="AP33" s="184">
        <f t="shared" si="0"/>
        <v>11985.839999999998</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0</v>
      </c>
      <c r="BI33" s="255">
        <f>SUM(AP33:AS33)</f>
        <v>11985.839999999998</v>
      </c>
      <c r="BJ33" s="255">
        <f>SUM(AT33:AW33)</f>
        <v>0</v>
      </c>
      <c r="BK33" s="256">
        <f>SUM(AX33:BB33)</f>
        <v>0</v>
      </c>
      <c r="BL33" s="262">
        <f>SUM(BC33:BD33)</f>
        <v>0</v>
      </c>
      <c r="BM33" s="257">
        <f t="shared" si="5"/>
        <v>11985.839999999998</v>
      </c>
      <c r="BO33" s="714">
        <f t="shared" si="6"/>
        <v>37.199999999999996</v>
      </c>
    </row>
    <row r="34" spans="2:67" ht="15" customHeight="1" x14ac:dyDescent="0.25">
      <c r="B34" s="156">
        <f t="shared" si="14"/>
        <v>4</v>
      </c>
      <c r="C34" s="180" t="s">
        <v>67</v>
      </c>
      <c r="D34" s="181" t="str">
        <f>C34</f>
        <v>BSRCL</v>
      </c>
      <c r="E34" s="200" t="s">
        <v>68</v>
      </c>
      <c r="G34" s="477">
        <f>'[15]TUoS (t)'!G32</f>
        <v>0</v>
      </c>
      <c r="H34" s="478">
        <f>'[15]TUoS (t)'!H32</f>
        <v>3.7199999999999997E-2</v>
      </c>
      <c r="I34" s="461"/>
      <c r="J34" s="461"/>
      <c r="K34" s="462"/>
      <c r="L34" s="483">
        <f>'[15]TUoS (t)'!L32</f>
        <v>1.7000000000000001E-2</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51.000000000000007</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51.000000000000007</v>
      </c>
      <c r="BK34" s="256">
        <f>SUM(AX34:BB34)</f>
        <v>0</v>
      </c>
      <c r="BL34" s="262">
        <f>SUM(BC34:BD34)</f>
        <v>0</v>
      </c>
      <c r="BM34" s="257">
        <f t="shared" si="5"/>
        <v>51.000000000000007</v>
      </c>
      <c r="BO34" s="714">
        <f t="shared" si="6"/>
        <v>17.000000000000004</v>
      </c>
    </row>
    <row r="35" spans="2:67" ht="15" customHeight="1" x14ac:dyDescent="0.25">
      <c r="B35" s="156">
        <f t="shared" si="14"/>
        <v>5</v>
      </c>
      <c r="C35" s="180" t="s">
        <v>69</v>
      </c>
      <c r="D35" s="181" t="str">
        <f>C35</f>
        <v>B2R</v>
      </c>
      <c r="E35" s="200" t="s">
        <v>70</v>
      </c>
      <c r="G35" s="477">
        <f>'[15]TUoS (t)'!G33</f>
        <v>0</v>
      </c>
      <c r="H35" s="479"/>
      <c r="I35" s="465">
        <f>'[15]TUoS (t)'!I33</f>
        <v>4.2000000000000003E-2</v>
      </c>
      <c r="J35" s="461"/>
      <c r="K35" s="466">
        <f>'[15]TUoS (t)'!K33</f>
        <v>2.1000000000000001E-2</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0</v>
      </c>
      <c r="AP35" s="184">
        <f t="shared" si="0"/>
        <v>0</v>
      </c>
      <c r="AQ35" s="178">
        <f t="shared" si="0"/>
        <v>6867</v>
      </c>
      <c r="AR35" s="178">
        <f t="shared" si="0"/>
        <v>0</v>
      </c>
      <c r="AS35" s="179">
        <f t="shared" si="0"/>
        <v>3091.2000000000003</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0</v>
      </c>
      <c r="BI35" s="255">
        <f>SUM(AP35:AS35)</f>
        <v>9958.2000000000007</v>
      </c>
      <c r="BJ35" s="255">
        <f>SUM(AT35:AW35)</f>
        <v>0</v>
      </c>
      <c r="BK35" s="256">
        <f>SUM(AX35:BB35)</f>
        <v>0</v>
      </c>
      <c r="BL35" s="262">
        <f>SUM(BC35:BD35)</f>
        <v>0</v>
      </c>
      <c r="BM35" s="257">
        <f t="shared" si="5"/>
        <v>9958.2000000000007</v>
      </c>
      <c r="BO35" s="714">
        <f t="shared" si="6"/>
        <v>32.0508529127776</v>
      </c>
    </row>
    <row r="36" spans="2:67" ht="15" customHeight="1" x14ac:dyDescent="0.25">
      <c r="B36" s="156">
        <f t="shared" si="14"/>
        <v>6</v>
      </c>
      <c r="C36" s="180" t="s">
        <v>71</v>
      </c>
      <c r="D36" s="181" t="str">
        <f>C36</f>
        <v>B2RCL</v>
      </c>
      <c r="E36" s="200" t="s">
        <v>72</v>
      </c>
      <c r="G36" s="477">
        <f>'[15]TUoS (t)'!G34</f>
        <v>0</v>
      </c>
      <c r="H36" s="479"/>
      <c r="I36" s="465">
        <f>'[15]TUoS (t)'!I34</f>
        <v>4.2000000000000003E-2</v>
      </c>
      <c r="J36" s="461"/>
      <c r="K36" s="466">
        <f>'[15]TUoS (t)'!K34</f>
        <v>2.1000000000000001E-2</v>
      </c>
      <c r="L36" s="483">
        <f>'[15]TUoS (t)'!L34</f>
        <v>1.7000000000000001E-2</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54" si="15">H36*Y36</f>
        <v>0</v>
      </c>
      <c r="AQ36" s="178">
        <f t="shared" si="15"/>
        <v>0</v>
      </c>
      <c r="AR36" s="178">
        <f t="shared" si="15"/>
        <v>0</v>
      </c>
      <c r="AS36" s="179">
        <f t="shared" si="15"/>
        <v>0</v>
      </c>
      <c r="AT36" s="178">
        <f t="shared" si="15"/>
        <v>51.000000000000007</v>
      </c>
      <c r="AU36" s="178">
        <f t="shared" si="15"/>
        <v>0</v>
      </c>
      <c r="AV36" s="178">
        <f t="shared" si="15"/>
        <v>0</v>
      </c>
      <c r="AW36" s="179">
        <f t="shared" si="15"/>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51.000000000000007</v>
      </c>
      <c r="BK36" s="256">
        <f>SUM(AX36:BB36)</f>
        <v>0</v>
      </c>
      <c r="BL36" s="262">
        <f>SUM(BC36:BD36)</f>
        <v>0</v>
      </c>
      <c r="BM36" s="257">
        <f t="shared" si="5"/>
        <v>51.000000000000007</v>
      </c>
      <c r="BO36" s="714">
        <f t="shared" si="6"/>
        <v>17.000000000000004</v>
      </c>
    </row>
    <row r="37" spans="2:67" ht="15" customHeight="1" x14ac:dyDescent="0.25">
      <c r="B37" s="156">
        <f t="shared" si="14"/>
        <v>7</v>
      </c>
      <c r="C37" s="180" t="s">
        <v>73</v>
      </c>
      <c r="D37" s="181" t="str">
        <f>C37</f>
        <v>BCL</v>
      </c>
      <c r="E37" s="200" t="s">
        <v>74</v>
      </c>
      <c r="G37" s="477">
        <f>'[15]TUoS (t)'!G35</f>
        <v>0</v>
      </c>
      <c r="H37" s="479"/>
      <c r="I37" s="461"/>
      <c r="J37" s="461"/>
      <c r="K37" s="462"/>
      <c r="L37" s="483">
        <f>'[15]TUoS (t)'!L35</f>
        <v>1.7000000000000001E-2</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5"/>
        <v>0</v>
      </c>
      <c r="AQ37" s="178">
        <f t="shared" si="15"/>
        <v>0</v>
      </c>
      <c r="AR37" s="178">
        <f t="shared" si="15"/>
        <v>0</v>
      </c>
      <c r="AS37" s="179">
        <f t="shared" si="15"/>
        <v>0</v>
      </c>
      <c r="AT37" s="178">
        <f t="shared" si="15"/>
        <v>0</v>
      </c>
      <c r="AU37" s="178">
        <f t="shared" si="15"/>
        <v>0</v>
      </c>
      <c r="AV37" s="178">
        <f t="shared" si="15"/>
        <v>0</v>
      </c>
      <c r="AW37" s="179">
        <f t="shared" si="15"/>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5"/>
        <v>0</v>
      </c>
      <c r="AQ38" s="178">
        <f t="shared" si="15"/>
        <v>0</v>
      </c>
      <c r="AR38" s="178">
        <f t="shared" si="15"/>
        <v>0</v>
      </c>
      <c r="AS38" s="179">
        <f t="shared" si="15"/>
        <v>0</v>
      </c>
      <c r="AT38" s="178">
        <f t="shared" si="15"/>
        <v>0</v>
      </c>
      <c r="AU38" s="178">
        <f t="shared" si="15"/>
        <v>0</v>
      </c>
      <c r="AV38" s="178">
        <f t="shared" si="15"/>
        <v>0</v>
      </c>
      <c r="AW38" s="179">
        <f t="shared" si="15"/>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0</v>
      </c>
      <c r="BI38" s="252">
        <f>SUBTOTAL(9,BI39:BI41)</f>
        <v>17400.719999999998</v>
      </c>
      <c r="BJ38" s="252">
        <f>SUBTOTAL(9,BJ39:BJ41)</f>
        <v>0</v>
      </c>
      <c r="BK38" s="252">
        <f>SUBTOTAL(9,BK39:BK41)</f>
        <v>209.51785130000002</v>
      </c>
      <c r="BL38" s="252">
        <f>SUBTOTAL(9,BL39:BL41)</f>
        <v>0</v>
      </c>
      <c r="BM38" s="257">
        <f t="shared" si="5"/>
        <v>17610.237851299997</v>
      </c>
      <c r="BO38" s="714" t="str">
        <f t="shared" si="6"/>
        <v/>
      </c>
    </row>
    <row r="39" spans="2:67" ht="15" customHeight="1" x14ac:dyDescent="0.25">
      <c r="B39" s="156">
        <f>B37+1</f>
        <v>8</v>
      </c>
      <c r="C39" s="180" t="s">
        <v>76</v>
      </c>
      <c r="D39" s="181" t="str">
        <f>C39</f>
        <v>SBTOU</v>
      </c>
      <c r="E39" s="200" t="s">
        <v>77</v>
      </c>
      <c r="G39" s="477">
        <f>'[15]TUoS (t)'!G37</f>
        <v>0</v>
      </c>
      <c r="H39" s="479"/>
      <c r="I39" s="483">
        <f>'[15]TUoS (t)'!I37</f>
        <v>5.5899999999999998E-2</v>
      </c>
      <c r="J39" s="483">
        <f>'[15]TUoS (t)'!J37</f>
        <v>3.8899999999999997E-2</v>
      </c>
      <c r="K39" s="484">
        <f>'[15]TUoS (t)'!K37</f>
        <v>2.1000000000000001E-2</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0</v>
      </c>
      <c r="AP39" s="184">
        <f t="shared" si="15"/>
        <v>0</v>
      </c>
      <c r="AQ39" s="178">
        <f t="shared" si="15"/>
        <v>1811.1599999999999</v>
      </c>
      <c r="AR39" s="178">
        <f t="shared" si="15"/>
        <v>9005.3499999999985</v>
      </c>
      <c r="AS39" s="179">
        <f t="shared" si="15"/>
        <v>4292.4000000000005</v>
      </c>
      <c r="AT39" s="178">
        <f t="shared" si="15"/>
        <v>0</v>
      </c>
      <c r="AU39" s="178">
        <f t="shared" si="15"/>
        <v>0</v>
      </c>
      <c r="AV39" s="178">
        <f t="shared" si="15"/>
        <v>0</v>
      </c>
      <c r="AW39" s="179">
        <f t="shared" si="15"/>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0</v>
      </c>
      <c r="BI39" s="255">
        <f>SUM(AP39:AS39)</f>
        <v>15108.91</v>
      </c>
      <c r="BJ39" s="255">
        <f>SUM(AT39:AW39)</f>
        <v>0</v>
      </c>
      <c r="BK39" s="256">
        <f>SUM(AX39:BB39)</f>
        <v>0</v>
      </c>
      <c r="BL39" s="262">
        <f>SUM(BC39:BD39)</f>
        <v>0</v>
      </c>
      <c r="BM39" s="257">
        <f t="shared" si="5"/>
        <v>15108.91</v>
      </c>
      <c r="BO39" s="714">
        <f t="shared" si="6"/>
        <v>32.26331411488362</v>
      </c>
    </row>
    <row r="40" spans="2:67" ht="15" customHeight="1" x14ac:dyDescent="0.25">
      <c r="B40" s="156">
        <f t="shared" si="14"/>
        <v>9</v>
      </c>
      <c r="C40" s="180" t="s">
        <v>78</v>
      </c>
      <c r="D40" s="181" t="str">
        <f>C40</f>
        <v>SBTOUD</v>
      </c>
      <c r="E40" s="200" t="s">
        <v>79</v>
      </c>
      <c r="G40" s="477">
        <f>'[15]TUoS (t)'!G38</f>
        <v>0</v>
      </c>
      <c r="H40" s="479"/>
      <c r="I40" s="483">
        <f>'[15]TUoS (t)'!I38</f>
        <v>4.4699999999999997E-2</v>
      </c>
      <c r="J40" s="483">
        <f>'[15]TUoS (t)'!J38</f>
        <v>3.1099999999999999E-2</v>
      </c>
      <c r="K40" s="484">
        <f>'[15]TUoS (t)'!K38</f>
        <v>1.6799999999999999E-2</v>
      </c>
      <c r="L40" s="461"/>
      <c r="M40" s="461"/>
      <c r="N40" s="461"/>
      <c r="O40" s="462"/>
      <c r="P40" s="461"/>
      <c r="Q40" s="461"/>
      <c r="R40" s="462"/>
      <c r="S40" s="479"/>
      <c r="T40" s="483">
        <f>'[15]TUoS (t)'!T38</f>
        <v>0</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0</v>
      </c>
      <c r="AP40" s="184">
        <f t="shared" si="15"/>
        <v>0</v>
      </c>
      <c r="AQ40" s="178">
        <f t="shared" si="15"/>
        <v>210.08999999999997</v>
      </c>
      <c r="AR40" s="178">
        <f t="shared" si="15"/>
        <v>1268.8799999999999</v>
      </c>
      <c r="AS40" s="179">
        <f t="shared" si="15"/>
        <v>463.67999999999995</v>
      </c>
      <c r="AT40" s="178">
        <f t="shared" si="15"/>
        <v>0</v>
      </c>
      <c r="AU40" s="178">
        <f t="shared" si="15"/>
        <v>0</v>
      </c>
      <c r="AV40" s="178">
        <f t="shared" si="15"/>
        <v>0</v>
      </c>
      <c r="AW40" s="179">
        <f t="shared" si="15"/>
        <v>0</v>
      </c>
      <c r="AX40" s="178">
        <f t="shared" si="1"/>
        <v>0</v>
      </c>
      <c r="AY40" s="178">
        <f t="shared" si="1"/>
        <v>0</v>
      </c>
      <c r="AZ40" s="179">
        <f t="shared" si="1"/>
        <v>0</v>
      </c>
      <c r="BA40" s="184">
        <f t="shared" si="1"/>
        <v>0</v>
      </c>
      <c r="BB40" s="178">
        <f t="shared" si="1"/>
        <v>0</v>
      </c>
      <c r="BC40" s="184">
        <f t="shared" si="1"/>
        <v>0</v>
      </c>
      <c r="BD40" s="178">
        <f t="shared" si="1"/>
        <v>0</v>
      </c>
      <c r="BE40" s="244">
        <f t="shared" si="3"/>
        <v>1557</v>
      </c>
      <c r="BF40" s="245">
        <f t="shared" si="4"/>
        <v>73100</v>
      </c>
      <c r="BH40" s="255">
        <f>SUM(AO40)</f>
        <v>0</v>
      </c>
      <c r="BI40" s="255">
        <f>SUM(AP40:AS40)</f>
        <v>1942.6499999999996</v>
      </c>
      <c r="BJ40" s="255">
        <f>SUM(AT40:AW40)</f>
        <v>0</v>
      </c>
      <c r="BK40" s="256">
        <f>SUM(AX40:BB40)</f>
        <v>0</v>
      </c>
      <c r="BL40" s="262">
        <f>SUM(BC40:BD40)</f>
        <v>0</v>
      </c>
      <c r="BM40" s="257">
        <f t="shared" si="5"/>
        <v>1942.6499999999996</v>
      </c>
      <c r="BO40" s="714">
        <f t="shared" si="6"/>
        <v>26.575239398084808</v>
      </c>
    </row>
    <row r="41" spans="2:67" ht="15" customHeight="1" x14ac:dyDescent="0.25">
      <c r="B41" s="162">
        <f t="shared" si="14"/>
        <v>10</v>
      </c>
      <c r="C41" s="187" t="s">
        <v>80</v>
      </c>
      <c r="D41" s="188" t="str">
        <f>C41</f>
        <v>SBD</v>
      </c>
      <c r="E41" s="203" t="s">
        <v>81</v>
      </c>
      <c r="G41" s="485">
        <f>'[15]TUoS (t)'!G39</f>
        <v>0</v>
      </c>
      <c r="H41" s="486">
        <f>'[15]TUoS (t)'!H39</f>
        <v>2.0299999999999999E-2</v>
      </c>
      <c r="I41" s="487"/>
      <c r="J41" s="487"/>
      <c r="K41" s="488"/>
      <c r="L41" s="487"/>
      <c r="M41" s="487"/>
      <c r="N41" s="487"/>
      <c r="O41" s="488"/>
      <c r="P41" s="487"/>
      <c r="Q41" s="489">
        <f>'[15]TUoS (t)'!Q39</f>
        <v>8.6800000000000002E-2</v>
      </c>
      <c r="R41" s="490">
        <f>'[15]TUoS (t)'!R39</f>
        <v>4.2900000000000001E-2</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0</v>
      </c>
      <c r="AP41" s="197">
        <f t="shared" si="15"/>
        <v>349.15999999999997</v>
      </c>
      <c r="AQ41" s="192">
        <f t="shared" si="15"/>
        <v>0</v>
      </c>
      <c r="AR41" s="192">
        <f t="shared" si="15"/>
        <v>0</v>
      </c>
      <c r="AS41" s="193">
        <f t="shared" si="15"/>
        <v>0</v>
      </c>
      <c r="AT41" s="192">
        <f t="shared" si="15"/>
        <v>0</v>
      </c>
      <c r="AU41" s="192">
        <f t="shared" si="15"/>
        <v>0</v>
      </c>
      <c r="AV41" s="192">
        <f t="shared" si="15"/>
        <v>0</v>
      </c>
      <c r="AW41" s="193">
        <f t="shared" si="15"/>
        <v>0</v>
      </c>
      <c r="AX41" s="192">
        <f t="shared" si="1"/>
        <v>0</v>
      </c>
      <c r="AY41" s="192">
        <f t="shared" si="1"/>
        <v>92.940318800000014</v>
      </c>
      <c r="AZ41" s="193">
        <f t="shared" si="1"/>
        <v>116.5775325</v>
      </c>
      <c r="BA41" s="197">
        <f t="shared" si="1"/>
        <v>0</v>
      </c>
      <c r="BB41" s="192">
        <f t="shared" si="1"/>
        <v>0</v>
      </c>
      <c r="BC41" s="197">
        <f t="shared" si="1"/>
        <v>0</v>
      </c>
      <c r="BD41" s="192">
        <f t="shared" si="1"/>
        <v>0</v>
      </c>
      <c r="BE41" s="246">
        <f t="shared" si="3"/>
        <v>688</v>
      </c>
      <c r="BF41" s="247">
        <f t="shared" si="4"/>
        <v>17200</v>
      </c>
      <c r="BH41" s="255">
        <f>SUM(AO41)</f>
        <v>0</v>
      </c>
      <c r="BI41" s="255">
        <f>SUM(AP41:AS41)</f>
        <v>349.15999999999997</v>
      </c>
      <c r="BJ41" s="255">
        <f>SUM(AT41:AW41)</f>
        <v>0</v>
      </c>
      <c r="BK41" s="256">
        <f>SUM(AX41:BB41)</f>
        <v>209.51785130000002</v>
      </c>
      <c r="BL41" s="262">
        <f>SUM(BC41:BD41)</f>
        <v>0</v>
      </c>
      <c r="BM41" s="257">
        <f t="shared" si="5"/>
        <v>558.67785129999993</v>
      </c>
      <c r="BO41" s="714">
        <f t="shared" si="6"/>
        <v>32.481270424418604</v>
      </c>
    </row>
    <row r="42" spans="2:67" ht="15" customHeight="1" x14ac:dyDescent="0.25">
      <c r="B42" s="30" t="s">
        <v>82</v>
      </c>
      <c r="C42" s="14" t="s">
        <v>83</v>
      </c>
      <c r="D42" s="14"/>
      <c r="E42" s="99"/>
      <c r="G42" s="494"/>
      <c r="H42" s="495"/>
      <c r="I42" s="496"/>
      <c r="J42" s="496"/>
      <c r="K42" s="497"/>
      <c r="L42" s="496"/>
      <c r="M42" s="496"/>
      <c r="N42" s="496"/>
      <c r="O42" s="497"/>
      <c r="P42" s="496"/>
      <c r="Q42" s="496"/>
      <c r="R42" s="497"/>
      <c r="S42" s="495"/>
      <c r="T42" s="496"/>
      <c r="U42" s="495"/>
      <c r="V42" s="497"/>
      <c r="X42" s="205"/>
      <c r="Y42" s="206"/>
      <c r="Z42" s="207"/>
      <c r="AA42" s="207"/>
      <c r="AB42" s="208"/>
      <c r="AC42" s="207"/>
      <c r="AD42" s="207"/>
      <c r="AE42" s="207"/>
      <c r="AF42" s="208"/>
      <c r="AG42" s="207"/>
      <c r="AH42" s="207"/>
      <c r="AI42" s="208"/>
      <c r="AJ42" s="206"/>
      <c r="AK42" s="207"/>
      <c r="AL42" s="206"/>
      <c r="AM42" s="208"/>
      <c r="AO42" s="205">
        <f t="shared" si="2"/>
        <v>0</v>
      </c>
      <c r="AP42" s="206">
        <f t="shared" si="15"/>
        <v>0</v>
      </c>
      <c r="AQ42" s="207">
        <f t="shared" si="15"/>
        <v>0</v>
      </c>
      <c r="AR42" s="207">
        <f t="shared" si="15"/>
        <v>0</v>
      </c>
      <c r="AS42" s="208">
        <f t="shared" si="15"/>
        <v>0</v>
      </c>
      <c r="AT42" s="207">
        <f t="shared" si="15"/>
        <v>0</v>
      </c>
      <c r="AU42" s="207">
        <f t="shared" si="15"/>
        <v>0</v>
      </c>
      <c r="AV42" s="207">
        <f t="shared" si="15"/>
        <v>0</v>
      </c>
      <c r="AW42" s="208">
        <f t="shared" si="15"/>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0</v>
      </c>
      <c r="BI42" s="253">
        <f>SUBTOTAL(9,BI43:BI69)</f>
        <v>38104.879399999983</v>
      </c>
      <c r="BJ42" s="253">
        <f>SUBTOTAL(9,BJ43:BJ69)</f>
        <v>0</v>
      </c>
      <c r="BK42" s="253">
        <f>SUBTOTAL(9,BK43:BK69)</f>
        <v>26680.802559600001</v>
      </c>
      <c r="BL42" s="253">
        <f>SUBTOTAL(9,BL43:BL69)</f>
        <v>0</v>
      </c>
      <c r="BM42" s="257">
        <f t="shared" si="5"/>
        <v>64785.681959599984</v>
      </c>
      <c r="BO42" s="714" t="str">
        <f t="shared" si="6"/>
        <v/>
      </c>
    </row>
    <row r="43" spans="2:67" ht="15" customHeight="1" x14ac:dyDescent="0.25">
      <c r="B43" s="19"/>
      <c r="C43" s="36" t="s">
        <v>84</v>
      </c>
      <c r="D43" s="37"/>
      <c r="E43" s="85"/>
      <c r="G43" s="482"/>
      <c r="H43" s="479"/>
      <c r="I43" s="461"/>
      <c r="J43" s="461"/>
      <c r="K43" s="462"/>
      <c r="L43" s="461"/>
      <c r="M43" s="461"/>
      <c r="N43" s="461"/>
      <c r="O43" s="462"/>
      <c r="P43" s="461"/>
      <c r="Q43" s="461"/>
      <c r="R43" s="462"/>
      <c r="S43" s="479"/>
      <c r="T43" s="461"/>
      <c r="U43" s="479"/>
      <c r="V43" s="462"/>
      <c r="X43" s="183"/>
      <c r="Y43" s="184"/>
      <c r="Z43" s="178"/>
      <c r="AA43" s="178"/>
      <c r="AB43" s="179"/>
      <c r="AC43" s="178"/>
      <c r="AD43" s="178"/>
      <c r="AE43" s="178"/>
      <c r="AF43" s="179"/>
      <c r="AG43" s="178"/>
      <c r="AH43" s="178"/>
      <c r="AI43" s="179"/>
      <c r="AJ43" s="184"/>
      <c r="AK43" s="178"/>
      <c r="AL43" s="184"/>
      <c r="AM43" s="179"/>
      <c r="AO43" s="183">
        <f t="shared" si="2"/>
        <v>0</v>
      </c>
      <c r="AP43" s="184">
        <f t="shared" si="15"/>
        <v>0</v>
      </c>
      <c r="AQ43" s="178">
        <f t="shared" si="15"/>
        <v>0</v>
      </c>
      <c r="AR43" s="178">
        <f t="shared" si="15"/>
        <v>0</v>
      </c>
      <c r="AS43" s="179">
        <f t="shared" si="15"/>
        <v>0</v>
      </c>
      <c r="AT43" s="178">
        <f t="shared" si="15"/>
        <v>0</v>
      </c>
      <c r="AU43" s="178">
        <f t="shared" si="15"/>
        <v>0</v>
      </c>
      <c r="AV43" s="178">
        <f t="shared" si="15"/>
        <v>0</v>
      </c>
      <c r="AW43" s="179">
        <f t="shared" si="15"/>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6">B43+1</f>
        <v>1</v>
      </c>
      <c r="C44" s="44" t="s">
        <v>85</v>
      </c>
      <c r="D44" s="45" t="str">
        <f>C44</f>
        <v>LBSR</v>
      </c>
      <c r="E44" s="76" t="s">
        <v>86</v>
      </c>
      <c r="G44" s="477">
        <f>'[15]TUoS (t)'!G42</f>
        <v>0</v>
      </c>
      <c r="H44" s="478">
        <f>'[15]TUoS (t)'!H42</f>
        <v>4.4699999999999997E-2</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5"/>
        <v>0</v>
      </c>
      <c r="AQ44" s="178">
        <f t="shared" si="15"/>
        <v>0</v>
      </c>
      <c r="AR44" s="178">
        <f t="shared" si="15"/>
        <v>0</v>
      </c>
      <c r="AS44" s="179">
        <f t="shared" si="15"/>
        <v>0</v>
      </c>
      <c r="AT44" s="178">
        <f t="shared" si="15"/>
        <v>0</v>
      </c>
      <c r="AU44" s="178">
        <f t="shared" si="15"/>
        <v>0</v>
      </c>
      <c r="AV44" s="178">
        <f t="shared" si="15"/>
        <v>0</v>
      </c>
      <c r="AW44" s="179">
        <f t="shared" si="15"/>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6"/>
        <v>2</v>
      </c>
      <c r="C45" s="44" t="s">
        <v>87</v>
      </c>
      <c r="D45" s="45" t="str">
        <f>C45</f>
        <v>LBSRCL</v>
      </c>
      <c r="E45" s="76" t="s">
        <v>88</v>
      </c>
      <c r="G45" s="477">
        <f>'[15]TUoS (t)'!G43</f>
        <v>0</v>
      </c>
      <c r="H45" s="478">
        <f>'[15]TUoS (t)'!H43</f>
        <v>4.4699999999999997E-2</v>
      </c>
      <c r="I45" s="461"/>
      <c r="J45" s="461"/>
      <c r="K45" s="462"/>
      <c r="L45" s="483">
        <f>'[15]TUoS (t)'!L43</f>
        <v>1.7000000000000001E-2</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5"/>
        <v>0</v>
      </c>
      <c r="AQ45" s="178">
        <f t="shared" si="15"/>
        <v>0</v>
      </c>
      <c r="AR45" s="178">
        <f t="shared" si="15"/>
        <v>0</v>
      </c>
      <c r="AS45" s="179">
        <f t="shared" si="15"/>
        <v>0</v>
      </c>
      <c r="AT45" s="178">
        <f t="shared" si="15"/>
        <v>0</v>
      </c>
      <c r="AU45" s="178">
        <f t="shared" si="15"/>
        <v>0</v>
      </c>
      <c r="AV45" s="178">
        <f t="shared" si="15"/>
        <v>0</v>
      </c>
      <c r="AW45" s="179">
        <f t="shared" si="15"/>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6"/>
        <v>3</v>
      </c>
      <c r="C46" s="44" t="s">
        <v>89</v>
      </c>
      <c r="D46" s="45" t="str">
        <f>C46</f>
        <v>LB2R</v>
      </c>
      <c r="E46" s="76" t="s">
        <v>90</v>
      </c>
      <c r="G46" s="477">
        <f>'[15]TUoS (t)'!G44</f>
        <v>0</v>
      </c>
      <c r="H46" s="479"/>
      <c r="I46" s="483">
        <f>'[15]TUoS (t)'!I44</f>
        <v>5.04E-2</v>
      </c>
      <c r="J46" s="461"/>
      <c r="K46" s="484">
        <f>'[15]TUoS (t)'!K44</f>
        <v>2.52E-2</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5"/>
        <v>0</v>
      </c>
      <c r="AQ46" s="178">
        <f t="shared" si="15"/>
        <v>0</v>
      </c>
      <c r="AR46" s="178">
        <f t="shared" si="15"/>
        <v>0</v>
      </c>
      <c r="AS46" s="179">
        <f t="shared" si="15"/>
        <v>0</v>
      </c>
      <c r="AT46" s="178">
        <f t="shared" si="15"/>
        <v>0</v>
      </c>
      <c r="AU46" s="178">
        <f t="shared" si="15"/>
        <v>0</v>
      </c>
      <c r="AV46" s="178">
        <f t="shared" si="15"/>
        <v>0</v>
      </c>
      <c r="AW46" s="179">
        <f t="shared" si="15"/>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6"/>
        <v>4</v>
      </c>
      <c r="C47" s="44" t="s">
        <v>91</v>
      </c>
      <c r="D47" s="45" t="str">
        <f>C47</f>
        <v>LB2RCL</v>
      </c>
      <c r="E47" s="104" t="s">
        <v>92</v>
      </c>
      <c r="G47" s="477">
        <f>'[15]TUoS (t)'!G45</f>
        <v>0</v>
      </c>
      <c r="H47" s="479"/>
      <c r="I47" s="483">
        <f>'[15]TUoS (t)'!I45</f>
        <v>5.04E-2</v>
      </c>
      <c r="J47" s="461"/>
      <c r="K47" s="484">
        <f>'[15]TUoS (t)'!K45</f>
        <v>2.52E-2</v>
      </c>
      <c r="L47" s="483">
        <f>'[15]TUoS (t)'!L45</f>
        <v>1.7000000000000001E-2</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5"/>
        <v>0</v>
      </c>
      <c r="AQ47" s="178">
        <f t="shared" si="15"/>
        <v>0</v>
      </c>
      <c r="AR47" s="178">
        <f t="shared" si="15"/>
        <v>0</v>
      </c>
      <c r="AS47" s="179">
        <f t="shared" si="15"/>
        <v>0</v>
      </c>
      <c r="AT47" s="178">
        <f t="shared" si="15"/>
        <v>0</v>
      </c>
      <c r="AU47" s="178">
        <f t="shared" si="15"/>
        <v>0</v>
      </c>
      <c r="AV47" s="178">
        <f t="shared" si="15"/>
        <v>0</v>
      </c>
      <c r="AW47" s="179">
        <f t="shared" si="15"/>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5"/>
        <v>0</v>
      </c>
      <c r="AQ48" s="178">
        <f t="shared" si="15"/>
        <v>0</v>
      </c>
      <c r="AR48" s="178">
        <f t="shared" si="15"/>
        <v>0</v>
      </c>
      <c r="AS48" s="179">
        <f t="shared" si="15"/>
        <v>0</v>
      </c>
      <c r="AT48" s="178">
        <f t="shared" si="15"/>
        <v>0</v>
      </c>
      <c r="AU48" s="178">
        <f t="shared" si="15"/>
        <v>0</v>
      </c>
      <c r="AV48" s="178">
        <f t="shared" si="15"/>
        <v>0</v>
      </c>
      <c r="AW48" s="179">
        <f t="shared" si="15"/>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0</v>
      </c>
      <c r="BI48" s="252">
        <f>SUBTOTAL(9,BI49:BI69)</f>
        <v>38104.879399999983</v>
      </c>
      <c r="BJ48" s="252">
        <f>SUBTOTAL(9,BJ49:BJ69)</f>
        <v>0</v>
      </c>
      <c r="BK48" s="252">
        <f>SUBTOTAL(9,BK49:BK69)</f>
        <v>26680.802559600001</v>
      </c>
      <c r="BL48" s="252">
        <f>SUBTOTAL(9,BL49:BL69)</f>
        <v>0</v>
      </c>
      <c r="BM48" s="257">
        <f t="shared" si="5"/>
        <v>64785.681959599984</v>
      </c>
      <c r="BO48" s="714" t="str">
        <f t="shared" si="6"/>
        <v/>
      </c>
    </row>
    <row r="49" spans="2:67" ht="15" customHeight="1" x14ac:dyDescent="0.25">
      <c r="B49" s="19">
        <f>B47+1</f>
        <v>5</v>
      </c>
      <c r="C49" s="44" t="s">
        <v>579</v>
      </c>
      <c r="D49" s="45" t="s">
        <v>580</v>
      </c>
      <c r="E49" s="105" t="s">
        <v>94</v>
      </c>
      <c r="G49" s="477">
        <f>'[15]TUoS (t)'!G47</f>
        <v>0</v>
      </c>
      <c r="H49" s="479"/>
      <c r="I49" s="483">
        <f>'[15]TUoS (t)'!I47</f>
        <v>1.7600000000000001E-2</v>
      </c>
      <c r="J49" s="461"/>
      <c r="K49" s="484">
        <f>'[15]TUoS (t)'!K47</f>
        <v>1.0999999999999999E-2</v>
      </c>
      <c r="L49" s="461"/>
      <c r="M49" s="461"/>
      <c r="N49" s="461"/>
      <c r="O49" s="462"/>
      <c r="P49" s="461"/>
      <c r="Q49" s="461"/>
      <c r="R49" s="462"/>
      <c r="S49" s="478">
        <f>'[15]TUoS (t)'!S47</f>
        <v>0.10829999999999999</v>
      </c>
      <c r="T49" s="483">
        <f>'[15]TUoS (t)'!T47</f>
        <v>0</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0</v>
      </c>
      <c r="AP49" s="184">
        <f t="shared" si="15"/>
        <v>0</v>
      </c>
      <c r="AQ49" s="178">
        <f t="shared" si="15"/>
        <v>22701.342400000001</v>
      </c>
      <c r="AR49" s="178">
        <f t="shared" si="15"/>
        <v>0</v>
      </c>
      <c r="AS49" s="179">
        <f t="shared" si="15"/>
        <v>12669.216999999999</v>
      </c>
      <c r="AT49" s="178">
        <f t="shared" si="15"/>
        <v>0</v>
      </c>
      <c r="AU49" s="178">
        <f t="shared" si="15"/>
        <v>0</v>
      </c>
      <c r="AV49" s="178">
        <f t="shared" si="15"/>
        <v>0</v>
      </c>
      <c r="AW49" s="179">
        <f t="shared" si="15"/>
        <v>0</v>
      </c>
      <c r="AX49" s="178">
        <f t="shared" si="1"/>
        <v>0</v>
      </c>
      <c r="AY49" s="178">
        <f t="shared" si="1"/>
        <v>0</v>
      </c>
      <c r="AZ49" s="179">
        <f t="shared" si="1"/>
        <v>0</v>
      </c>
      <c r="BA49" s="184">
        <f t="shared" si="1"/>
        <v>24604.307155499999</v>
      </c>
      <c r="BB49" s="178">
        <f t="shared" si="1"/>
        <v>0</v>
      </c>
      <c r="BC49" s="184">
        <f t="shared" si="1"/>
        <v>0</v>
      </c>
      <c r="BD49" s="178">
        <f t="shared" si="1"/>
        <v>0</v>
      </c>
      <c r="BE49" s="244">
        <f t="shared" si="3"/>
        <v>5025</v>
      </c>
      <c r="BF49" s="245">
        <f t="shared" si="4"/>
        <v>2441596</v>
      </c>
      <c r="BH49" s="255">
        <f t="shared" ref="BH49:BH54" si="17">SUM(AO49)</f>
        <v>0</v>
      </c>
      <c r="BI49" s="255">
        <f t="shared" ref="BI49:BI54" si="18">SUM(AP49:AS49)</f>
        <v>35370.559399999998</v>
      </c>
      <c r="BJ49" s="255">
        <f t="shared" ref="BJ49:BJ54" si="19">SUM(AT49:AW49)</f>
        <v>0</v>
      </c>
      <c r="BK49" s="256">
        <f t="shared" ref="BK49:BK54" si="20">SUM(AX49:BB49)</f>
        <v>24604.307155499999</v>
      </c>
      <c r="BL49" s="262">
        <f t="shared" ref="BL49:BL54" si="21">SUM(BC49:BD49)</f>
        <v>0</v>
      </c>
      <c r="BM49" s="257">
        <f t="shared" si="5"/>
        <v>59974.866555499997</v>
      </c>
      <c r="BO49" s="714">
        <f t="shared" si="6"/>
        <v>24.563796203589785</v>
      </c>
    </row>
    <row r="50" spans="2:67" ht="15" customHeight="1" x14ac:dyDescent="0.25">
      <c r="B50" s="19">
        <f t="shared" si="16"/>
        <v>6</v>
      </c>
      <c r="C50" s="44" t="s">
        <v>577</v>
      </c>
      <c r="D50" s="45" t="s">
        <v>581</v>
      </c>
      <c r="E50" s="105" t="s">
        <v>95</v>
      </c>
      <c r="G50" s="477">
        <f>'[15]TUoS (t)'!G48</f>
        <v>0</v>
      </c>
      <c r="H50" s="479"/>
      <c r="I50" s="483">
        <f>'[15]TUoS (t)'!I48</f>
        <v>1.7600000000000001E-2</v>
      </c>
      <c r="J50" s="461"/>
      <c r="K50" s="484">
        <f>'[15]TUoS (t)'!K48</f>
        <v>1.0999999999999999E-2</v>
      </c>
      <c r="L50" s="461"/>
      <c r="M50" s="461"/>
      <c r="N50" s="461"/>
      <c r="O50" s="462"/>
      <c r="P50" s="483">
        <f>'[15]TUoS (t)'!P48</f>
        <v>0.3926</v>
      </c>
      <c r="Q50" s="461"/>
      <c r="R50" s="462"/>
      <c r="S50" s="479"/>
      <c r="T50" s="483">
        <f>'[15]TUoS (t)'!T48</f>
        <v>0</v>
      </c>
      <c r="U50" s="479"/>
      <c r="V50" s="462"/>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0</v>
      </c>
      <c r="AP50" s="184">
        <f t="shared" si="15"/>
        <v>0</v>
      </c>
      <c r="AQ50" s="178">
        <f>I50*Z50</f>
        <v>1274.5920000000001</v>
      </c>
      <c r="AR50" s="178">
        <f t="shared" si="15"/>
        <v>0</v>
      </c>
      <c r="AS50" s="179">
        <f t="shared" si="15"/>
        <v>574.53</v>
      </c>
      <c r="AT50" s="178">
        <f t="shared" si="15"/>
        <v>0</v>
      </c>
      <c r="AU50" s="178">
        <f t="shared" si="15"/>
        <v>0</v>
      </c>
      <c r="AV50" s="178">
        <f t="shared" si="15"/>
        <v>0</v>
      </c>
      <c r="AW50" s="179">
        <f t="shared" si="15"/>
        <v>0</v>
      </c>
      <c r="AX50" s="178">
        <f t="shared" si="1"/>
        <v>1348.2641718000002</v>
      </c>
      <c r="AY50" s="178">
        <f t="shared" si="1"/>
        <v>0</v>
      </c>
      <c r="AZ50" s="179">
        <f t="shared" si="1"/>
        <v>0</v>
      </c>
      <c r="BA50" s="184">
        <f t="shared" si="1"/>
        <v>0</v>
      </c>
      <c r="BB50" s="178">
        <f t="shared" si="1"/>
        <v>0</v>
      </c>
      <c r="BC50" s="184">
        <f t="shared" si="1"/>
        <v>0</v>
      </c>
      <c r="BD50" s="178">
        <f t="shared" si="1"/>
        <v>0</v>
      </c>
      <c r="BE50" s="244">
        <f t="shared" si="3"/>
        <v>277</v>
      </c>
      <c r="BF50" s="245">
        <f t="shared" si="4"/>
        <v>124650</v>
      </c>
      <c r="BH50" s="255">
        <f t="shared" si="17"/>
        <v>0</v>
      </c>
      <c r="BI50" s="255">
        <f t="shared" si="18"/>
        <v>1849.1220000000001</v>
      </c>
      <c r="BJ50" s="255">
        <f t="shared" si="19"/>
        <v>0</v>
      </c>
      <c r="BK50" s="256">
        <f t="shared" si="20"/>
        <v>1348.2641718000002</v>
      </c>
      <c r="BL50" s="262">
        <f t="shared" si="21"/>
        <v>0</v>
      </c>
      <c r="BM50" s="257">
        <f t="shared" si="5"/>
        <v>3197.3861718000003</v>
      </c>
      <c r="BO50" s="714">
        <f t="shared" si="6"/>
        <v>25.650911927797836</v>
      </c>
    </row>
    <row r="51" spans="2:67" ht="15" customHeight="1" x14ac:dyDescent="0.25">
      <c r="B51" s="19">
        <f t="shared" si="16"/>
        <v>7</v>
      </c>
      <c r="C51" s="833" t="s">
        <v>578</v>
      </c>
      <c r="D51" s="834" t="s">
        <v>582</v>
      </c>
      <c r="E51" s="835" t="s">
        <v>96</v>
      </c>
      <c r="G51" s="477"/>
      <c r="H51" s="479"/>
      <c r="I51" s="483"/>
      <c r="J51" s="461"/>
      <c r="K51" s="484"/>
      <c r="L51" s="461"/>
      <c r="M51" s="461"/>
      <c r="N51" s="461"/>
      <c r="O51" s="462"/>
      <c r="P51" s="461"/>
      <c r="Q51" s="461"/>
      <c r="R51" s="462"/>
      <c r="S51" s="479"/>
      <c r="T51" s="461"/>
      <c r="U51" s="479"/>
      <c r="V51" s="462"/>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5"/>
        <v>0</v>
      </c>
      <c r="AQ51" s="178">
        <f t="shared" si="15"/>
        <v>0</v>
      </c>
      <c r="AR51" s="178">
        <f t="shared" si="15"/>
        <v>0</v>
      </c>
      <c r="AS51" s="179">
        <f t="shared" si="15"/>
        <v>0</v>
      </c>
      <c r="AT51" s="178">
        <f t="shared" si="15"/>
        <v>0</v>
      </c>
      <c r="AU51" s="178">
        <f t="shared" si="15"/>
        <v>0</v>
      </c>
      <c r="AV51" s="178">
        <f t="shared" si="15"/>
        <v>0</v>
      </c>
      <c r="AW51" s="179">
        <f t="shared" si="15"/>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17"/>
        <v>0</v>
      </c>
      <c r="BI51" s="255">
        <f t="shared" si="18"/>
        <v>0</v>
      </c>
      <c r="BJ51" s="255">
        <f t="shared" si="19"/>
        <v>0</v>
      </c>
      <c r="BK51" s="256">
        <f t="shared" si="20"/>
        <v>0</v>
      </c>
      <c r="BL51" s="262">
        <f t="shared" si="21"/>
        <v>0</v>
      </c>
      <c r="BM51" s="257">
        <f t="shared" si="5"/>
        <v>0</v>
      </c>
      <c r="BO51" s="714" t="str">
        <f t="shared" si="6"/>
        <v/>
      </c>
    </row>
    <row r="52" spans="2:67" ht="15" customHeight="1" x14ac:dyDescent="0.25">
      <c r="B52" s="19">
        <f t="shared" si="16"/>
        <v>8</v>
      </c>
      <c r="C52" s="44" t="s">
        <v>97</v>
      </c>
      <c r="D52" s="45" t="s">
        <v>97</v>
      </c>
      <c r="E52" s="105" t="s">
        <v>98</v>
      </c>
      <c r="G52" s="477">
        <f>'[15]TUoS (t)'!G50</f>
        <v>0</v>
      </c>
      <c r="H52" s="478">
        <f>'[15]TUoS (t)'!H50</f>
        <v>2.0299999999999999E-2</v>
      </c>
      <c r="I52" s="461"/>
      <c r="J52" s="461"/>
      <c r="K52" s="462"/>
      <c r="L52" s="461"/>
      <c r="M52" s="461"/>
      <c r="N52" s="461"/>
      <c r="O52" s="462"/>
      <c r="P52" s="461"/>
      <c r="Q52" s="483">
        <f>'[15]TUoS (t)'!Q50</f>
        <v>8.6800000000000002E-2</v>
      </c>
      <c r="R52" s="484">
        <f>'[15]TUoS (t)'!R50</f>
        <v>4.2900000000000001E-2</v>
      </c>
      <c r="S52" s="479"/>
      <c r="T52" s="461"/>
      <c r="U52" s="479"/>
      <c r="V52" s="462"/>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0</v>
      </c>
      <c r="AP52" s="184">
        <f t="shared" si="15"/>
        <v>203</v>
      </c>
      <c r="AQ52" s="178">
        <f t="shared" si="15"/>
        <v>0</v>
      </c>
      <c r="AR52" s="178">
        <f t="shared" si="15"/>
        <v>0</v>
      </c>
      <c r="AS52" s="179">
        <f t="shared" si="15"/>
        <v>0</v>
      </c>
      <c r="AT52" s="178">
        <f t="shared" si="15"/>
        <v>0</v>
      </c>
      <c r="AU52" s="178">
        <f t="shared" si="15"/>
        <v>0</v>
      </c>
      <c r="AV52" s="178">
        <f t="shared" si="15"/>
        <v>0</v>
      </c>
      <c r="AW52" s="179">
        <f t="shared" si="15"/>
        <v>0</v>
      </c>
      <c r="AX52" s="178">
        <f t="shared" si="1"/>
        <v>0</v>
      </c>
      <c r="AY52" s="178">
        <f t="shared" si="1"/>
        <v>65.783029200000001</v>
      </c>
      <c r="AZ52" s="179">
        <f t="shared" si="1"/>
        <v>70.009153499999996</v>
      </c>
      <c r="BA52" s="184">
        <f t="shared" ref="AX52:BD89" si="22">S52*AJ52/1000</f>
        <v>0</v>
      </c>
      <c r="BB52" s="178">
        <f t="shared" si="22"/>
        <v>0</v>
      </c>
      <c r="BC52" s="184">
        <f t="shared" si="22"/>
        <v>0</v>
      </c>
      <c r="BD52" s="178">
        <f t="shared" si="22"/>
        <v>0</v>
      </c>
      <c r="BE52" s="244">
        <f t="shared" si="3"/>
        <v>34</v>
      </c>
      <c r="BF52" s="245">
        <f t="shared" ref="BF52:BF79" si="23">SUM(Y52:AF52)</f>
        <v>10000</v>
      </c>
      <c r="BH52" s="255">
        <f t="shared" si="17"/>
        <v>0</v>
      </c>
      <c r="BI52" s="255">
        <f t="shared" si="18"/>
        <v>203</v>
      </c>
      <c r="BJ52" s="255">
        <f t="shared" si="19"/>
        <v>0</v>
      </c>
      <c r="BK52" s="256">
        <f t="shared" si="20"/>
        <v>135.79218270000001</v>
      </c>
      <c r="BL52" s="262">
        <f t="shared" si="21"/>
        <v>0</v>
      </c>
      <c r="BM52" s="257">
        <f t="shared" si="5"/>
        <v>338.79218270000001</v>
      </c>
      <c r="BO52" s="714">
        <f t="shared" si="6"/>
        <v>33.879218270000003</v>
      </c>
    </row>
    <row r="53" spans="2:67" ht="15" customHeight="1" x14ac:dyDescent="0.25">
      <c r="B53" s="19">
        <f t="shared" si="16"/>
        <v>9</v>
      </c>
      <c r="C53" s="44" t="s">
        <v>583</v>
      </c>
      <c r="D53" s="45" t="s">
        <v>584</v>
      </c>
      <c r="E53" s="105" t="s">
        <v>99</v>
      </c>
      <c r="G53" s="477">
        <f>'[15]TUoS (t)'!G51</f>
        <v>0</v>
      </c>
      <c r="H53" s="479"/>
      <c r="I53" s="483">
        <f>'[15]TUoS (t)'!I51</f>
        <v>0</v>
      </c>
      <c r="J53" s="461"/>
      <c r="K53" s="484">
        <f>'[15]TUoS (t)'!K51</f>
        <v>0</v>
      </c>
      <c r="L53" s="461"/>
      <c r="M53" s="461"/>
      <c r="N53" s="461"/>
      <c r="O53" s="462"/>
      <c r="P53" s="461"/>
      <c r="Q53" s="461"/>
      <c r="R53" s="462"/>
      <c r="S53" s="478">
        <f>'[15]TUoS (t)'!S51</f>
        <v>0.10829999999999999</v>
      </c>
      <c r="T53" s="484">
        <f>'[15]TUoS (t)'!T51</f>
        <v>0</v>
      </c>
      <c r="U53" s="479"/>
      <c r="V53" s="462"/>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0</v>
      </c>
      <c r="AP53" s="184">
        <f t="shared" si="15"/>
        <v>0</v>
      </c>
      <c r="AQ53" s="178">
        <f t="shared" si="15"/>
        <v>0</v>
      </c>
      <c r="AR53" s="178">
        <f t="shared" si="15"/>
        <v>0</v>
      </c>
      <c r="AS53" s="179">
        <f t="shared" si="15"/>
        <v>0</v>
      </c>
      <c r="AT53" s="178">
        <f t="shared" si="15"/>
        <v>0</v>
      </c>
      <c r="AU53" s="178">
        <f t="shared" si="15"/>
        <v>0</v>
      </c>
      <c r="AV53" s="178">
        <f t="shared" si="15"/>
        <v>0</v>
      </c>
      <c r="AW53" s="179">
        <f t="shared" si="15"/>
        <v>0</v>
      </c>
      <c r="AX53" s="178">
        <f t="shared" si="22"/>
        <v>0</v>
      </c>
      <c r="AY53" s="178">
        <f t="shared" si="22"/>
        <v>0</v>
      </c>
      <c r="AZ53" s="179">
        <f t="shared" si="22"/>
        <v>0</v>
      </c>
      <c r="BA53" s="184">
        <f t="shared" si="22"/>
        <v>0</v>
      </c>
      <c r="BB53" s="178">
        <f t="shared" si="22"/>
        <v>0</v>
      </c>
      <c r="BC53" s="184">
        <f t="shared" si="22"/>
        <v>0</v>
      </c>
      <c r="BD53" s="178">
        <f t="shared" si="22"/>
        <v>0</v>
      </c>
      <c r="BE53" s="244">
        <f t="shared" si="3"/>
        <v>4</v>
      </c>
      <c r="BF53" s="245">
        <f t="shared" si="23"/>
        <v>1300</v>
      </c>
      <c r="BH53" s="255">
        <f t="shared" si="17"/>
        <v>0</v>
      </c>
      <c r="BI53" s="255">
        <f t="shared" si="18"/>
        <v>0</v>
      </c>
      <c r="BJ53" s="255">
        <f t="shared" si="19"/>
        <v>0</v>
      </c>
      <c r="BK53" s="256">
        <f t="shared" si="20"/>
        <v>0</v>
      </c>
      <c r="BL53" s="262">
        <f t="shared" si="21"/>
        <v>0</v>
      </c>
      <c r="BM53" s="257">
        <f t="shared" si="5"/>
        <v>0</v>
      </c>
      <c r="BO53" s="714">
        <f t="shared" si="6"/>
        <v>0</v>
      </c>
    </row>
    <row r="54" spans="2:67" ht="15" customHeight="1" x14ac:dyDescent="0.25">
      <c r="B54" s="19"/>
      <c r="C54" s="785"/>
      <c r="D54" s="772"/>
      <c r="E54" s="836"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si="2"/>
        <v>0</v>
      </c>
      <c r="AP54" s="184">
        <f t="shared" si="15"/>
        <v>0</v>
      </c>
      <c r="AQ54" s="178">
        <f t="shared" si="15"/>
        <v>0</v>
      </c>
      <c r="AR54" s="178">
        <f t="shared" si="15"/>
        <v>0</v>
      </c>
      <c r="AS54" s="179">
        <f t="shared" si="15"/>
        <v>0</v>
      </c>
      <c r="AT54" s="178">
        <f t="shared" si="15"/>
        <v>0</v>
      </c>
      <c r="AU54" s="178">
        <f t="shared" si="15"/>
        <v>0</v>
      </c>
      <c r="AV54" s="178">
        <f t="shared" si="15"/>
        <v>0</v>
      </c>
      <c r="AW54" s="179">
        <f t="shared" si="15"/>
        <v>0</v>
      </c>
      <c r="AX54" s="178">
        <f t="shared" si="22"/>
        <v>0</v>
      </c>
      <c r="AY54" s="178">
        <f t="shared" si="22"/>
        <v>0</v>
      </c>
      <c r="AZ54" s="179">
        <f t="shared" si="22"/>
        <v>0</v>
      </c>
      <c r="BA54" s="184">
        <f t="shared" si="22"/>
        <v>0</v>
      </c>
      <c r="BB54" s="178">
        <f t="shared" si="22"/>
        <v>0</v>
      </c>
      <c r="BC54" s="184">
        <f t="shared" si="22"/>
        <v>0</v>
      </c>
      <c r="BD54" s="178">
        <f t="shared" si="22"/>
        <v>0</v>
      </c>
      <c r="BE54" s="244">
        <f t="shared" si="3"/>
        <v>0</v>
      </c>
      <c r="BF54" s="245">
        <f t="shared" si="23"/>
        <v>0</v>
      </c>
      <c r="BH54" s="255">
        <f t="shared" si="17"/>
        <v>0</v>
      </c>
      <c r="BI54" s="255">
        <f t="shared" si="18"/>
        <v>0</v>
      </c>
      <c r="BJ54" s="255">
        <f t="shared" si="19"/>
        <v>0</v>
      </c>
      <c r="BK54" s="256">
        <f t="shared" si="20"/>
        <v>0</v>
      </c>
      <c r="BL54" s="262">
        <f t="shared" si="21"/>
        <v>0</v>
      </c>
      <c r="BM54" s="257">
        <f t="shared" si="5"/>
        <v>0</v>
      </c>
      <c r="BO54" s="714" t="str">
        <f t="shared" si="6"/>
        <v/>
      </c>
    </row>
    <row r="55" spans="2:67" ht="15" customHeight="1" x14ac:dyDescent="0.25">
      <c r="B55" s="19">
        <f>B53+1</f>
        <v>10</v>
      </c>
      <c r="C55" s="44" t="s">
        <v>705</v>
      </c>
      <c r="D55" s="45"/>
      <c r="E55" s="105" t="s">
        <v>94</v>
      </c>
      <c r="G55" s="862">
        <f>G$49</f>
        <v>0</v>
      </c>
      <c r="H55" s="479"/>
      <c r="I55" s="851">
        <f>I$49</f>
        <v>1.7600000000000001E-2</v>
      </c>
      <c r="J55" s="461"/>
      <c r="K55" s="852">
        <f>K$49</f>
        <v>1.0999999999999999E-2</v>
      </c>
      <c r="L55" s="461"/>
      <c r="M55" s="461"/>
      <c r="N55" s="461"/>
      <c r="O55" s="462"/>
      <c r="P55" s="461"/>
      <c r="Q55" s="461"/>
      <c r="R55" s="462"/>
      <c r="S55" s="863">
        <f>S$49</f>
        <v>0.10829999999999999</v>
      </c>
      <c r="T55" s="851">
        <f>T$49</f>
        <v>0</v>
      </c>
      <c r="U55" s="479"/>
      <c r="V55" s="462"/>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ref="AO55:AO67" si="24">G55*X55/1000</f>
        <v>0</v>
      </c>
      <c r="AP55" s="184">
        <f t="shared" ref="AP55:AP67" si="25">H55*Y55</f>
        <v>0</v>
      </c>
      <c r="AQ55" s="178">
        <f t="shared" ref="AQ55:AQ67" si="26">I55*Z55</f>
        <v>15.734400000000001</v>
      </c>
      <c r="AR55" s="178">
        <f t="shared" ref="AR55:AR67" si="27">J55*AA55</f>
        <v>0</v>
      </c>
      <c r="AS55" s="179">
        <f t="shared" ref="AS55:AS67" si="28">K55*AB55</f>
        <v>11.604999999999999</v>
      </c>
      <c r="AT55" s="178">
        <f t="shared" ref="AT55:AT67" si="29">L55*AC55</f>
        <v>0</v>
      </c>
      <c r="AU55" s="178">
        <f t="shared" ref="AU55:AU67" si="30">M55*AD55</f>
        <v>0</v>
      </c>
      <c r="AV55" s="178">
        <f t="shared" ref="AV55:AV67" si="31">N55*AE55</f>
        <v>0</v>
      </c>
      <c r="AW55" s="179">
        <f t="shared" ref="AW55:AW67" si="32">O55*AF55</f>
        <v>0</v>
      </c>
      <c r="AX55" s="178">
        <f t="shared" ref="AX55:AX67" si="33">P55*AG55/1000</f>
        <v>0</v>
      </c>
      <c r="AY55" s="178">
        <f t="shared" ref="AY55:AY67" si="34">Q55*AH55/1000</f>
        <v>0</v>
      </c>
      <c r="AZ55" s="179">
        <f t="shared" ref="AZ55:AZ67" si="35">R55*AI55/1000</f>
        <v>0</v>
      </c>
      <c r="BA55" s="184">
        <f t="shared" ref="BA55:BA67" si="36">S55*AJ55/1000</f>
        <v>33.441956999999995</v>
      </c>
      <c r="BB55" s="178">
        <f t="shared" ref="BB55:BB67" si="37">T55*AK55/1000</f>
        <v>0</v>
      </c>
      <c r="BC55" s="184">
        <f t="shared" ref="BC55:BC67" si="38">U55*AL55/1000</f>
        <v>0</v>
      </c>
      <c r="BD55" s="178">
        <f t="shared" ref="BD55:BD67" si="39">V55*AM55/1000</f>
        <v>0</v>
      </c>
      <c r="BE55" s="244">
        <f t="shared" ref="BE55:BE67" si="40">X55/$BE$7</f>
        <v>1</v>
      </c>
      <c r="BF55" s="245">
        <f t="shared" ref="BF55:BF67" si="41">SUM(Y55:AF55)</f>
        <v>1949</v>
      </c>
      <c r="BH55" s="255">
        <f t="shared" ref="BH55:BH67" si="42">SUM(AO55)</f>
        <v>0</v>
      </c>
      <c r="BI55" s="255">
        <f t="shared" ref="BI55:BI67" si="43">SUM(AP55:AS55)</f>
        <v>27.339399999999998</v>
      </c>
      <c r="BJ55" s="255">
        <f t="shared" ref="BJ55:BJ67" si="44">SUM(AT55:AW55)</f>
        <v>0</v>
      </c>
      <c r="BK55" s="256">
        <f t="shared" ref="BK55:BK67" si="45">SUM(AX55:BB55)</f>
        <v>33.441956999999995</v>
      </c>
      <c r="BL55" s="262">
        <f t="shared" ref="BL55:BL67" si="46">SUM(BC55:BD55)</f>
        <v>0</v>
      </c>
      <c r="BM55" s="257">
        <f t="shared" ref="BM55:BM67" si="47">SUM(BH55:BL55)</f>
        <v>60.781356999999993</v>
      </c>
      <c r="BO55" s="714">
        <f t="shared" si="6"/>
        <v>31.185919445869676</v>
      </c>
    </row>
    <row r="56" spans="2:67" ht="15" customHeight="1" x14ac:dyDescent="0.25">
      <c r="B56" s="19">
        <f t="shared" ref="B56:B69" si="48">B55+1</f>
        <v>11</v>
      </c>
      <c r="C56" s="44" t="s">
        <v>567</v>
      </c>
      <c r="D56" s="834"/>
      <c r="E56" s="105" t="s">
        <v>94</v>
      </c>
      <c r="G56" s="477">
        <f>'[15]TUoS (t)'!G53</f>
        <v>0</v>
      </c>
      <c r="H56" s="479"/>
      <c r="I56" s="483">
        <f>'[15]TUoS (t)'!I53</f>
        <v>1.7600000000000001E-2</v>
      </c>
      <c r="J56" s="461"/>
      <c r="K56" s="484">
        <f>'[15]TUoS (t)'!K53</f>
        <v>1.0999999999999999E-2</v>
      </c>
      <c r="L56" s="461"/>
      <c r="M56" s="461"/>
      <c r="N56" s="461"/>
      <c r="O56" s="462"/>
      <c r="P56" s="461"/>
      <c r="Q56" s="461"/>
      <c r="R56" s="462"/>
      <c r="S56" s="478">
        <f>'[15]TUoS (t)'!S53</f>
        <v>0.10829999999999999</v>
      </c>
      <c r="T56" s="483">
        <f>'[15]TUoS (t)'!T53</f>
        <v>0</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4"/>
        <v>0</v>
      </c>
      <c r="AP56" s="184">
        <f t="shared" si="25"/>
        <v>0</v>
      </c>
      <c r="AQ56" s="178">
        <f t="shared" si="26"/>
        <v>10.4016</v>
      </c>
      <c r="AR56" s="178">
        <f t="shared" si="27"/>
        <v>0</v>
      </c>
      <c r="AS56" s="179">
        <f t="shared" si="28"/>
        <v>21.471999999999998</v>
      </c>
      <c r="AT56" s="178">
        <f t="shared" si="29"/>
        <v>0</v>
      </c>
      <c r="AU56" s="178">
        <f t="shared" si="30"/>
        <v>0</v>
      </c>
      <c r="AV56" s="178">
        <f t="shared" si="31"/>
        <v>0</v>
      </c>
      <c r="AW56" s="179">
        <f t="shared" si="32"/>
        <v>0</v>
      </c>
      <c r="AX56" s="178">
        <f t="shared" si="33"/>
        <v>0</v>
      </c>
      <c r="AY56" s="178">
        <f t="shared" si="34"/>
        <v>0</v>
      </c>
      <c r="AZ56" s="179">
        <f t="shared" si="35"/>
        <v>0</v>
      </c>
      <c r="BA56" s="184">
        <f t="shared" si="36"/>
        <v>21.938872499999999</v>
      </c>
      <c r="BB56" s="178">
        <f t="shared" si="37"/>
        <v>0</v>
      </c>
      <c r="BC56" s="184">
        <f t="shared" si="38"/>
        <v>0</v>
      </c>
      <c r="BD56" s="178">
        <f t="shared" si="39"/>
        <v>0</v>
      </c>
      <c r="BE56" s="244">
        <f t="shared" si="40"/>
        <v>1</v>
      </c>
      <c r="BF56" s="245">
        <f t="shared" si="41"/>
        <v>2543</v>
      </c>
      <c r="BH56" s="255">
        <f t="shared" si="42"/>
        <v>0</v>
      </c>
      <c r="BI56" s="255">
        <f t="shared" si="43"/>
        <v>31.873599999999996</v>
      </c>
      <c r="BJ56" s="255">
        <f t="shared" si="44"/>
        <v>0</v>
      </c>
      <c r="BK56" s="256">
        <f t="shared" si="45"/>
        <v>21.938872499999999</v>
      </c>
      <c r="BL56" s="262">
        <f t="shared" si="46"/>
        <v>0</v>
      </c>
      <c r="BM56" s="257">
        <f t="shared" si="47"/>
        <v>53.812472499999998</v>
      </c>
      <c r="BO56" s="714">
        <f t="shared" si="6"/>
        <v>21.161019465198581</v>
      </c>
    </row>
    <row r="57" spans="2:67" ht="15" customHeight="1" x14ac:dyDescent="0.25">
      <c r="B57" s="19">
        <f t="shared" si="48"/>
        <v>12</v>
      </c>
      <c r="C57" s="833" t="s">
        <v>568</v>
      </c>
      <c r="D57" s="834"/>
      <c r="E57" s="835" t="s">
        <v>94</v>
      </c>
      <c r="G57" s="477">
        <f>'[15]TUoS (t)'!G54</f>
        <v>0</v>
      </c>
      <c r="H57" s="479"/>
      <c r="I57" s="483">
        <f>'[15]TUoS (t)'!I54</f>
        <v>1.7600000000000001E-2</v>
      </c>
      <c r="J57" s="461"/>
      <c r="K57" s="484">
        <f>'[15]TUoS (t)'!K54</f>
        <v>1.0999999999999999E-2</v>
      </c>
      <c r="L57" s="461"/>
      <c r="M57" s="461"/>
      <c r="N57" s="461"/>
      <c r="O57" s="462"/>
      <c r="P57" s="461"/>
      <c r="Q57" s="461"/>
      <c r="R57" s="462"/>
      <c r="S57" s="478">
        <f>'[15]TUoS (t)'!S54</f>
        <v>0.10829999999999999</v>
      </c>
      <c r="T57" s="483">
        <f>'[15]TUoS (t)'!T54</f>
        <v>0</v>
      </c>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4"/>
        <v>0</v>
      </c>
      <c r="AP57" s="184">
        <f t="shared" si="25"/>
        <v>0</v>
      </c>
      <c r="AQ57" s="178">
        <f t="shared" si="26"/>
        <v>0</v>
      </c>
      <c r="AR57" s="178">
        <f t="shared" si="27"/>
        <v>0</v>
      </c>
      <c r="AS57" s="179">
        <f t="shared" si="28"/>
        <v>0</v>
      </c>
      <c r="AT57" s="178">
        <f t="shared" si="29"/>
        <v>0</v>
      </c>
      <c r="AU57" s="178">
        <f t="shared" si="30"/>
        <v>0</v>
      </c>
      <c r="AV57" s="178">
        <f t="shared" si="31"/>
        <v>0</v>
      </c>
      <c r="AW57" s="179">
        <f t="shared" si="32"/>
        <v>0</v>
      </c>
      <c r="AX57" s="178">
        <f t="shared" si="33"/>
        <v>0</v>
      </c>
      <c r="AY57" s="178">
        <f t="shared" si="34"/>
        <v>0</v>
      </c>
      <c r="AZ57" s="179">
        <f t="shared" si="35"/>
        <v>0</v>
      </c>
      <c r="BA57" s="184">
        <f t="shared" si="36"/>
        <v>0</v>
      </c>
      <c r="BB57" s="178">
        <f t="shared" si="37"/>
        <v>0</v>
      </c>
      <c r="BC57" s="184">
        <f t="shared" si="38"/>
        <v>0</v>
      </c>
      <c r="BD57" s="178">
        <f t="shared" si="39"/>
        <v>0</v>
      </c>
      <c r="BE57" s="244">
        <f t="shared" si="40"/>
        <v>0</v>
      </c>
      <c r="BF57" s="245">
        <f t="shared" si="41"/>
        <v>0</v>
      </c>
      <c r="BH57" s="255">
        <f t="shared" si="42"/>
        <v>0</v>
      </c>
      <c r="BI57" s="255">
        <f t="shared" si="43"/>
        <v>0</v>
      </c>
      <c r="BJ57" s="255">
        <f t="shared" si="44"/>
        <v>0</v>
      </c>
      <c r="BK57" s="256">
        <f t="shared" si="45"/>
        <v>0</v>
      </c>
      <c r="BL57" s="262">
        <f t="shared" si="46"/>
        <v>0</v>
      </c>
      <c r="BM57" s="257">
        <f t="shared" si="47"/>
        <v>0</v>
      </c>
      <c r="BO57" s="714" t="str">
        <f t="shared" si="6"/>
        <v/>
      </c>
    </row>
    <row r="58" spans="2:67" ht="15" customHeight="1" x14ac:dyDescent="0.25">
      <c r="B58" s="19">
        <f t="shared" si="48"/>
        <v>13</v>
      </c>
      <c r="C58" s="44" t="s">
        <v>569</v>
      </c>
      <c r="D58" s="834"/>
      <c r="E58" s="105" t="s">
        <v>94</v>
      </c>
      <c r="G58" s="477">
        <f>'[15]TUoS (t)'!G55</f>
        <v>0</v>
      </c>
      <c r="H58" s="479"/>
      <c r="I58" s="483">
        <f>'[15]TUoS (t)'!I55</f>
        <v>1.7600000000000001E-2</v>
      </c>
      <c r="J58" s="461"/>
      <c r="K58" s="484">
        <f>'[15]TUoS (t)'!K55</f>
        <v>1.0999999999999999E-2</v>
      </c>
      <c r="L58" s="461"/>
      <c r="M58" s="461"/>
      <c r="N58" s="461"/>
      <c r="O58" s="462"/>
      <c r="P58" s="461"/>
      <c r="Q58" s="461"/>
      <c r="R58" s="462"/>
      <c r="S58" s="478">
        <f>'[15]TUoS (t)'!S55</f>
        <v>0.10829999999999999</v>
      </c>
      <c r="T58" s="483">
        <f>'[15]TUoS (t)'!T55</f>
        <v>0</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4"/>
        <v>0</v>
      </c>
      <c r="AP58" s="184">
        <f t="shared" si="25"/>
        <v>0</v>
      </c>
      <c r="AQ58" s="178">
        <f t="shared" si="26"/>
        <v>17.300800000000002</v>
      </c>
      <c r="AR58" s="178">
        <f t="shared" si="27"/>
        <v>0</v>
      </c>
      <c r="AS58" s="179">
        <f t="shared" si="28"/>
        <v>12.649999999999999</v>
      </c>
      <c r="AT58" s="178">
        <f t="shared" si="29"/>
        <v>0</v>
      </c>
      <c r="AU58" s="178">
        <f t="shared" si="30"/>
        <v>0</v>
      </c>
      <c r="AV58" s="178">
        <f t="shared" si="31"/>
        <v>0</v>
      </c>
      <c r="AW58" s="179">
        <f t="shared" si="32"/>
        <v>0</v>
      </c>
      <c r="AX58" s="178">
        <f t="shared" si="33"/>
        <v>0</v>
      </c>
      <c r="AY58" s="178">
        <f t="shared" si="34"/>
        <v>0</v>
      </c>
      <c r="AZ58" s="179">
        <f t="shared" si="35"/>
        <v>0</v>
      </c>
      <c r="BA58" s="184">
        <f t="shared" si="36"/>
        <v>31.6631295</v>
      </c>
      <c r="BB58" s="178">
        <f t="shared" si="37"/>
        <v>0</v>
      </c>
      <c r="BC58" s="184">
        <f t="shared" si="38"/>
        <v>0</v>
      </c>
      <c r="BD58" s="178">
        <f t="shared" si="39"/>
        <v>0</v>
      </c>
      <c r="BE58" s="244">
        <f t="shared" si="40"/>
        <v>1</v>
      </c>
      <c r="BF58" s="245">
        <f t="shared" si="41"/>
        <v>2133</v>
      </c>
      <c r="BH58" s="255">
        <f t="shared" si="42"/>
        <v>0</v>
      </c>
      <c r="BI58" s="255">
        <f t="shared" si="43"/>
        <v>29.950800000000001</v>
      </c>
      <c r="BJ58" s="255">
        <f t="shared" si="44"/>
        <v>0</v>
      </c>
      <c r="BK58" s="256">
        <f t="shared" si="45"/>
        <v>31.6631295</v>
      </c>
      <c r="BL58" s="262">
        <f t="shared" si="46"/>
        <v>0</v>
      </c>
      <c r="BM58" s="257">
        <f t="shared" si="47"/>
        <v>61.613929499999998</v>
      </c>
      <c r="BO58" s="714">
        <f t="shared" si="6"/>
        <v>28.886042897327705</v>
      </c>
    </row>
    <row r="59" spans="2:67" ht="15" customHeight="1" x14ac:dyDescent="0.25">
      <c r="B59" s="19">
        <f t="shared" si="48"/>
        <v>14</v>
      </c>
      <c r="C59" s="44" t="s">
        <v>570</v>
      </c>
      <c r="D59" s="834"/>
      <c r="E59" s="105" t="s">
        <v>94</v>
      </c>
      <c r="G59" s="477">
        <f>'[15]TUoS (t)'!G56</f>
        <v>0</v>
      </c>
      <c r="H59" s="479"/>
      <c r="I59" s="483">
        <f>'[15]TUoS (t)'!I56</f>
        <v>1.7600000000000001E-2</v>
      </c>
      <c r="J59" s="461"/>
      <c r="K59" s="484">
        <f>'[15]TUoS (t)'!K56</f>
        <v>1.0999999999999999E-2</v>
      </c>
      <c r="L59" s="461"/>
      <c r="M59" s="461"/>
      <c r="N59" s="461"/>
      <c r="O59" s="462"/>
      <c r="P59" s="461"/>
      <c r="Q59" s="461"/>
      <c r="R59" s="462"/>
      <c r="S59" s="478">
        <f>'[15]TUoS (t)'!S56</f>
        <v>0.10829999999999999</v>
      </c>
      <c r="T59" s="483">
        <f>'[15]TUoS (t)'!T56</f>
        <v>0</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4"/>
        <v>0</v>
      </c>
      <c r="AP59" s="184">
        <f t="shared" si="25"/>
        <v>0</v>
      </c>
      <c r="AQ59" s="178">
        <f t="shared" si="26"/>
        <v>17.564800000000002</v>
      </c>
      <c r="AR59" s="178">
        <f t="shared" si="27"/>
        <v>0</v>
      </c>
      <c r="AS59" s="179">
        <f t="shared" si="28"/>
        <v>22.428999999999998</v>
      </c>
      <c r="AT59" s="178">
        <f t="shared" si="29"/>
        <v>0</v>
      </c>
      <c r="AU59" s="178">
        <f t="shared" si="30"/>
        <v>0</v>
      </c>
      <c r="AV59" s="178">
        <f t="shared" si="31"/>
        <v>0</v>
      </c>
      <c r="AW59" s="179">
        <f t="shared" si="32"/>
        <v>0</v>
      </c>
      <c r="AX59" s="178">
        <f t="shared" si="33"/>
        <v>0</v>
      </c>
      <c r="AY59" s="178">
        <f t="shared" si="34"/>
        <v>0</v>
      </c>
      <c r="AZ59" s="179">
        <f t="shared" si="35"/>
        <v>0</v>
      </c>
      <c r="BA59" s="184">
        <f t="shared" si="36"/>
        <v>24.468760500000002</v>
      </c>
      <c r="BB59" s="178">
        <f t="shared" si="37"/>
        <v>0</v>
      </c>
      <c r="BC59" s="184">
        <f t="shared" si="38"/>
        <v>0</v>
      </c>
      <c r="BD59" s="178">
        <f t="shared" si="39"/>
        <v>0</v>
      </c>
      <c r="BE59" s="244">
        <f t="shared" si="40"/>
        <v>1</v>
      </c>
      <c r="BF59" s="245">
        <f t="shared" si="41"/>
        <v>3037</v>
      </c>
      <c r="BH59" s="255">
        <f t="shared" si="42"/>
        <v>0</v>
      </c>
      <c r="BI59" s="255">
        <f t="shared" si="43"/>
        <v>39.9938</v>
      </c>
      <c r="BJ59" s="255">
        <f t="shared" si="44"/>
        <v>0</v>
      </c>
      <c r="BK59" s="256">
        <f t="shared" si="45"/>
        <v>24.468760500000002</v>
      </c>
      <c r="BL59" s="262">
        <f t="shared" si="46"/>
        <v>0</v>
      </c>
      <c r="BM59" s="257">
        <f t="shared" si="47"/>
        <v>64.462560499999995</v>
      </c>
      <c r="BO59" s="714">
        <f t="shared" si="6"/>
        <v>21.225736088244975</v>
      </c>
    </row>
    <row r="60" spans="2:67" ht="15" customHeight="1" x14ac:dyDescent="0.25">
      <c r="B60" s="19">
        <f t="shared" si="48"/>
        <v>15</v>
      </c>
      <c r="C60" s="44" t="s">
        <v>572</v>
      </c>
      <c r="D60" s="45"/>
      <c r="E60" s="105" t="s">
        <v>94</v>
      </c>
      <c r="G60" s="477">
        <f>'[15]TUoS (t)'!G57</f>
        <v>0</v>
      </c>
      <c r="H60" s="479"/>
      <c r="I60" s="483">
        <f>'[15]TUoS (t)'!I57</f>
        <v>1.7600000000000001E-2</v>
      </c>
      <c r="J60" s="461"/>
      <c r="K60" s="484">
        <f>'[15]TUoS (t)'!K57</f>
        <v>1.0999999999999999E-2</v>
      </c>
      <c r="L60" s="461"/>
      <c r="M60" s="461"/>
      <c r="N60" s="461"/>
      <c r="O60" s="462"/>
      <c r="P60" s="461"/>
      <c r="Q60" s="461"/>
      <c r="R60" s="462"/>
      <c r="S60" s="478">
        <f>'[15]TUoS (t)'!S57</f>
        <v>0.10829999999999999</v>
      </c>
      <c r="T60" s="483">
        <f>'[15]TUoS (t)'!T57</f>
        <v>0</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4"/>
        <v>0</v>
      </c>
      <c r="AP60" s="184">
        <f t="shared" si="25"/>
        <v>0</v>
      </c>
      <c r="AQ60" s="178">
        <f t="shared" si="26"/>
        <v>62.427200000000006</v>
      </c>
      <c r="AR60" s="178">
        <f t="shared" si="27"/>
        <v>0</v>
      </c>
      <c r="AS60" s="179">
        <f t="shared" si="28"/>
        <v>35.067999999999998</v>
      </c>
      <c r="AT60" s="178">
        <f t="shared" si="29"/>
        <v>0</v>
      </c>
      <c r="AU60" s="178">
        <f t="shared" si="30"/>
        <v>0</v>
      </c>
      <c r="AV60" s="178">
        <f t="shared" si="31"/>
        <v>0</v>
      </c>
      <c r="AW60" s="179">
        <f t="shared" si="32"/>
        <v>0</v>
      </c>
      <c r="AX60" s="178">
        <f t="shared" si="33"/>
        <v>0</v>
      </c>
      <c r="AY60" s="178">
        <f t="shared" si="34"/>
        <v>0</v>
      </c>
      <c r="AZ60" s="179">
        <f t="shared" si="35"/>
        <v>0</v>
      </c>
      <c r="BA60" s="184">
        <f t="shared" si="36"/>
        <v>87.795019499999995</v>
      </c>
      <c r="BB60" s="178">
        <f t="shared" si="37"/>
        <v>0</v>
      </c>
      <c r="BC60" s="184">
        <f t="shared" si="38"/>
        <v>0</v>
      </c>
      <c r="BD60" s="178">
        <f t="shared" si="39"/>
        <v>0</v>
      </c>
      <c r="BE60" s="244">
        <f t="shared" si="40"/>
        <v>1</v>
      </c>
      <c r="BF60" s="245">
        <f t="shared" si="41"/>
        <v>6735</v>
      </c>
      <c r="BH60" s="255">
        <f t="shared" si="42"/>
        <v>0</v>
      </c>
      <c r="BI60" s="255">
        <f t="shared" si="43"/>
        <v>97.495200000000011</v>
      </c>
      <c r="BJ60" s="255">
        <f t="shared" si="44"/>
        <v>0</v>
      </c>
      <c r="BK60" s="256">
        <f t="shared" si="45"/>
        <v>87.795019499999995</v>
      </c>
      <c r="BL60" s="262">
        <f t="shared" si="46"/>
        <v>0</v>
      </c>
      <c r="BM60" s="257">
        <f t="shared" si="47"/>
        <v>185.29021950000001</v>
      </c>
      <c r="BO60" s="714">
        <f t="shared" si="6"/>
        <v>27.511539643652561</v>
      </c>
    </row>
    <row r="61" spans="2:67" ht="15" customHeight="1" x14ac:dyDescent="0.25">
      <c r="B61" s="19">
        <f t="shared" si="48"/>
        <v>16</v>
      </c>
      <c r="C61" s="44" t="s">
        <v>651</v>
      </c>
      <c r="D61" s="45"/>
      <c r="E61" s="105" t="s">
        <v>94</v>
      </c>
      <c r="G61" s="477">
        <f>'[15]TUoS (t)'!G58</f>
        <v>0</v>
      </c>
      <c r="H61" s="479"/>
      <c r="I61" s="483">
        <f>'[15]TUoS (t)'!I58</f>
        <v>1.7600000000000001E-2</v>
      </c>
      <c r="J61" s="461"/>
      <c r="K61" s="484">
        <f>'[15]TUoS (t)'!K58</f>
        <v>1.0999999999999999E-2</v>
      </c>
      <c r="L61" s="461"/>
      <c r="M61" s="461"/>
      <c r="N61" s="461"/>
      <c r="O61" s="462"/>
      <c r="P61" s="461"/>
      <c r="Q61" s="461"/>
      <c r="R61" s="462"/>
      <c r="S61" s="478">
        <f>'[15]TUoS (t)'!S58</f>
        <v>0.10829999999999999</v>
      </c>
      <c r="T61" s="483">
        <f>'[15]TUoS (t)'!T58</f>
        <v>0</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4"/>
        <v>0</v>
      </c>
      <c r="AP61" s="184">
        <f t="shared" si="25"/>
        <v>0</v>
      </c>
      <c r="AQ61" s="178">
        <f t="shared" si="26"/>
        <v>6.6000000000000005</v>
      </c>
      <c r="AR61" s="178">
        <f t="shared" si="27"/>
        <v>0</v>
      </c>
      <c r="AS61" s="179">
        <f t="shared" si="28"/>
        <v>11.978999999999999</v>
      </c>
      <c r="AT61" s="178">
        <f t="shared" si="29"/>
        <v>0</v>
      </c>
      <c r="AU61" s="178">
        <f t="shared" si="30"/>
        <v>0</v>
      </c>
      <c r="AV61" s="178">
        <f t="shared" si="31"/>
        <v>0</v>
      </c>
      <c r="AW61" s="179">
        <f t="shared" si="32"/>
        <v>0</v>
      </c>
      <c r="AX61" s="178">
        <f t="shared" si="33"/>
        <v>0</v>
      </c>
      <c r="AY61" s="178">
        <f t="shared" si="34"/>
        <v>0</v>
      </c>
      <c r="AZ61" s="179">
        <f t="shared" si="35"/>
        <v>0</v>
      </c>
      <c r="BA61" s="184">
        <f t="shared" si="36"/>
        <v>48.977050499999997</v>
      </c>
      <c r="BB61" s="178">
        <f t="shared" si="37"/>
        <v>0</v>
      </c>
      <c r="BC61" s="184">
        <f t="shared" si="38"/>
        <v>0</v>
      </c>
      <c r="BD61" s="178">
        <f t="shared" si="39"/>
        <v>0</v>
      </c>
      <c r="BE61" s="244">
        <f t="shared" si="40"/>
        <v>1</v>
      </c>
      <c r="BF61" s="245">
        <f t="shared" si="41"/>
        <v>1464</v>
      </c>
      <c r="BH61" s="255">
        <f t="shared" si="42"/>
        <v>0</v>
      </c>
      <c r="BI61" s="255">
        <f t="shared" si="43"/>
        <v>18.579000000000001</v>
      </c>
      <c r="BJ61" s="255">
        <f t="shared" si="44"/>
        <v>0</v>
      </c>
      <c r="BK61" s="256">
        <f t="shared" si="45"/>
        <v>48.977050499999997</v>
      </c>
      <c r="BL61" s="262">
        <f t="shared" si="46"/>
        <v>0</v>
      </c>
      <c r="BM61" s="257">
        <f t="shared" si="47"/>
        <v>67.556050499999998</v>
      </c>
      <c r="BO61" s="714">
        <f t="shared" si="6"/>
        <v>46.144843237704919</v>
      </c>
    </row>
    <row r="62" spans="2:67" ht="15" customHeight="1" x14ac:dyDescent="0.25">
      <c r="B62" s="19">
        <f t="shared" si="48"/>
        <v>17</v>
      </c>
      <c r="C62" s="44" t="s">
        <v>707</v>
      </c>
      <c r="D62" s="45"/>
      <c r="E62" s="105" t="s">
        <v>94</v>
      </c>
      <c r="G62" s="862">
        <f>G$49</f>
        <v>0</v>
      </c>
      <c r="H62" s="479"/>
      <c r="I62" s="851">
        <f>I$49</f>
        <v>1.7600000000000001E-2</v>
      </c>
      <c r="J62" s="461"/>
      <c r="K62" s="852">
        <f>K$49</f>
        <v>1.0999999999999999E-2</v>
      </c>
      <c r="L62" s="461"/>
      <c r="M62" s="461"/>
      <c r="N62" s="461"/>
      <c r="O62" s="462"/>
      <c r="P62" s="461"/>
      <c r="Q62" s="461"/>
      <c r="R62" s="462"/>
      <c r="S62" s="863">
        <f>S$49</f>
        <v>0.10829999999999999</v>
      </c>
      <c r="T62" s="851">
        <f>T$49</f>
        <v>0</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4"/>
        <v>0</v>
      </c>
      <c r="AP62" s="184">
        <f t="shared" si="25"/>
        <v>0</v>
      </c>
      <c r="AQ62" s="178">
        <f t="shared" si="26"/>
        <v>20.697600000000001</v>
      </c>
      <c r="AR62" s="178">
        <f t="shared" si="27"/>
        <v>0</v>
      </c>
      <c r="AS62" s="179">
        <f t="shared" si="28"/>
        <v>22.648999999999997</v>
      </c>
      <c r="AT62" s="178">
        <f t="shared" si="29"/>
        <v>0</v>
      </c>
      <c r="AU62" s="178">
        <f t="shared" si="30"/>
        <v>0</v>
      </c>
      <c r="AV62" s="178">
        <f t="shared" si="31"/>
        <v>0</v>
      </c>
      <c r="AW62" s="179">
        <f t="shared" si="32"/>
        <v>0</v>
      </c>
      <c r="AX62" s="178">
        <f t="shared" si="33"/>
        <v>0</v>
      </c>
      <c r="AY62" s="178">
        <f t="shared" si="34"/>
        <v>0</v>
      </c>
      <c r="AZ62" s="179">
        <f t="shared" si="35"/>
        <v>0</v>
      </c>
      <c r="BA62" s="184">
        <f t="shared" si="36"/>
        <v>33.441956999999995</v>
      </c>
      <c r="BB62" s="178">
        <f t="shared" si="37"/>
        <v>0</v>
      </c>
      <c r="BC62" s="184">
        <f t="shared" si="38"/>
        <v>0</v>
      </c>
      <c r="BD62" s="178">
        <f t="shared" si="39"/>
        <v>0</v>
      </c>
      <c r="BE62" s="244">
        <f t="shared" si="40"/>
        <v>1</v>
      </c>
      <c r="BF62" s="245">
        <f t="shared" si="41"/>
        <v>3235</v>
      </c>
      <c r="BH62" s="255">
        <f t="shared" si="42"/>
        <v>0</v>
      </c>
      <c r="BI62" s="255">
        <f t="shared" si="43"/>
        <v>43.346599999999995</v>
      </c>
      <c r="BJ62" s="255">
        <f t="shared" si="44"/>
        <v>0</v>
      </c>
      <c r="BK62" s="256">
        <f t="shared" si="45"/>
        <v>33.441956999999995</v>
      </c>
      <c r="BL62" s="262">
        <f t="shared" si="46"/>
        <v>0</v>
      </c>
      <c r="BM62" s="257">
        <f t="shared" si="47"/>
        <v>76.788556999999997</v>
      </c>
      <c r="BO62" s="714">
        <f t="shared" si="6"/>
        <v>23.736802782071099</v>
      </c>
    </row>
    <row r="63" spans="2:67" ht="15" customHeight="1" x14ac:dyDescent="0.25">
      <c r="B63" s="19">
        <f t="shared" si="48"/>
        <v>18</v>
      </c>
      <c r="C63" s="44" t="s">
        <v>571</v>
      </c>
      <c r="D63" s="45"/>
      <c r="E63" s="105" t="s">
        <v>94</v>
      </c>
      <c r="G63" s="477">
        <f>'[15]TUoS (t)'!G59</f>
        <v>0</v>
      </c>
      <c r="H63" s="479"/>
      <c r="I63" s="483">
        <f>'[15]TUoS (t)'!I59</f>
        <v>1.7600000000000001E-2</v>
      </c>
      <c r="J63" s="461"/>
      <c r="K63" s="484">
        <f>'[15]TUoS (t)'!K59</f>
        <v>1.0999999999999999E-2</v>
      </c>
      <c r="L63" s="461"/>
      <c r="M63" s="461"/>
      <c r="N63" s="461"/>
      <c r="O63" s="462"/>
      <c r="P63" s="461"/>
      <c r="Q63" s="461"/>
      <c r="R63" s="462"/>
      <c r="S63" s="478">
        <f>'[15]TUoS (t)'!S59</f>
        <v>0.10829999999999999</v>
      </c>
      <c r="T63" s="483">
        <f>'[15]TUoS (t)'!T59</f>
        <v>0</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4"/>
        <v>0</v>
      </c>
      <c r="AP63" s="184">
        <f t="shared" si="25"/>
        <v>0</v>
      </c>
      <c r="AQ63" s="178">
        <f t="shared" si="26"/>
        <v>7.5680000000000005</v>
      </c>
      <c r="AR63" s="178">
        <f t="shared" si="27"/>
        <v>0</v>
      </c>
      <c r="AS63" s="179">
        <f t="shared" si="28"/>
        <v>6.226</v>
      </c>
      <c r="AT63" s="178">
        <f t="shared" si="29"/>
        <v>0</v>
      </c>
      <c r="AU63" s="178">
        <f t="shared" si="30"/>
        <v>0</v>
      </c>
      <c r="AV63" s="178">
        <f t="shared" si="31"/>
        <v>0</v>
      </c>
      <c r="AW63" s="179">
        <f t="shared" si="32"/>
        <v>0</v>
      </c>
      <c r="AX63" s="178">
        <f t="shared" si="33"/>
        <v>0</v>
      </c>
      <c r="AY63" s="178">
        <f t="shared" si="34"/>
        <v>0</v>
      </c>
      <c r="AZ63" s="179">
        <f t="shared" si="35"/>
        <v>0</v>
      </c>
      <c r="BA63" s="184">
        <f t="shared" si="36"/>
        <v>10.989201</v>
      </c>
      <c r="BB63" s="178">
        <f t="shared" si="37"/>
        <v>0</v>
      </c>
      <c r="BC63" s="184">
        <f t="shared" si="38"/>
        <v>0</v>
      </c>
      <c r="BD63" s="178">
        <f t="shared" si="39"/>
        <v>0</v>
      </c>
      <c r="BE63" s="244">
        <f t="shared" si="40"/>
        <v>1</v>
      </c>
      <c r="BF63" s="245">
        <f t="shared" si="41"/>
        <v>996</v>
      </c>
      <c r="BH63" s="255">
        <f t="shared" si="42"/>
        <v>0</v>
      </c>
      <c r="BI63" s="255">
        <f t="shared" si="43"/>
        <v>13.794</v>
      </c>
      <c r="BJ63" s="255">
        <f t="shared" si="44"/>
        <v>0</v>
      </c>
      <c r="BK63" s="256">
        <f t="shared" si="45"/>
        <v>10.989201</v>
      </c>
      <c r="BL63" s="262">
        <f t="shared" si="46"/>
        <v>0</v>
      </c>
      <c r="BM63" s="257">
        <f t="shared" si="47"/>
        <v>24.783200999999998</v>
      </c>
      <c r="BO63" s="714">
        <f t="shared" si="6"/>
        <v>24.882731927710839</v>
      </c>
    </row>
    <row r="64" spans="2:67" ht="15" customHeight="1" x14ac:dyDescent="0.25">
      <c r="B64" s="19">
        <f t="shared" si="48"/>
        <v>19</v>
      </c>
      <c r="C64" s="44" t="s">
        <v>573</v>
      </c>
      <c r="D64" s="45"/>
      <c r="E64" s="105" t="s">
        <v>94</v>
      </c>
      <c r="G64" s="477">
        <f>'[15]TUoS (t)'!G60</f>
        <v>0</v>
      </c>
      <c r="H64" s="479"/>
      <c r="I64" s="483">
        <f>'[15]TUoS (t)'!I60</f>
        <v>1.7600000000000001E-2</v>
      </c>
      <c r="J64" s="461"/>
      <c r="K64" s="484">
        <f>'[15]TUoS (t)'!K60</f>
        <v>1.0999999999999999E-2</v>
      </c>
      <c r="L64" s="461"/>
      <c r="M64" s="461"/>
      <c r="N64" s="461"/>
      <c r="O64" s="462"/>
      <c r="P64" s="461"/>
      <c r="Q64" s="461"/>
      <c r="R64" s="462"/>
      <c r="S64" s="478">
        <f>'[15]TUoS (t)'!S60</f>
        <v>0.10829999999999999</v>
      </c>
      <c r="T64" s="483">
        <f>'[15]TUoS (t)'!T60</f>
        <v>0</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4"/>
        <v>0</v>
      </c>
      <c r="AP64" s="184">
        <f t="shared" si="25"/>
        <v>0</v>
      </c>
      <c r="AQ64" s="178">
        <f t="shared" si="26"/>
        <v>6.6528</v>
      </c>
      <c r="AR64" s="178">
        <f t="shared" si="27"/>
        <v>0</v>
      </c>
      <c r="AS64" s="179">
        <f t="shared" si="28"/>
        <v>6.6109999999999998</v>
      </c>
      <c r="AT64" s="178">
        <f t="shared" si="29"/>
        <v>0</v>
      </c>
      <c r="AU64" s="178">
        <f t="shared" si="30"/>
        <v>0</v>
      </c>
      <c r="AV64" s="178">
        <f t="shared" si="31"/>
        <v>0</v>
      </c>
      <c r="AW64" s="179">
        <f t="shared" si="32"/>
        <v>0</v>
      </c>
      <c r="AX64" s="178">
        <f t="shared" si="33"/>
        <v>0</v>
      </c>
      <c r="AY64" s="178">
        <f t="shared" si="34"/>
        <v>0</v>
      </c>
      <c r="AZ64" s="179">
        <f t="shared" si="35"/>
        <v>0</v>
      </c>
      <c r="BA64" s="184">
        <f t="shared" si="36"/>
        <v>11.898379499999999</v>
      </c>
      <c r="BB64" s="178">
        <f t="shared" si="37"/>
        <v>0</v>
      </c>
      <c r="BC64" s="184">
        <f t="shared" si="38"/>
        <v>0</v>
      </c>
      <c r="BD64" s="178">
        <f t="shared" si="39"/>
        <v>0</v>
      </c>
      <c r="BE64" s="244">
        <f t="shared" si="40"/>
        <v>1</v>
      </c>
      <c r="BF64" s="245">
        <f t="shared" si="41"/>
        <v>979</v>
      </c>
      <c r="BH64" s="255">
        <f t="shared" si="42"/>
        <v>0</v>
      </c>
      <c r="BI64" s="255">
        <f t="shared" si="43"/>
        <v>13.2638</v>
      </c>
      <c r="BJ64" s="255">
        <f t="shared" si="44"/>
        <v>0</v>
      </c>
      <c r="BK64" s="256">
        <f t="shared" si="45"/>
        <v>11.898379499999999</v>
      </c>
      <c r="BL64" s="262">
        <f t="shared" si="46"/>
        <v>0</v>
      </c>
      <c r="BM64" s="257">
        <f t="shared" si="47"/>
        <v>25.162179500000001</v>
      </c>
      <c r="BO64" s="714">
        <f t="shared" si="6"/>
        <v>25.701919816138918</v>
      </c>
    </row>
    <row r="65" spans="2:67" ht="15" customHeight="1" x14ac:dyDescent="0.25">
      <c r="B65" s="19">
        <f t="shared" si="48"/>
        <v>20</v>
      </c>
      <c r="C65" s="833" t="s">
        <v>574</v>
      </c>
      <c r="D65" s="834"/>
      <c r="E65" s="835" t="s">
        <v>94</v>
      </c>
      <c r="G65" s="477">
        <f>'[15]TUoS (t)'!G61</f>
        <v>0</v>
      </c>
      <c r="H65" s="479"/>
      <c r="I65" s="483">
        <f>'[15]TUoS (t)'!I61</f>
        <v>1.7600000000000001E-2</v>
      </c>
      <c r="J65" s="461"/>
      <c r="K65" s="484">
        <f>'[15]TUoS (t)'!K61</f>
        <v>1.0999999999999999E-2</v>
      </c>
      <c r="L65" s="461"/>
      <c r="M65" s="461"/>
      <c r="N65" s="461"/>
      <c r="O65" s="462"/>
      <c r="P65" s="461"/>
      <c r="Q65" s="461"/>
      <c r="R65" s="462"/>
      <c r="S65" s="478">
        <f>'[15]TUoS (t)'!S61</f>
        <v>0.10829999999999999</v>
      </c>
      <c r="T65" s="483">
        <f>'[15]TUoS (t)'!T61</f>
        <v>0</v>
      </c>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4"/>
        <v>0</v>
      </c>
      <c r="AP65" s="184">
        <f t="shared" si="25"/>
        <v>0</v>
      </c>
      <c r="AQ65" s="178">
        <f t="shared" si="26"/>
        <v>0</v>
      </c>
      <c r="AR65" s="178">
        <f t="shared" si="27"/>
        <v>0</v>
      </c>
      <c r="AS65" s="179">
        <f t="shared" si="28"/>
        <v>0</v>
      </c>
      <c r="AT65" s="178">
        <f t="shared" si="29"/>
        <v>0</v>
      </c>
      <c r="AU65" s="178">
        <f t="shared" si="30"/>
        <v>0</v>
      </c>
      <c r="AV65" s="178">
        <f t="shared" si="31"/>
        <v>0</v>
      </c>
      <c r="AW65" s="179">
        <f t="shared" si="32"/>
        <v>0</v>
      </c>
      <c r="AX65" s="178">
        <f t="shared" si="33"/>
        <v>0</v>
      </c>
      <c r="AY65" s="178">
        <f t="shared" si="34"/>
        <v>0</v>
      </c>
      <c r="AZ65" s="179">
        <f t="shared" si="35"/>
        <v>0</v>
      </c>
      <c r="BA65" s="184">
        <f t="shared" si="36"/>
        <v>0</v>
      </c>
      <c r="BB65" s="178">
        <f t="shared" si="37"/>
        <v>0</v>
      </c>
      <c r="BC65" s="184">
        <f t="shared" si="38"/>
        <v>0</v>
      </c>
      <c r="BD65" s="178">
        <f t="shared" si="39"/>
        <v>0</v>
      </c>
      <c r="BE65" s="244">
        <f t="shared" si="40"/>
        <v>0</v>
      </c>
      <c r="BF65" s="245">
        <f t="shared" si="41"/>
        <v>0</v>
      </c>
      <c r="BH65" s="255">
        <f t="shared" si="42"/>
        <v>0</v>
      </c>
      <c r="BI65" s="255">
        <f t="shared" si="43"/>
        <v>0</v>
      </c>
      <c r="BJ65" s="255">
        <f t="shared" si="44"/>
        <v>0</v>
      </c>
      <c r="BK65" s="256">
        <f t="shared" si="45"/>
        <v>0</v>
      </c>
      <c r="BL65" s="262">
        <f t="shared" si="46"/>
        <v>0</v>
      </c>
      <c r="BM65" s="257">
        <f t="shared" si="47"/>
        <v>0</v>
      </c>
      <c r="BO65" s="714" t="str">
        <f t="shared" si="6"/>
        <v/>
      </c>
    </row>
    <row r="66" spans="2:67" ht="15" customHeight="1" x14ac:dyDescent="0.25">
      <c r="B66" s="19">
        <f t="shared" si="48"/>
        <v>21</v>
      </c>
      <c r="C66" s="44" t="s">
        <v>706</v>
      </c>
      <c r="D66" s="45"/>
      <c r="E66" s="105" t="s">
        <v>94</v>
      </c>
      <c r="G66" s="862">
        <f>G$49</f>
        <v>0</v>
      </c>
      <c r="H66" s="479"/>
      <c r="I66" s="851">
        <f>I$49</f>
        <v>1.7600000000000001E-2</v>
      </c>
      <c r="J66" s="461"/>
      <c r="K66" s="852">
        <f>K$49</f>
        <v>1.0999999999999999E-2</v>
      </c>
      <c r="L66" s="461"/>
      <c r="M66" s="461"/>
      <c r="N66" s="461"/>
      <c r="O66" s="462"/>
      <c r="P66" s="461"/>
      <c r="Q66" s="461"/>
      <c r="R66" s="462"/>
      <c r="S66" s="863">
        <f>S$49</f>
        <v>0.10829999999999999</v>
      </c>
      <c r="T66" s="851">
        <f>T$49</f>
        <v>0</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4"/>
        <v>0</v>
      </c>
      <c r="AP66" s="184">
        <f t="shared" si="25"/>
        <v>0</v>
      </c>
      <c r="AQ66" s="178">
        <f t="shared" si="26"/>
        <v>115.05120000000001</v>
      </c>
      <c r="AR66" s="178">
        <f t="shared" si="27"/>
        <v>0</v>
      </c>
      <c r="AS66" s="179">
        <f t="shared" si="28"/>
        <v>76.054000000000002</v>
      </c>
      <c r="AT66" s="178">
        <f t="shared" si="29"/>
        <v>0</v>
      </c>
      <c r="AU66" s="178">
        <f t="shared" si="30"/>
        <v>0</v>
      </c>
      <c r="AV66" s="178">
        <f t="shared" si="31"/>
        <v>0</v>
      </c>
      <c r="AW66" s="179">
        <f t="shared" si="32"/>
        <v>0</v>
      </c>
      <c r="AX66" s="178">
        <f t="shared" si="33"/>
        <v>0</v>
      </c>
      <c r="AY66" s="178">
        <f t="shared" si="34"/>
        <v>0</v>
      </c>
      <c r="AZ66" s="179">
        <f t="shared" si="35"/>
        <v>0</v>
      </c>
      <c r="BA66" s="184">
        <f t="shared" si="36"/>
        <v>114.16119599999999</v>
      </c>
      <c r="BB66" s="178">
        <f t="shared" si="37"/>
        <v>0</v>
      </c>
      <c r="BC66" s="184">
        <f t="shared" si="38"/>
        <v>0</v>
      </c>
      <c r="BD66" s="178">
        <f t="shared" si="39"/>
        <v>0</v>
      </c>
      <c r="BE66" s="244">
        <f t="shared" si="40"/>
        <v>1</v>
      </c>
      <c r="BF66" s="245">
        <f t="shared" si="41"/>
        <v>13451</v>
      </c>
      <c r="BH66" s="255">
        <f t="shared" si="42"/>
        <v>0</v>
      </c>
      <c r="BI66" s="255">
        <f t="shared" si="43"/>
        <v>191.10520000000002</v>
      </c>
      <c r="BJ66" s="255">
        <f t="shared" si="44"/>
        <v>0</v>
      </c>
      <c r="BK66" s="256">
        <f t="shared" si="45"/>
        <v>114.16119599999999</v>
      </c>
      <c r="BL66" s="262">
        <f t="shared" si="46"/>
        <v>0</v>
      </c>
      <c r="BM66" s="257">
        <f t="shared" si="47"/>
        <v>305.26639599999999</v>
      </c>
      <c r="BO66" s="714">
        <f t="shared" si="6"/>
        <v>22.694698981488365</v>
      </c>
    </row>
    <row r="67" spans="2:67" ht="15" customHeight="1" x14ac:dyDescent="0.25">
      <c r="B67" s="19">
        <f t="shared" si="48"/>
        <v>22</v>
      </c>
      <c r="C67" s="44" t="s">
        <v>575</v>
      </c>
      <c r="D67" s="45"/>
      <c r="E67" s="105" t="s">
        <v>94</v>
      </c>
      <c r="G67" s="477">
        <f>'[15]TUoS (t)'!G62</f>
        <v>0</v>
      </c>
      <c r="H67" s="479"/>
      <c r="I67" s="483">
        <f>'[15]TUoS (t)'!I62</f>
        <v>1.7600000000000001E-2</v>
      </c>
      <c r="J67" s="461"/>
      <c r="K67" s="484">
        <f>'[15]TUoS (t)'!K62</f>
        <v>1.0999999999999999E-2</v>
      </c>
      <c r="L67" s="461"/>
      <c r="M67" s="461"/>
      <c r="N67" s="461"/>
      <c r="O67" s="462"/>
      <c r="P67" s="461"/>
      <c r="Q67" s="461"/>
      <c r="R67" s="462"/>
      <c r="S67" s="478">
        <f>'[15]TUoS (t)'!S62</f>
        <v>0.10829999999999999</v>
      </c>
      <c r="T67" s="483">
        <f>'[15]TUoS (t)'!T62</f>
        <v>0</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4"/>
        <v>0</v>
      </c>
      <c r="AP67" s="184">
        <f t="shared" si="25"/>
        <v>0</v>
      </c>
      <c r="AQ67" s="178">
        <f t="shared" si="26"/>
        <v>6.7232000000000003</v>
      </c>
      <c r="AR67" s="178">
        <f t="shared" si="27"/>
        <v>0</v>
      </c>
      <c r="AS67" s="179">
        <f t="shared" si="28"/>
        <v>5.3239999999999998</v>
      </c>
      <c r="AT67" s="178">
        <f t="shared" si="29"/>
        <v>0</v>
      </c>
      <c r="AU67" s="178">
        <f t="shared" si="30"/>
        <v>0</v>
      </c>
      <c r="AV67" s="178">
        <f t="shared" si="31"/>
        <v>0</v>
      </c>
      <c r="AW67" s="179">
        <f t="shared" si="32"/>
        <v>0</v>
      </c>
      <c r="AX67" s="178">
        <f t="shared" si="33"/>
        <v>0</v>
      </c>
      <c r="AY67" s="178">
        <f t="shared" si="34"/>
        <v>0</v>
      </c>
      <c r="AZ67" s="179">
        <f t="shared" si="35"/>
        <v>0</v>
      </c>
      <c r="BA67" s="184">
        <f t="shared" si="36"/>
        <v>6.0084839999999993</v>
      </c>
      <c r="BB67" s="178">
        <f t="shared" si="37"/>
        <v>0</v>
      </c>
      <c r="BC67" s="184">
        <f t="shared" si="38"/>
        <v>0</v>
      </c>
      <c r="BD67" s="178">
        <f t="shared" si="39"/>
        <v>0</v>
      </c>
      <c r="BE67" s="244">
        <f t="shared" si="40"/>
        <v>1</v>
      </c>
      <c r="BF67" s="245">
        <f t="shared" si="41"/>
        <v>866</v>
      </c>
      <c r="BH67" s="255">
        <f t="shared" si="42"/>
        <v>0</v>
      </c>
      <c r="BI67" s="255">
        <f t="shared" si="43"/>
        <v>12.0472</v>
      </c>
      <c r="BJ67" s="255">
        <f t="shared" si="44"/>
        <v>0</v>
      </c>
      <c r="BK67" s="256">
        <f t="shared" si="45"/>
        <v>6.0084839999999993</v>
      </c>
      <c r="BL67" s="262">
        <f t="shared" si="46"/>
        <v>0</v>
      </c>
      <c r="BM67" s="257">
        <f t="shared" si="47"/>
        <v>18.055683999999999</v>
      </c>
      <c r="BO67" s="714">
        <f t="shared" si="6"/>
        <v>20.849519630484991</v>
      </c>
    </row>
    <row r="68" spans="2:67" ht="15" customHeight="1" x14ac:dyDescent="0.25">
      <c r="B68" s="19">
        <f t="shared" si="48"/>
        <v>23</v>
      </c>
      <c r="C68" s="44" t="s">
        <v>576</v>
      </c>
      <c r="D68" s="45"/>
      <c r="E68" s="105" t="s">
        <v>94</v>
      </c>
      <c r="G68" s="477">
        <f>'[15]TUoS (t)'!G63</f>
        <v>0</v>
      </c>
      <c r="H68" s="479"/>
      <c r="I68" s="483">
        <f>'[15]TUoS (t)'!I63</f>
        <v>1.7600000000000001E-2</v>
      </c>
      <c r="J68" s="461"/>
      <c r="K68" s="484">
        <f>'[15]TUoS (t)'!K63</f>
        <v>1.0999999999999999E-2</v>
      </c>
      <c r="L68" s="461"/>
      <c r="M68" s="461"/>
      <c r="N68" s="461"/>
      <c r="O68" s="462"/>
      <c r="P68" s="461"/>
      <c r="Q68" s="461"/>
      <c r="R68" s="462"/>
      <c r="S68" s="478">
        <f>'[15]TUoS (t)'!S63</f>
        <v>0.10829999999999999</v>
      </c>
      <c r="T68" s="483">
        <f>'[15]TUoS (t)'!T63</f>
        <v>0</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
        <v>0</v>
      </c>
      <c r="AP68" s="184">
        <f t="shared" ref="AP68:AW83" si="49">H68*Y68</f>
        <v>0</v>
      </c>
      <c r="AQ68" s="178">
        <f t="shared" si="49"/>
        <v>64.310400000000001</v>
      </c>
      <c r="AR68" s="178">
        <f t="shared" si="49"/>
        <v>0</v>
      </c>
      <c r="AS68" s="179">
        <f t="shared" si="49"/>
        <v>61.720999999999997</v>
      </c>
      <c r="AT68" s="178">
        <f t="shared" si="49"/>
        <v>0</v>
      </c>
      <c r="AU68" s="178">
        <f t="shared" si="49"/>
        <v>0</v>
      </c>
      <c r="AV68" s="178">
        <f t="shared" si="49"/>
        <v>0</v>
      </c>
      <c r="AW68" s="179">
        <f t="shared" si="49"/>
        <v>0</v>
      </c>
      <c r="AX68" s="178">
        <f t="shared" si="22"/>
        <v>0</v>
      </c>
      <c r="AY68" s="178">
        <f t="shared" si="22"/>
        <v>0</v>
      </c>
      <c r="AZ68" s="179">
        <f t="shared" si="22"/>
        <v>0</v>
      </c>
      <c r="BA68" s="184">
        <f t="shared" si="22"/>
        <v>120.16968</v>
      </c>
      <c r="BB68" s="178">
        <f t="shared" si="22"/>
        <v>0</v>
      </c>
      <c r="BC68" s="184">
        <f t="shared" si="22"/>
        <v>0</v>
      </c>
      <c r="BD68" s="178">
        <f t="shared" si="22"/>
        <v>0</v>
      </c>
      <c r="BE68" s="244">
        <f t="shared" si="3"/>
        <v>1</v>
      </c>
      <c r="BF68" s="245">
        <f t="shared" si="23"/>
        <v>9265</v>
      </c>
      <c r="BH68" s="255">
        <f>SUM(AO68)</f>
        <v>0</v>
      </c>
      <c r="BI68" s="255">
        <f>SUM(AP68:AS68)</f>
        <v>126.03139999999999</v>
      </c>
      <c r="BJ68" s="255">
        <f>SUM(AT68:AW68)</f>
        <v>0</v>
      </c>
      <c r="BK68" s="256">
        <f>SUM(AX68:BB68)</f>
        <v>120.16968</v>
      </c>
      <c r="BL68" s="262">
        <f>SUM(BC68:BD68)</f>
        <v>0</v>
      </c>
      <c r="BM68" s="257">
        <f t="shared" si="5"/>
        <v>246.20107999999999</v>
      </c>
      <c r="BO68" s="714">
        <f t="shared" si="6"/>
        <v>26.573241230437127</v>
      </c>
    </row>
    <row r="69" spans="2:67" ht="15" customHeight="1" x14ac:dyDescent="0.25">
      <c r="B69" s="26">
        <f t="shared" si="48"/>
        <v>24</v>
      </c>
      <c r="C69" s="841" t="s">
        <v>632</v>
      </c>
      <c r="D69" s="56"/>
      <c r="E69" s="109" t="s">
        <v>652</v>
      </c>
      <c r="G69" s="477">
        <f>'[15]TUoS (t)'!G64</f>
        <v>0</v>
      </c>
      <c r="H69" s="479"/>
      <c r="I69" s="483">
        <f>'[15]TUoS (t)'!I64</f>
        <v>1.7600000000000001E-2</v>
      </c>
      <c r="J69" s="461"/>
      <c r="K69" s="484">
        <f>'[15]TUoS (t)'!K64</f>
        <v>1.0999999999999999E-2</v>
      </c>
      <c r="L69" s="461"/>
      <c r="M69" s="461"/>
      <c r="N69" s="461"/>
      <c r="O69" s="462"/>
      <c r="P69" s="483">
        <f>'[15]TUoS (t)'!P64</f>
        <v>0.3926</v>
      </c>
      <c r="Q69" s="461"/>
      <c r="R69" s="462"/>
      <c r="S69" s="479"/>
      <c r="T69" s="483">
        <f>'[15]TUoS (t)'!T64</f>
        <v>0</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0</v>
      </c>
      <c r="AP69" s="184">
        <f t="shared" si="49"/>
        <v>0</v>
      </c>
      <c r="AQ69" s="178">
        <f t="shared" si="49"/>
        <v>19.008000000000003</v>
      </c>
      <c r="AR69" s="178">
        <f t="shared" si="49"/>
        <v>0</v>
      </c>
      <c r="AS69" s="179">
        <f t="shared" si="49"/>
        <v>18.369999999999997</v>
      </c>
      <c r="AT69" s="178">
        <f t="shared" si="49"/>
        <v>0</v>
      </c>
      <c r="AU69" s="178">
        <f t="shared" si="49"/>
        <v>0</v>
      </c>
      <c r="AV69" s="178">
        <f t="shared" si="49"/>
        <v>0</v>
      </c>
      <c r="AW69" s="179">
        <f t="shared" si="49"/>
        <v>0</v>
      </c>
      <c r="AX69" s="178">
        <f t="shared" si="22"/>
        <v>47.485362600000002</v>
      </c>
      <c r="AY69" s="178">
        <f t="shared" si="22"/>
        <v>0</v>
      </c>
      <c r="AZ69" s="179">
        <f t="shared" si="22"/>
        <v>0</v>
      </c>
      <c r="BA69" s="184">
        <f t="shared" si="22"/>
        <v>0</v>
      </c>
      <c r="BB69" s="178">
        <f t="shared" si="22"/>
        <v>0</v>
      </c>
      <c r="BC69" s="184">
        <f t="shared" si="22"/>
        <v>0</v>
      </c>
      <c r="BD69" s="178">
        <f t="shared" si="22"/>
        <v>0</v>
      </c>
      <c r="BE69" s="244">
        <f t="shared" si="3"/>
        <v>1</v>
      </c>
      <c r="BF69" s="245">
        <f t="shared" si="23"/>
        <v>2750</v>
      </c>
      <c r="BH69" s="255">
        <f>SUM(AO69)</f>
        <v>0</v>
      </c>
      <c r="BI69" s="255">
        <f>SUM(AP69:AS69)</f>
        <v>37.378</v>
      </c>
      <c r="BJ69" s="255">
        <f>SUM(AT69:AW69)</f>
        <v>0</v>
      </c>
      <c r="BK69" s="256">
        <f>SUM(AX69:BB69)</f>
        <v>47.485362600000002</v>
      </c>
      <c r="BL69" s="262">
        <f>SUM(BC69:BD69)</f>
        <v>0</v>
      </c>
      <c r="BM69" s="257">
        <f t="shared" si="5"/>
        <v>84.863362600000002</v>
      </c>
      <c r="BO69" s="714">
        <f t="shared" si="6"/>
        <v>30.859404581818186</v>
      </c>
    </row>
    <row r="70" spans="2:67" ht="15" customHeight="1" x14ac:dyDescent="0.25">
      <c r="B70" s="30" t="s">
        <v>101</v>
      </c>
      <c r="C70" s="14" t="s">
        <v>102</v>
      </c>
      <c r="D70" s="14"/>
      <c r="E70" s="99"/>
      <c r="G70" s="494"/>
      <c r="H70" s="495"/>
      <c r="I70" s="496"/>
      <c r="J70" s="496"/>
      <c r="K70" s="497"/>
      <c r="L70" s="496"/>
      <c r="M70" s="496"/>
      <c r="N70" s="496"/>
      <c r="O70" s="497"/>
      <c r="P70" s="496"/>
      <c r="Q70" s="496"/>
      <c r="R70" s="497"/>
      <c r="S70" s="495"/>
      <c r="T70" s="496"/>
      <c r="U70" s="495"/>
      <c r="V70" s="497"/>
      <c r="X70" s="205"/>
      <c r="Y70" s="206"/>
      <c r="Z70" s="207"/>
      <c r="AA70" s="207"/>
      <c r="AB70" s="208"/>
      <c r="AC70" s="207"/>
      <c r="AD70" s="207"/>
      <c r="AE70" s="207"/>
      <c r="AF70" s="208"/>
      <c r="AG70" s="207"/>
      <c r="AH70" s="207"/>
      <c r="AI70" s="208"/>
      <c r="AJ70" s="206"/>
      <c r="AK70" s="207"/>
      <c r="AL70" s="206"/>
      <c r="AM70" s="208"/>
      <c r="AO70" s="205">
        <f t="shared" si="2"/>
        <v>0</v>
      </c>
      <c r="AP70" s="206">
        <f t="shared" si="49"/>
        <v>0</v>
      </c>
      <c r="AQ70" s="207">
        <f t="shared" si="49"/>
        <v>0</v>
      </c>
      <c r="AR70" s="207">
        <f t="shared" si="49"/>
        <v>0</v>
      </c>
      <c r="AS70" s="208">
        <f t="shared" si="49"/>
        <v>0</v>
      </c>
      <c r="AT70" s="207">
        <f t="shared" si="49"/>
        <v>0</v>
      </c>
      <c r="AU70" s="207">
        <f t="shared" si="49"/>
        <v>0</v>
      </c>
      <c r="AV70" s="207">
        <f t="shared" si="49"/>
        <v>0</v>
      </c>
      <c r="AW70" s="208">
        <f t="shared" si="49"/>
        <v>0</v>
      </c>
      <c r="AX70" s="207">
        <f t="shared" si="22"/>
        <v>0</v>
      </c>
      <c r="AY70" s="207">
        <f t="shared" si="22"/>
        <v>0</v>
      </c>
      <c r="AZ70" s="208">
        <f t="shared" si="22"/>
        <v>0</v>
      </c>
      <c r="BA70" s="206">
        <f t="shared" si="22"/>
        <v>0</v>
      </c>
      <c r="BB70" s="207">
        <f t="shared" si="22"/>
        <v>0</v>
      </c>
      <c r="BC70" s="206">
        <f t="shared" si="22"/>
        <v>0</v>
      </c>
      <c r="BD70" s="207">
        <f t="shared" si="22"/>
        <v>0</v>
      </c>
      <c r="BE70" s="242">
        <f t="shared" si="3"/>
        <v>0</v>
      </c>
      <c r="BF70" s="243">
        <f t="shared" si="23"/>
        <v>0</v>
      </c>
      <c r="BH70" s="253">
        <f>SUBTOTAL(9,BH71:BH93)</f>
        <v>302.07400000000001</v>
      </c>
      <c r="BI70" s="253">
        <f>SUBTOTAL(9,BI71:BI93)</f>
        <v>7417.3851999999997</v>
      </c>
      <c r="BJ70" s="253">
        <f>SUBTOTAL(9,BJ71:BJ93)</f>
        <v>0</v>
      </c>
      <c r="BK70" s="253">
        <f>SUBTOTAL(9,BK71:BK93)</f>
        <v>6849.5767139999998</v>
      </c>
      <c r="BL70" s="253">
        <f>SUBTOTAL(9,BL71:BL93)</f>
        <v>0</v>
      </c>
      <c r="BM70" s="257">
        <f t="shared" si="5"/>
        <v>14569.035914</v>
      </c>
      <c r="BO70" s="714" t="str">
        <f t="shared" si="6"/>
        <v/>
      </c>
    </row>
    <row r="71" spans="2:67" ht="15" customHeight="1" x14ac:dyDescent="0.25">
      <c r="B71" s="19"/>
      <c r="C71" s="36" t="s">
        <v>103</v>
      </c>
      <c r="D71" s="85"/>
      <c r="E71" s="85"/>
      <c r="G71" s="482"/>
      <c r="H71" s="479"/>
      <c r="I71" s="461"/>
      <c r="J71" s="461"/>
      <c r="K71" s="462"/>
      <c r="L71" s="461"/>
      <c r="M71" s="461"/>
      <c r="N71" s="461"/>
      <c r="O71" s="462"/>
      <c r="P71" s="461"/>
      <c r="Q71" s="461"/>
      <c r="R71" s="462"/>
      <c r="S71" s="479"/>
      <c r="T71" s="461"/>
      <c r="U71" s="479"/>
      <c r="V71" s="462"/>
      <c r="X71" s="183"/>
      <c r="Y71" s="184"/>
      <c r="Z71" s="178"/>
      <c r="AA71" s="178"/>
      <c r="AB71" s="179"/>
      <c r="AC71" s="178"/>
      <c r="AD71" s="178"/>
      <c r="AE71" s="178"/>
      <c r="AF71" s="179"/>
      <c r="AG71" s="178"/>
      <c r="AH71" s="178"/>
      <c r="AI71" s="179"/>
      <c r="AJ71" s="184"/>
      <c r="AK71" s="178"/>
      <c r="AL71" s="184"/>
      <c r="AM71" s="179"/>
      <c r="AO71" s="183">
        <f t="shared" si="2"/>
        <v>0</v>
      </c>
      <c r="AP71" s="184">
        <f t="shared" si="49"/>
        <v>0</v>
      </c>
      <c r="AQ71" s="178">
        <f t="shared" si="49"/>
        <v>0</v>
      </c>
      <c r="AR71" s="178">
        <f t="shared" si="49"/>
        <v>0</v>
      </c>
      <c r="AS71" s="179">
        <f t="shared" si="49"/>
        <v>0</v>
      </c>
      <c r="AT71" s="178">
        <f t="shared" si="49"/>
        <v>0</v>
      </c>
      <c r="AU71" s="178">
        <f t="shared" si="49"/>
        <v>0</v>
      </c>
      <c r="AV71" s="178">
        <f t="shared" si="49"/>
        <v>0</v>
      </c>
      <c r="AW71" s="179">
        <f t="shared" si="49"/>
        <v>0</v>
      </c>
      <c r="AX71" s="178">
        <f t="shared" si="22"/>
        <v>0</v>
      </c>
      <c r="AY71" s="178">
        <f t="shared" si="22"/>
        <v>0</v>
      </c>
      <c r="AZ71" s="179">
        <f t="shared" si="22"/>
        <v>0</v>
      </c>
      <c r="BA71" s="184">
        <f t="shared" si="22"/>
        <v>0</v>
      </c>
      <c r="BB71" s="178">
        <f t="shared" si="22"/>
        <v>0</v>
      </c>
      <c r="BC71" s="184">
        <f t="shared" si="22"/>
        <v>0</v>
      </c>
      <c r="BD71" s="178">
        <f t="shared" si="22"/>
        <v>0</v>
      </c>
      <c r="BE71" s="244">
        <f t="shared" si="3"/>
        <v>0</v>
      </c>
      <c r="BF71" s="245">
        <f t="shared" si="23"/>
        <v>0</v>
      </c>
      <c r="BH71" s="252">
        <f>SUBTOTAL(9,BH72:BH77)</f>
        <v>0</v>
      </c>
      <c r="BI71" s="252">
        <f>SUBTOTAL(9,BI72:BI77)</f>
        <v>7005.0147999999999</v>
      </c>
      <c r="BJ71" s="252">
        <f>SUBTOTAL(9,BJ72:BJ77)</f>
        <v>0</v>
      </c>
      <c r="BK71" s="252">
        <f>SUBTOTAL(9,BK72:BK77)</f>
        <v>6632.4938764999997</v>
      </c>
      <c r="BL71" s="252">
        <f>SUBTOTAL(9,BL72:BL77)</f>
        <v>0</v>
      </c>
      <c r="BM71" s="257">
        <f t="shared" si="5"/>
        <v>13637.5086765</v>
      </c>
      <c r="BO71" s="714" t="str">
        <f t="shared" si="6"/>
        <v/>
      </c>
    </row>
    <row r="72" spans="2:67" ht="15" customHeight="1" x14ac:dyDescent="0.25">
      <c r="B72" s="19">
        <v>1</v>
      </c>
      <c r="C72" s="44" t="s">
        <v>585</v>
      </c>
      <c r="D72" s="45" t="s">
        <v>586</v>
      </c>
      <c r="E72" s="105" t="s">
        <v>104</v>
      </c>
      <c r="G72" s="477">
        <f>'[15]TUoS (t)'!G70</f>
        <v>0</v>
      </c>
      <c r="H72" s="479"/>
      <c r="I72" s="483">
        <f>'[15]TUoS (t)'!I70</f>
        <v>1.3100000000000001E-2</v>
      </c>
      <c r="J72" s="461"/>
      <c r="K72" s="484">
        <f>'[15]TUoS (t)'!K70</f>
        <v>8.2000000000000007E-3</v>
      </c>
      <c r="L72" s="461"/>
      <c r="M72" s="461"/>
      <c r="N72" s="461"/>
      <c r="O72" s="462"/>
      <c r="P72" s="461"/>
      <c r="Q72" s="461"/>
      <c r="R72" s="462"/>
      <c r="S72" s="478">
        <f>'[15]TUoS (t)'!S70</f>
        <v>0.10829999999999999</v>
      </c>
      <c r="T72" s="483">
        <f>'[15]TUoS (t)'!T70</f>
        <v>0</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0</v>
      </c>
      <c r="AP72" s="184">
        <f t="shared" si="49"/>
        <v>0</v>
      </c>
      <c r="AQ72" s="178">
        <f t="shared" si="49"/>
        <v>3968.3044</v>
      </c>
      <c r="AR72" s="178">
        <f t="shared" si="49"/>
        <v>0</v>
      </c>
      <c r="AS72" s="179">
        <f t="shared" si="49"/>
        <v>2332.2604000000001</v>
      </c>
      <c r="AT72" s="178">
        <f t="shared" si="49"/>
        <v>0</v>
      </c>
      <c r="AU72" s="178">
        <f t="shared" si="49"/>
        <v>0</v>
      </c>
      <c r="AV72" s="178">
        <f t="shared" si="49"/>
        <v>0</v>
      </c>
      <c r="AW72" s="179">
        <f t="shared" si="49"/>
        <v>0</v>
      </c>
      <c r="AX72" s="178">
        <f t="shared" si="22"/>
        <v>0</v>
      </c>
      <c r="AY72" s="178">
        <f t="shared" si="22"/>
        <v>0</v>
      </c>
      <c r="AZ72" s="179">
        <f t="shared" si="22"/>
        <v>0</v>
      </c>
      <c r="BA72" s="184">
        <f t="shared" si="22"/>
        <v>5961.6547189999992</v>
      </c>
      <c r="BB72" s="178">
        <f t="shared" si="22"/>
        <v>0</v>
      </c>
      <c r="BC72" s="184">
        <f t="shared" si="22"/>
        <v>0</v>
      </c>
      <c r="BD72" s="178">
        <f t="shared" si="22"/>
        <v>0</v>
      </c>
      <c r="BE72" s="244">
        <f t="shared" si="3"/>
        <v>149</v>
      </c>
      <c r="BF72" s="245">
        <f t="shared" si="23"/>
        <v>587346</v>
      </c>
      <c r="BH72" s="255">
        <f t="shared" ref="BH72:BH92" si="50">SUM(AO72)</f>
        <v>0</v>
      </c>
      <c r="BI72" s="255">
        <f t="shared" ref="BI72:BI92" si="51">SUM(AP72:AS72)</f>
        <v>6300.5648000000001</v>
      </c>
      <c r="BJ72" s="255">
        <f t="shared" ref="BJ72:BJ92" si="52">SUM(AT72:AW72)</f>
        <v>0</v>
      </c>
      <c r="BK72" s="256">
        <f t="shared" ref="BK72:BK92" si="53">SUM(AX72:BB72)</f>
        <v>5961.6547189999992</v>
      </c>
      <c r="BL72" s="262">
        <f t="shared" ref="BL72:BL92" si="54">SUM(BC72:BD72)</f>
        <v>0</v>
      </c>
      <c r="BM72" s="257">
        <f t="shared" si="5"/>
        <v>12262.219518999998</v>
      </c>
      <c r="BO72" s="714">
        <f t="shared" si="6"/>
        <v>20.877335538166594</v>
      </c>
    </row>
    <row r="73" spans="2:67" ht="15" customHeight="1" x14ac:dyDescent="0.25">
      <c r="B73" s="19">
        <f>B72+1</f>
        <v>2</v>
      </c>
      <c r="C73" s="44" t="s">
        <v>587</v>
      </c>
      <c r="D73" s="45" t="s">
        <v>588</v>
      </c>
      <c r="E73" s="105" t="s">
        <v>105</v>
      </c>
      <c r="G73" s="477">
        <f>'[15]TUoS (t)'!G71</f>
        <v>0</v>
      </c>
      <c r="H73" s="479"/>
      <c r="I73" s="483">
        <f>'[15]TUoS (t)'!I71</f>
        <v>1.3100000000000001E-2</v>
      </c>
      <c r="J73" s="461"/>
      <c r="K73" s="484">
        <f>'[15]TUoS (t)'!K71</f>
        <v>8.2000000000000007E-3</v>
      </c>
      <c r="L73" s="461"/>
      <c r="M73" s="461"/>
      <c r="N73" s="461"/>
      <c r="O73" s="462"/>
      <c r="P73" s="483">
        <f>'[15]TUoS (t)'!P71</f>
        <v>0.3926</v>
      </c>
      <c r="Q73" s="461"/>
      <c r="R73" s="462"/>
      <c r="S73" s="479"/>
      <c r="T73" s="483">
        <f>'[15]TUoS (t)'!T71</f>
        <v>0</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0</v>
      </c>
      <c r="AP73" s="184">
        <f t="shared" si="49"/>
        <v>0</v>
      </c>
      <c r="AQ73" s="178">
        <f t="shared" si="49"/>
        <v>339.29</v>
      </c>
      <c r="AR73" s="178">
        <f t="shared" si="49"/>
        <v>0</v>
      </c>
      <c r="AS73" s="179">
        <f t="shared" si="49"/>
        <v>205.00000000000003</v>
      </c>
      <c r="AT73" s="178">
        <f t="shared" si="49"/>
        <v>0</v>
      </c>
      <c r="AU73" s="178">
        <f t="shared" si="49"/>
        <v>0</v>
      </c>
      <c r="AV73" s="178">
        <f t="shared" si="49"/>
        <v>0</v>
      </c>
      <c r="AW73" s="179">
        <f t="shared" si="49"/>
        <v>0</v>
      </c>
      <c r="AX73" s="178">
        <f t="shared" si="22"/>
        <v>584.23002300000007</v>
      </c>
      <c r="AY73" s="178">
        <f t="shared" si="22"/>
        <v>0</v>
      </c>
      <c r="AZ73" s="179">
        <f t="shared" si="22"/>
        <v>0</v>
      </c>
      <c r="BA73" s="184">
        <f t="shared" si="22"/>
        <v>0</v>
      </c>
      <c r="BB73" s="178">
        <f t="shared" si="22"/>
        <v>0</v>
      </c>
      <c r="BC73" s="184">
        <f t="shared" si="22"/>
        <v>0</v>
      </c>
      <c r="BD73" s="178">
        <f t="shared" si="22"/>
        <v>0</v>
      </c>
      <c r="BE73" s="244">
        <f t="shared" si="3"/>
        <v>14</v>
      </c>
      <c r="BF73" s="245">
        <f t="shared" si="23"/>
        <v>50900</v>
      </c>
      <c r="BH73" s="255">
        <f t="shared" si="50"/>
        <v>0</v>
      </c>
      <c r="BI73" s="255">
        <f t="shared" si="51"/>
        <v>544.29000000000008</v>
      </c>
      <c r="BJ73" s="255">
        <f t="shared" si="52"/>
        <v>0</v>
      </c>
      <c r="BK73" s="256">
        <f t="shared" si="53"/>
        <v>584.23002300000007</v>
      </c>
      <c r="BL73" s="262">
        <f t="shared" si="54"/>
        <v>0</v>
      </c>
      <c r="BM73" s="257">
        <f t="shared" si="5"/>
        <v>1128.520023</v>
      </c>
      <c r="BO73" s="714">
        <f t="shared" si="6"/>
        <v>22.171316758349707</v>
      </c>
    </row>
    <row r="74" spans="2:67" ht="15" customHeight="1" x14ac:dyDescent="0.25">
      <c r="B74" s="19">
        <f>B73+1</f>
        <v>3</v>
      </c>
      <c r="C74" s="833" t="s">
        <v>589</v>
      </c>
      <c r="D74" s="834" t="s">
        <v>590</v>
      </c>
      <c r="E74" s="835" t="s">
        <v>106</v>
      </c>
      <c r="G74" s="477"/>
      <c r="H74" s="479"/>
      <c r="I74" s="483"/>
      <c r="J74" s="461"/>
      <c r="K74" s="484"/>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49"/>
        <v>0</v>
      </c>
      <c r="AQ74" s="178">
        <f t="shared" si="49"/>
        <v>0</v>
      </c>
      <c r="AR74" s="178">
        <f t="shared" si="49"/>
        <v>0</v>
      </c>
      <c r="AS74" s="179">
        <f t="shared" si="49"/>
        <v>0</v>
      </c>
      <c r="AT74" s="178">
        <f t="shared" si="49"/>
        <v>0</v>
      </c>
      <c r="AU74" s="178">
        <f t="shared" si="49"/>
        <v>0</v>
      </c>
      <c r="AV74" s="178">
        <f t="shared" si="49"/>
        <v>0</v>
      </c>
      <c r="AW74" s="179">
        <f t="shared" si="49"/>
        <v>0</v>
      </c>
      <c r="AX74" s="178">
        <f t="shared" si="22"/>
        <v>0</v>
      </c>
      <c r="AY74" s="178">
        <f t="shared" si="22"/>
        <v>0</v>
      </c>
      <c r="AZ74" s="179">
        <f t="shared" si="22"/>
        <v>0</v>
      </c>
      <c r="BA74" s="184">
        <f t="shared" si="22"/>
        <v>0</v>
      </c>
      <c r="BB74" s="178">
        <f t="shared" si="22"/>
        <v>0</v>
      </c>
      <c r="BC74" s="184">
        <f t="shared" si="22"/>
        <v>0</v>
      </c>
      <c r="BD74" s="178">
        <f t="shared" si="22"/>
        <v>0</v>
      </c>
      <c r="BE74" s="244">
        <f t="shared" si="3"/>
        <v>0</v>
      </c>
      <c r="BF74" s="245">
        <f t="shared" si="23"/>
        <v>0</v>
      </c>
      <c r="BH74" s="255">
        <f t="shared" si="50"/>
        <v>0</v>
      </c>
      <c r="BI74" s="255">
        <f t="shared" si="51"/>
        <v>0</v>
      </c>
      <c r="BJ74" s="255">
        <f t="shared" si="52"/>
        <v>0</v>
      </c>
      <c r="BK74" s="256">
        <f t="shared" si="53"/>
        <v>0</v>
      </c>
      <c r="BL74" s="262">
        <f t="shared" si="54"/>
        <v>0</v>
      </c>
      <c r="BM74" s="257">
        <f t="shared" si="5"/>
        <v>0</v>
      </c>
      <c r="BO74" s="714" t="str">
        <f t="shared" si="6"/>
        <v/>
      </c>
    </row>
    <row r="75" spans="2:67" ht="15" customHeight="1" x14ac:dyDescent="0.25">
      <c r="B75" s="19">
        <f>B74+1</f>
        <v>4</v>
      </c>
      <c r="C75" s="44" t="s">
        <v>107</v>
      </c>
      <c r="D75" s="45" t="s">
        <v>107</v>
      </c>
      <c r="E75" s="105" t="s">
        <v>108</v>
      </c>
      <c r="G75" s="477">
        <f>'[15]TUoS (t)'!G73</f>
        <v>0</v>
      </c>
      <c r="H75" s="478">
        <f>'[15]TUoS (t)'!H73</f>
        <v>2.0299999999999999E-2</v>
      </c>
      <c r="I75" s="461"/>
      <c r="J75" s="461"/>
      <c r="K75" s="462"/>
      <c r="L75" s="461"/>
      <c r="M75" s="461"/>
      <c r="N75" s="461"/>
      <c r="O75" s="462"/>
      <c r="P75" s="461"/>
      <c r="Q75" s="483">
        <f>'[15]TUoS (t)'!Q73</f>
        <v>8.6800000000000002E-2</v>
      </c>
      <c r="R75" s="484">
        <f>'[15]TUoS (t)'!R73</f>
        <v>4.2900000000000001E-2</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49"/>
        <v>0</v>
      </c>
      <c r="AQ75" s="178">
        <f t="shared" si="49"/>
        <v>0</v>
      </c>
      <c r="AR75" s="178">
        <f t="shared" si="49"/>
        <v>0</v>
      </c>
      <c r="AS75" s="179">
        <f t="shared" si="49"/>
        <v>0</v>
      </c>
      <c r="AT75" s="178">
        <f t="shared" si="49"/>
        <v>0</v>
      </c>
      <c r="AU75" s="178">
        <f t="shared" si="49"/>
        <v>0</v>
      </c>
      <c r="AV75" s="178">
        <f t="shared" si="49"/>
        <v>0</v>
      </c>
      <c r="AW75" s="179">
        <f t="shared" si="49"/>
        <v>0</v>
      </c>
      <c r="AX75" s="178">
        <f t="shared" si="22"/>
        <v>0</v>
      </c>
      <c r="AY75" s="178">
        <f t="shared" si="22"/>
        <v>0</v>
      </c>
      <c r="AZ75" s="179">
        <f t="shared" si="22"/>
        <v>0</v>
      </c>
      <c r="BA75" s="184">
        <f t="shared" si="22"/>
        <v>0</v>
      </c>
      <c r="BB75" s="178">
        <f t="shared" si="22"/>
        <v>0</v>
      </c>
      <c r="BC75" s="184">
        <f t="shared" si="22"/>
        <v>0</v>
      </c>
      <c r="BD75" s="178">
        <f t="shared" si="22"/>
        <v>0</v>
      </c>
      <c r="BE75" s="244">
        <f t="shared" si="3"/>
        <v>0</v>
      </c>
      <c r="BF75" s="245">
        <f t="shared" si="23"/>
        <v>0</v>
      </c>
      <c r="BH75" s="255">
        <f t="shared" si="50"/>
        <v>0</v>
      </c>
      <c r="BI75" s="255">
        <f t="shared" si="51"/>
        <v>0</v>
      </c>
      <c r="BJ75" s="255">
        <f t="shared" si="52"/>
        <v>0</v>
      </c>
      <c r="BK75" s="256">
        <f t="shared" si="53"/>
        <v>0</v>
      </c>
      <c r="BL75" s="262">
        <f t="shared" si="54"/>
        <v>0</v>
      </c>
      <c r="BM75" s="257">
        <f t="shared" si="5"/>
        <v>0</v>
      </c>
      <c r="BO75" s="714" t="str">
        <f t="shared" si="6"/>
        <v/>
      </c>
    </row>
    <row r="76" spans="2:67" ht="15" customHeight="1" x14ac:dyDescent="0.25">
      <c r="B76" s="19">
        <f>B75+1</f>
        <v>5</v>
      </c>
      <c r="C76" s="845" t="s">
        <v>591</v>
      </c>
      <c r="D76" s="76" t="s">
        <v>592</v>
      </c>
      <c r="E76" s="105" t="s">
        <v>109</v>
      </c>
      <c r="G76" s="477">
        <f>'[15]TUoS (t)'!G74</f>
        <v>0</v>
      </c>
      <c r="H76" s="479"/>
      <c r="I76" s="483">
        <f>'[15]TUoS (t)'!I74</f>
        <v>1.7600000000000001E-2</v>
      </c>
      <c r="J76" s="461"/>
      <c r="K76" s="484">
        <f>'[15]TUoS (t)'!K74</f>
        <v>1.0999999999999999E-2</v>
      </c>
      <c r="L76" s="461"/>
      <c r="M76" s="461"/>
      <c r="N76" s="461"/>
      <c r="O76" s="462"/>
      <c r="P76" s="461"/>
      <c r="Q76" s="461"/>
      <c r="R76" s="462"/>
      <c r="S76" s="478">
        <f>'[15]TUoS (t)'!S74</f>
        <v>0.10829999999999999</v>
      </c>
      <c r="T76" s="483">
        <f>'[15]TUoS (t)'!T74</f>
        <v>0</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0</v>
      </c>
      <c r="AP76" s="184">
        <f t="shared" si="49"/>
        <v>0</v>
      </c>
      <c r="AQ76" s="178">
        <f t="shared" si="49"/>
        <v>107.36</v>
      </c>
      <c r="AR76" s="178">
        <f t="shared" si="49"/>
        <v>0</v>
      </c>
      <c r="AS76" s="179">
        <f t="shared" si="49"/>
        <v>52.8</v>
      </c>
      <c r="AT76" s="178">
        <f t="shared" si="49"/>
        <v>0</v>
      </c>
      <c r="AU76" s="178">
        <f t="shared" si="49"/>
        <v>0</v>
      </c>
      <c r="AV76" s="178">
        <f t="shared" si="49"/>
        <v>0</v>
      </c>
      <c r="AW76" s="179">
        <f t="shared" si="49"/>
        <v>0</v>
      </c>
      <c r="AX76" s="178">
        <f t="shared" si="22"/>
        <v>0</v>
      </c>
      <c r="AY76" s="178">
        <f t="shared" si="22"/>
        <v>0</v>
      </c>
      <c r="AZ76" s="179">
        <f t="shared" si="22"/>
        <v>0</v>
      </c>
      <c r="BA76" s="184">
        <f t="shared" si="22"/>
        <v>86.609134499999996</v>
      </c>
      <c r="BB76" s="178">
        <f t="shared" si="22"/>
        <v>0</v>
      </c>
      <c r="BC76" s="184">
        <f t="shared" si="22"/>
        <v>0</v>
      </c>
      <c r="BD76" s="178">
        <f t="shared" si="22"/>
        <v>0</v>
      </c>
      <c r="BE76" s="244">
        <f t="shared" si="3"/>
        <v>24</v>
      </c>
      <c r="BF76" s="245">
        <f t="shared" si="23"/>
        <v>10900</v>
      </c>
      <c r="BH76" s="255">
        <f t="shared" si="50"/>
        <v>0</v>
      </c>
      <c r="BI76" s="255">
        <f t="shared" si="51"/>
        <v>160.16</v>
      </c>
      <c r="BJ76" s="255">
        <f t="shared" si="52"/>
        <v>0</v>
      </c>
      <c r="BK76" s="256">
        <f t="shared" si="53"/>
        <v>86.609134499999996</v>
      </c>
      <c r="BL76" s="262">
        <f t="shared" si="54"/>
        <v>0</v>
      </c>
      <c r="BM76" s="257">
        <f t="shared" si="5"/>
        <v>246.76913450000001</v>
      </c>
      <c r="BO76" s="714">
        <f t="shared" si="6"/>
        <v>22.63937013761468</v>
      </c>
    </row>
    <row r="77" spans="2:67" ht="15" customHeight="1" x14ac:dyDescent="0.25">
      <c r="B77" s="19">
        <f>B76+1</f>
        <v>6</v>
      </c>
      <c r="C77" s="44" t="s">
        <v>593</v>
      </c>
      <c r="D77" s="45" t="s">
        <v>594</v>
      </c>
      <c r="E77" s="105" t="s">
        <v>110</v>
      </c>
      <c r="G77" s="477">
        <f>'[15]TUoS (t)'!G75</f>
        <v>0</v>
      </c>
      <c r="H77" s="479"/>
      <c r="I77" s="483">
        <f>'[15]TUoS (t)'!I75</f>
        <v>0</v>
      </c>
      <c r="J77" s="461"/>
      <c r="K77" s="484">
        <f>'[15]TUoS (t)'!K75</f>
        <v>0</v>
      </c>
      <c r="L77" s="461"/>
      <c r="M77" s="461"/>
      <c r="N77" s="461"/>
      <c r="O77" s="462"/>
      <c r="P77" s="461"/>
      <c r="Q77" s="461"/>
      <c r="R77" s="462"/>
      <c r="S77" s="478">
        <f>'[15]TUoS (t)'!S75</f>
        <v>0.10829999999999999</v>
      </c>
      <c r="T77" s="483">
        <f>'[15]TUoS (t)'!T75</f>
        <v>0</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49"/>
        <v>0</v>
      </c>
      <c r="AQ77" s="178">
        <f t="shared" si="49"/>
        <v>0</v>
      </c>
      <c r="AR77" s="178">
        <f t="shared" si="49"/>
        <v>0</v>
      </c>
      <c r="AS77" s="179">
        <f t="shared" si="49"/>
        <v>0</v>
      </c>
      <c r="AT77" s="178">
        <f t="shared" si="49"/>
        <v>0</v>
      </c>
      <c r="AU77" s="178">
        <f t="shared" si="49"/>
        <v>0</v>
      </c>
      <c r="AV77" s="178">
        <f t="shared" si="49"/>
        <v>0</v>
      </c>
      <c r="AW77" s="179">
        <f t="shared" si="49"/>
        <v>0</v>
      </c>
      <c r="AX77" s="178">
        <f t="shared" si="22"/>
        <v>0</v>
      </c>
      <c r="AY77" s="178">
        <f t="shared" si="22"/>
        <v>0</v>
      </c>
      <c r="AZ77" s="179">
        <f t="shared" si="22"/>
        <v>0</v>
      </c>
      <c r="BA77" s="184">
        <f t="shared" si="22"/>
        <v>0</v>
      </c>
      <c r="BB77" s="178">
        <f t="shared" si="22"/>
        <v>0</v>
      </c>
      <c r="BC77" s="184">
        <f t="shared" si="22"/>
        <v>0</v>
      </c>
      <c r="BD77" s="178">
        <f t="shared" si="22"/>
        <v>0</v>
      </c>
      <c r="BE77" s="244">
        <f t="shared" si="3"/>
        <v>9</v>
      </c>
      <c r="BF77" s="245">
        <f t="shared" si="23"/>
        <v>2700</v>
      </c>
      <c r="BH77" s="255">
        <f t="shared" si="50"/>
        <v>0</v>
      </c>
      <c r="BI77" s="255">
        <f t="shared" si="51"/>
        <v>0</v>
      </c>
      <c r="BJ77" s="255">
        <f t="shared" si="52"/>
        <v>0</v>
      </c>
      <c r="BK77" s="256">
        <f t="shared" si="53"/>
        <v>0</v>
      </c>
      <c r="BL77" s="262">
        <f t="shared" si="54"/>
        <v>0</v>
      </c>
      <c r="BM77" s="257">
        <f t="shared" si="5"/>
        <v>0</v>
      </c>
      <c r="BO77" s="714">
        <f t="shared" si="6"/>
        <v>0</v>
      </c>
    </row>
    <row r="78" spans="2:67" ht="15" customHeight="1" x14ac:dyDescent="0.25">
      <c r="B78" s="19"/>
      <c r="C78" s="785"/>
      <c r="D78" s="772"/>
      <c r="E78" s="836"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49"/>
        <v>0</v>
      </c>
      <c r="AQ78" s="178">
        <f t="shared" si="49"/>
        <v>0</v>
      </c>
      <c r="AR78" s="178">
        <f t="shared" si="49"/>
        <v>0</v>
      </c>
      <c r="AS78" s="179">
        <f t="shared" si="49"/>
        <v>0</v>
      </c>
      <c r="AT78" s="178">
        <f t="shared" si="49"/>
        <v>0</v>
      </c>
      <c r="AU78" s="178">
        <f t="shared" si="49"/>
        <v>0</v>
      </c>
      <c r="AV78" s="178">
        <f t="shared" si="49"/>
        <v>0</v>
      </c>
      <c r="AW78" s="179">
        <f t="shared" si="49"/>
        <v>0</v>
      </c>
      <c r="AX78" s="178">
        <f t="shared" si="22"/>
        <v>0</v>
      </c>
      <c r="AY78" s="178">
        <f t="shared" si="22"/>
        <v>0</v>
      </c>
      <c r="AZ78" s="179">
        <f t="shared" si="22"/>
        <v>0</v>
      </c>
      <c r="BA78" s="184">
        <f t="shared" si="22"/>
        <v>0</v>
      </c>
      <c r="BB78" s="178">
        <f t="shared" si="22"/>
        <v>0</v>
      </c>
      <c r="BC78" s="184">
        <f t="shared" si="22"/>
        <v>0</v>
      </c>
      <c r="BD78" s="178">
        <f t="shared" si="22"/>
        <v>0</v>
      </c>
      <c r="BE78" s="244">
        <f t="shared" si="3"/>
        <v>0</v>
      </c>
      <c r="BF78" s="245">
        <f t="shared" si="23"/>
        <v>0</v>
      </c>
      <c r="BH78" s="255">
        <f t="shared" si="50"/>
        <v>0</v>
      </c>
      <c r="BI78" s="255">
        <f t="shared" si="51"/>
        <v>0</v>
      </c>
      <c r="BJ78" s="255">
        <f t="shared" si="52"/>
        <v>0</v>
      </c>
      <c r="BK78" s="256">
        <f t="shared" si="53"/>
        <v>0</v>
      </c>
      <c r="BL78" s="262">
        <f t="shared" si="54"/>
        <v>0</v>
      </c>
      <c r="BM78" s="257">
        <f t="shared" si="5"/>
        <v>0</v>
      </c>
      <c r="BO78" s="714" t="str">
        <f t="shared" si="6"/>
        <v/>
      </c>
    </row>
    <row r="79" spans="2:67" ht="15" customHeight="1" x14ac:dyDescent="0.25">
      <c r="B79" s="19">
        <f>B77+1</f>
        <v>7</v>
      </c>
      <c r="C79" s="833" t="s">
        <v>553</v>
      </c>
      <c r="D79" s="45"/>
      <c r="E79" s="835" t="s">
        <v>104</v>
      </c>
      <c r="G79" s="477">
        <f>'[15]TUoS (t)'!G77</f>
        <v>1232.3</v>
      </c>
      <c r="H79" s="479"/>
      <c r="I79" s="483">
        <f>'[15]TUoS (t)'!I77</f>
        <v>0</v>
      </c>
      <c r="J79" s="461"/>
      <c r="K79" s="484">
        <f>'[15]TUoS (t)'!K77</f>
        <v>0</v>
      </c>
      <c r="L79" s="461"/>
      <c r="M79" s="461"/>
      <c r="N79" s="461"/>
      <c r="O79" s="462"/>
      <c r="P79" s="461"/>
      <c r="Q79" s="461"/>
      <c r="R79" s="462"/>
      <c r="S79" s="478">
        <f>'[15]TUoS (t)'!S77</f>
        <v>0</v>
      </c>
      <c r="T79" s="483">
        <f>'[15]TUoS (t)'!T77</f>
        <v>0</v>
      </c>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49"/>
        <v>0</v>
      </c>
      <c r="AQ79" s="178">
        <f t="shared" si="49"/>
        <v>0</v>
      </c>
      <c r="AR79" s="178">
        <f t="shared" si="49"/>
        <v>0</v>
      </c>
      <c r="AS79" s="179">
        <f t="shared" si="49"/>
        <v>0</v>
      </c>
      <c r="AT79" s="178">
        <f t="shared" si="49"/>
        <v>0</v>
      </c>
      <c r="AU79" s="178">
        <f t="shared" si="49"/>
        <v>0</v>
      </c>
      <c r="AV79" s="178">
        <f t="shared" si="49"/>
        <v>0</v>
      </c>
      <c r="AW79" s="179">
        <f t="shared" si="49"/>
        <v>0</v>
      </c>
      <c r="AX79" s="178">
        <f t="shared" si="22"/>
        <v>0</v>
      </c>
      <c r="AY79" s="178">
        <f t="shared" si="22"/>
        <v>0</v>
      </c>
      <c r="AZ79" s="179">
        <f t="shared" si="22"/>
        <v>0</v>
      </c>
      <c r="BA79" s="184">
        <f t="shared" si="22"/>
        <v>0</v>
      </c>
      <c r="BB79" s="178">
        <f t="shared" si="22"/>
        <v>0</v>
      </c>
      <c r="BC79" s="184">
        <f t="shared" si="22"/>
        <v>0</v>
      </c>
      <c r="BD79" s="178">
        <f t="shared" si="22"/>
        <v>0</v>
      </c>
      <c r="BE79" s="244">
        <f t="shared" si="3"/>
        <v>0</v>
      </c>
      <c r="BF79" s="245">
        <f t="shared" si="23"/>
        <v>0</v>
      </c>
      <c r="BH79" s="255">
        <f t="shared" si="50"/>
        <v>0</v>
      </c>
      <c r="BI79" s="255">
        <f t="shared" si="51"/>
        <v>0</v>
      </c>
      <c r="BJ79" s="255">
        <f t="shared" si="52"/>
        <v>0</v>
      </c>
      <c r="BK79" s="256">
        <f t="shared" si="53"/>
        <v>0</v>
      </c>
      <c r="BL79" s="262">
        <f t="shared" si="54"/>
        <v>0</v>
      </c>
      <c r="BM79" s="257">
        <f t="shared" si="5"/>
        <v>0</v>
      </c>
      <c r="BO79" s="714" t="str">
        <f t="shared" si="6"/>
        <v/>
      </c>
    </row>
    <row r="80" spans="2:67" ht="15" customHeight="1" x14ac:dyDescent="0.25">
      <c r="B80" s="19">
        <f t="shared" ref="B80:B93" si="55">B79+1</f>
        <v>8</v>
      </c>
      <c r="C80" s="833" t="s">
        <v>554</v>
      </c>
      <c r="D80" s="45"/>
      <c r="E80" s="835" t="s">
        <v>104</v>
      </c>
      <c r="G80" s="477">
        <f>'[15]TUoS (t)'!G78</f>
        <v>888.8</v>
      </c>
      <c r="H80" s="479"/>
      <c r="I80" s="483">
        <f>'[15]TUoS (t)'!I78</f>
        <v>0</v>
      </c>
      <c r="J80" s="461"/>
      <c r="K80" s="484">
        <f>'[15]TUoS (t)'!K78</f>
        <v>0</v>
      </c>
      <c r="L80" s="461"/>
      <c r="M80" s="461"/>
      <c r="N80" s="461"/>
      <c r="O80" s="462"/>
      <c r="P80" s="461"/>
      <c r="Q80" s="461"/>
      <c r="R80" s="462"/>
      <c r="S80" s="478">
        <f>'[15]TUoS (t)'!S78</f>
        <v>0</v>
      </c>
      <c r="T80" s="483">
        <f>'[15]TUoS (t)'!T78</f>
        <v>0</v>
      </c>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si="2"/>
        <v>0</v>
      </c>
      <c r="AP80" s="184">
        <f t="shared" si="49"/>
        <v>0</v>
      </c>
      <c r="AQ80" s="178">
        <f t="shared" si="49"/>
        <v>0</v>
      </c>
      <c r="AR80" s="178">
        <f t="shared" si="49"/>
        <v>0</v>
      </c>
      <c r="AS80" s="179">
        <f t="shared" si="49"/>
        <v>0</v>
      </c>
      <c r="AT80" s="178">
        <f t="shared" si="49"/>
        <v>0</v>
      </c>
      <c r="AU80" s="178">
        <f t="shared" si="49"/>
        <v>0</v>
      </c>
      <c r="AV80" s="178">
        <f t="shared" si="49"/>
        <v>0</v>
      </c>
      <c r="AW80" s="179">
        <f t="shared" si="49"/>
        <v>0</v>
      </c>
      <c r="AX80" s="178">
        <f t="shared" si="22"/>
        <v>0</v>
      </c>
      <c r="AY80" s="178">
        <f t="shared" si="22"/>
        <v>0</v>
      </c>
      <c r="AZ80" s="179">
        <f t="shared" si="22"/>
        <v>0</v>
      </c>
      <c r="BA80" s="184">
        <f t="shared" si="22"/>
        <v>0</v>
      </c>
      <c r="BB80" s="178">
        <f t="shared" si="22"/>
        <v>0</v>
      </c>
      <c r="BC80" s="184">
        <f t="shared" si="22"/>
        <v>0</v>
      </c>
      <c r="BD80" s="178">
        <f t="shared" si="22"/>
        <v>0</v>
      </c>
      <c r="BE80" s="244">
        <f t="shared" si="3"/>
        <v>0</v>
      </c>
      <c r="BF80" s="245">
        <f t="shared" ref="BF80:BF111" si="56">SUM(Y80:AF80)</f>
        <v>0</v>
      </c>
      <c r="BH80" s="255">
        <f t="shared" si="50"/>
        <v>0</v>
      </c>
      <c r="BI80" s="255">
        <f t="shared" si="51"/>
        <v>0</v>
      </c>
      <c r="BJ80" s="255">
        <f t="shared" si="52"/>
        <v>0</v>
      </c>
      <c r="BK80" s="256">
        <f t="shared" si="53"/>
        <v>0</v>
      </c>
      <c r="BL80" s="262">
        <f t="shared" si="54"/>
        <v>0</v>
      </c>
      <c r="BM80" s="257">
        <f t="shared" ref="BM80:BM129" si="57">SUM(BH80:BL80)</f>
        <v>0</v>
      </c>
      <c r="BO80" s="714" t="str">
        <f t="shared" si="6"/>
        <v/>
      </c>
    </row>
    <row r="81" spans="2:67" ht="15" customHeight="1" x14ac:dyDescent="0.25">
      <c r="B81" s="19">
        <f t="shared" si="55"/>
        <v>9</v>
      </c>
      <c r="C81" s="44" t="s">
        <v>566</v>
      </c>
      <c r="D81" s="45"/>
      <c r="E81" s="105" t="s">
        <v>104</v>
      </c>
      <c r="G81" s="477">
        <f>'[15]TUoS (t)'!G79</f>
        <v>0</v>
      </c>
      <c r="H81" s="479"/>
      <c r="I81" s="483">
        <f>'[15]TUoS (t)'!I79</f>
        <v>1.3100000000000001E-2</v>
      </c>
      <c r="J81" s="461"/>
      <c r="K81" s="484">
        <f>'[15]TUoS (t)'!K79</f>
        <v>8.2000000000000007E-3</v>
      </c>
      <c r="L81" s="461"/>
      <c r="M81" s="461"/>
      <c r="N81" s="461"/>
      <c r="O81" s="462"/>
      <c r="P81" s="461"/>
      <c r="Q81" s="461"/>
      <c r="R81" s="462"/>
      <c r="S81" s="478">
        <f>'[15]TUoS (t)'!S79</f>
        <v>0.10829999999999999</v>
      </c>
      <c r="T81" s="483">
        <f>'[15]TUoS (t)'!T79</f>
        <v>0</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ref="AO81:AO129" si="58">G81*X81/1000</f>
        <v>0</v>
      </c>
      <c r="AP81" s="184">
        <f t="shared" si="49"/>
        <v>0</v>
      </c>
      <c r="AQ81" s="178">
        <f t="shared" si="49"/>
        <v>83.578000000000003</v>
      </c>
      <c r="AR81" s="178">
        <f t="shared" si="49"/>
        <v>0</v>
      </c>
      <c r="AS81" s="179">
        <f t="shared" si="49"/>
        <v>113.83240000000001</v>
      </c>
      <c r="AT81" s="178">
        <f t="shared" si="49"/>
        <v>0</v>
      </c>
      <c r="AU81" s="178">
        <f t="shared" si="49"/>
        <v>0</v>
      </c>
      <c r="AV81" s="178">
        <f t="shared" si="49"/>
        <v>0</v>
      </c>
      <c r="AW81" s="179">
        <f t="shared" si="49"/>
        <v>0</v>
      </c>
      <c r="AX81" s="178">
        <f t="shared" si="22"/>
        <v>0</v>
      </c>
      <c r="AY81" s="178">
        <f t="shared" si="22"/>
        <v>0</v>
      </c>
      <c r="AZ81" s="179">
        <f t="shared" si="22"/>
        <v>0</v>
      </c>
      <c r="BA81" s="184">
        <f t="shared" si="22"/>
        <v>55.921065999999996</v>
      </c>
      <c r="BB81" s="178">
        <f t="shared" si="22"/>
        <v>0</v>
      </c>
      <c r="BC81" s="184">
        <f t="shared" si="22"/>
        <v>0</v>
      </c>
      <c r="BD81" s="178">
        <f t="shared" si="22"/>
        <v>0</v>
      </c>
      <c r="BE81" s="244">
        <f t="shared" ref="BE81:BE129" si="59">X81/$BE$7</f>
        <v>1</v>
      </c>
      <c r="BF81" s="245">
        <f t="shared" si="56"/>
        <v>20262</v>
      </c>
      <c r="BH81" s="255">
        <f t="shared" si="50"/>
        <v>0</v>
      </c>
      <c r="BI81" s="255">
        <f t="shared" si="51"/>
        <v>197.41040000000001</v>
      </c>
      <c r="BJ81" s="255">
        <f t="shared" si="52"/>
        <v>0</v>
      </c>
      <c r="BK81" s="256">
        <f t="shared" si="53"/>
        <v>55.921065999999996</v>
      </c>
      <c r="BL81" s="262">
        <f t="shared" si="54"/>
        <v>0</v>
      </c>
      <c r="BM81" s="257">
        <f t="shared" si="57"/>
        <v>253.33146600000001</v>
      </c>
      <c r="BO81" s="714">
        <f t="shared" ref="BO81:BO129" si="60">IF(BF81=0,"",BM81*1000/BF81)</f>
        <v>12.50278679301155</v>
      </c>
    </row>
    <row r="82" spans="2:67" ht="15" customHeight="1" x14ac:dyDescent="0.25">
      <c r="B82" s="19">
        <f t="shared" si="55"/>
        <v>10</v>
      </c>
      <c r="C82" s="833" t="s">
        <v>555</v>
      </c>
      <c r="D82" s="45"/>
      <c r="E82" s="835" t="s">
        <v>104</v>
      </c>
      <c r="G82" s="477">
        <f>'[15]TUoS (t)'!G80</f>
        <v>1059.7</v>
      </c>
      <c r="H82" s="479"/>
      <c r="I82" s="483">
        <f>'[15]TUoS (t)'!I80</f>
        <v>0</v>
      </c>
      <c r="J82" s="461"/>
      <c r="K82" s="484">
        <f>'[15]TUoS (t)'!K80</f>
        <v>0</v>
      </c>
      <c r="L82" s="461"/>
      <c r="M82" s="461"/>
      <c r="N82" s="461"/>
      <c r="O82" s="462"/>
      <c r="P82" s="461"/>
      <c r="Q82" s="461"/>
      <c r="R82" s="462"/>
      <c r="S82" s="478">
        <f>'[15]TUoS (t)'!S80</f>
        <v>0</v>
      </c>
      <c r="T82" s="483">
        <f>'[15]TUoS (t)'!T80</f>
        <v>0</v>
      </c>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58"/>
        <v>0</v>
      </c>
      <c r="AP82" s="184">
        <f t="shared" si="49"/>
        <v>0</v>
      </c>
      <c r="AQ82" s="178">
        <f t="shared" si="49"/>
        <v>0</v>
      </c>
      <c r="AR82" s="178">
        <f t="shared" si="49"/>
        <v>0</v>
      </c>
      <c r="AS82" s="179">
        <f t="shared" si="49"/>
        <v>0</v>
      </c>
      <c r="AT82" s="178">
        <f t="shared" si="49"/>
        <v>0</v>
      </c>
      <c r="AU82" s="178">
        <f t="shared" si="49"/>
        <v>0</v>
      </c>
      <c r="AV82" s="178">
        <f t="shared" si="49"/>
        <v>0</v>
      </c>
      <c r="AW82" s="179">
        <f t="shared" si="49"/>
        <v>0</v>
      </c>
      <c r="AX82" s="178">
        <f t="shared" si="22"/>
        <v>0</v>
      </c>
      <c r="AY82" s="178">
        <f t="shared" si="22"/>
        <v>0</v>
      </c>
      <c r="AZ82" s="179">
        <f t="shared" si="22"/>
        <v>0</v>
      </c>
      <c r="BA82" s="184">
        <f t="shared" si="22"/>
        <v>0</v>
      </c>
      <c r="BB82" s="178">
        <f t="shared" si="22"/>
        <v>0</v>
      </c>
      <c r="BC82" s="184">
        <f t="shared" si="22"/>
        <v>0</v>
      </c>
      <c r="BD82" s="178">
        <f t="shared" si="22"/>
        <v>0</v>
      </c>
      <c r="BE82" s="244">
        <f t="shared" si="59"/>
        <v>0</v>
      </c>
      <c r="BF82" s="245">
        <f t="shared" si="56"/>
        <v>0</v>
      </c>
      <c r="BH82" s="255">
        <f t="shared" si="50"/>
        <v>0</v>
      </c>
      <c r="BI82" s="255">
        <f t="shared" si="51"/>
        <v>0</v>
      </c>
      <c r="BJ82" s="255">
        <f t="shared" si="52"/>
        <v>0</v>
      </c>
      <c r="BK82" s="256">
        <f t="shared" si="53"/>
        <v>0</v>
      </c>
      <c r="BL82" s="262">
        <f t="shared" si="54"/>
        <v>0</v>
      </c>
      <c r="BM82" s="257">
        <f t="shared" si="57"/>
        <v>0</v>
      </c>
      <c r="BO82" s="714" t="str">
        <f t="shared" si="60"/>
        <v/>
      </c>
    </row>
    <row r="83" spans="2:67" ht="15" customHeight="1" x14ac:dyDescent="0.25">
      <c r="B83" s="19">
        <f t="shared" si="55"/>
        <v>11</v>
      </c>
      <c r="C83" s="833" t="s">
        <v>556</v>
      </c>
      <c r="D83" s="45"/>
      <c r="E83" s="835" t="s">
        <v>104</v>
      </c>
      <c r="G83" s="477">
        <f>'[15]TUoS (t)'!G81</f>
        <v>784.47</v>
      </c>
      <c r="H83" s="479"/>
      <c r="I83" s="483">
        <f>'[15]TUoS (t)'!I81</f>
        <v>0</v>
      </c>
      <c r="J83" s="461"/>
      <c r="K83" s="484">
        <f>'[15]TUoS (t)'!K81</f>
        <v>0</v>
      </c>
      <c r="L83" s="461"/>
      <c r="M83" s="461"/>
      <c r="N83" s="461"/>
      <c r="O83" s="462"/>
      <c r="P83" s="461"/>
      <c r="Q83" s="461"/>
      <c r="R83" s="462"/>
      <c r="S83" s="478">
        <f>'[15]TUoS (t)'!S81</f>
        <v>0</v>
      </c>
      <c r="T83" s="483">
        <f>'[15]TUoS (t)'!T81</f>
        <v>0</v>
      </c>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58"/>
        <v>0</v>
      </c>
      <c r="AP83" s="184">
        <f t="shared" si="49"/>
        <v>0</v>
      </c>
      <c r="AQ83" s="178">
        <f t="shared" si="49"/>
        <v>0</v>
      </c>
      <c r="AR83" s="178">
        <f t="shared" si="49"/>
        <v>0</v>
      </c>
      <c r="AS83" s="179">
        <f t="shared" si="49"/>
        <v>0</v>
      </c>
      <c r="AT83" s="178">
        <f t="shared" si="49"/>
        <v>0</v>
      </c>
      <c r="AU83" s="178">
        <f t="shared" si="49"/>
        <v>0</v>
      </c>
      <c r="AV83" s="178">
        <f t="shared" si="49"/>
        <v>0</v>
      </c>
      <c r="AW83" s="179">
        <f t="shared" si="49"/>
        <v>0</v>
      </c>
      <c r="AX83" s="178">
        <f t="shared" si="22"/>
        <v>0</v>
      </c>
      <c r="AY83" s="178">
        <f t="shared" si="22"/>
        <v>0</v>
      </c>
      <c r="AZ83" s="179">
        <f t="shared" si="22"/>
        <v>0</v>
      </c>
      <c r="BA83" s="184">
        <f t="shared" si="22"/>
        <v>0</v>
      </c>
      <c r="BB83" s="178">
        <f t="shared" si="22"/>
        <v>0</v>
      </c>
      <c r="BC83" s="184">
        <f t="shared" si="22"/>
        <v>0</v>
      </c>
      <c r="BD83" s="178">
        <f t="shared" si="22"/>
        <v>0</v>
      </c>
      <c r="BE83" s="244">
        <f t="shared" si="59"/>
        <v>0</v>
      </c>
      <c r="BF83" s="245">
        <f t="shared" si="56"/>
        <v>0</v>
      </c>
      <c r="BH83" s="255">
        <f t="shared" si="50"/>
        <v>0</v>
      </c>
      <c r="BI83" s="255">
        <f t="shared" si="51"/>
        <v>0</v>
      </c>
      <c r="BJ83" s="255">
        <f t="shared" si="52"/>
        <v>0</v>
      </c>
      <c r="BK83" s="256">
        <f t="shared" si="53"/>
        <v>0</v>
      </c>
      <c r="BL83" s="262">
        <f t="shared" si="54"/>
        <v>0</v>
      </c>
      <c r="BM83" s="257">
        <f t="shared" si="57"/>
        <v>0</v>
      </c>
      <c r="BO83" s="714" t="str">
        <f t="shared" si="60"/>
        <v/>
      </c>
    </row>
    <row r="84" spans="2:67" ht="15" customHeight="1" x14ac:dyDescent="0.25">
      <c r="B84" s="19">
        <f t="shared" si="55"/>
        <v>12</v>
      </c>
      <c r="C84" s="833" t="s">
        <v>557</v>
      </c>
      <c r="D84" s="45"/>
      <c r="E84" s="835" t="s">
        <v>104</v>
      </c>
      <c r="G84" s="477">
        <f>'[15]TUoS (t)'!G82</f>
        <v>721.83</v>
      </c>
      <c r="H84" s="479"/>
      <c r="I84" s="483">
        <f>'[15]TUoS (t)'!I82</f>
        <v>0</v>
      </c>
      <c r="J84" s="461"/>
      <c r="K84" s="484">
        <f>'[15]TUoS (t)'!K82</f>
        <v>0</v>
      </c>
      <c r="L84" s="461"/>
      <c r="M84" s="461"/>
      <c r="N84" s="461"/>
      <c r="O84" s="462"/>
      <c r="P84" s="461"/>
      <c r="Q84" s="461"/>
      <c r="R84" s="462"/>
      <c r="S84" s="478">
        <f>'[15]TUoS (t)'!S82</f>
        <v>0</v>
      </c>
      <c r="T84" s="483">
        <f>'[15]TUoS (t)'!T82</f>
        <v>0</v>
      </c>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58"/>
        <v>0</v>
      </c>
      <c r="AP84" s="184">
        <f t="shared" ref="AP84:AW100" si="61">H84*Y84</f>
        <v>0</v>
      </c>
      <c r="AQ84" s="178">
        <f t="shared" si="61"/>
        <v>0</v>
      </c>
      <c r="AR84" s="178">
        <f t="shared" si="61"/>
        <v>0</v>
      </c>
      <c r="AS84" s="179">
        <f t="shared" si="61"/>
        <v>0</v>
      </c>
      <c r="AT84" s="178">
        <f t="shared" si="61"/>
        <v>0</v>
      </c>
      <c r="AU84" s="178">
        <f t="shared" si="61"/>
        <v>0</v>
      </c>
      <c r="AV84" s="178">
        <f t="shared" si="61"/>
        <v>0</v>
      </c>
      <c r="AW84" s="179">
        <f t="shared" si="61"/>
        <v>0</v>
      </c>
      <c r="AX84" s="178">
        <f t="shared" si="22"/>
        <v>0</v>
      </c>
      <c r="AY84" s="178">
        <f t="shared" si="22"/>
        <v>0</v>
      </c>
      <c r="AZ84" s="179">
        <f t="shared" si="22"/>
        <v>0</v>
      </c>
      <c r="BA84" s="184">
        <f t="shared" si="22"/>
        <v>0</v>
      </c>
      <c r="BB84" s="178">
        <f t="shared" si="22"/>
        <v>0</v>
      </c>
      <c r="BC84" s="184">
        <f t="shared" si="22"/>
        <v>0</v>
      </c>
      <c r="BD84" s="178">
        <f t="shared" si="22"/>
        <v>0</v>
      </c>
      <c r="BE84" s="244">
        <f t="shared" si="59"/>
        <v>0</v>
      </c>
      <c r="BF84" s="245">
        <f t="shared" si="56"/>
        <v>0</v>
      </c>
      <c r="BH84" s="255">
        <f t="shared" si="50"/>
        <v>0</v>
      </c>
      <c r="BI84" s="255">
        <f t="shared" si="51"/>
        <v>0</v>
      </c>
      <c r="BJ84" s="255">
        <f t="shared" si="52"/>
        <v>0</v>
      </c>
      <c r="BK84" s="256">
        <f t="shared" si="53"/>
        <v>0</v>
      </c>
      <c r="BL84" s="262">
        <f t="shared" si="54"/>
        <v>0</v>
      </c>
      <c r="BM84" s="257">
        <f t="shared" si="57"/>
        <v>0</v>
      </c>
      <c r="BO84" s="714" t="str">
        <f t="shared" si="60"/>
        <v/>
      </c>
    </row>
    <row r="85" spans="2:67" ht="15" customHeight="1" x14ac:dyDescent="0.25">
      <c r="B85" s="19">
        <f t="shared" si="55"/>
        <v>13</v>
      </c>
      <c r="C85" s="44" t="s">
        <v>558</v>
      </c>
      <c r="D85" s="45"/>
      <c r="E85" s="105" t="s">
        <v>104</v>
      </c>
      <c r="G85" s="477">
        <f>'[15]TUoS (t)'!G83</f>
        <v>827.6</v>
      </c>
      <c r="H85" s="479"/>
      <c r="I85" s="483">
        <f>'[15]TUoS (t)'!I83</f>
        <v>0</v>
      </c>
      <c r="J85" s="461"/>
      <c r="K85" s="484">
        <f>'[15]TUoS (t)'!K83</f>
        <v>0</v>
      </c>
      <c r="L85" s="461"/>
      <c r="M85" s="461"/>
      <c r="N85" s="461"/>
      <c r="O85" s="462"/>
      <c r="P85" s="461"/>
      <c r="Q85" s="461"/>
      <c r="R85" s="462"/>
      <c r="S85" s="478">
        <f>'[15]TUoS (t)'!S83</f>
        <v>0</v>
      </c>
      <c r="T85" s="483">
        <f>'[15]TUoS (t)'!T83</f>
        <v>0</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58"/>
        <v>302.07400000000001</v>
      </c>
      <c r="AP85" s="184">
        <f t="shared" si="61"/>
        <v>0</v>
      </c>
      <c r="AQ85" s="178">
        <f t="shared" si="61"/>
        <v>0</v>
      </c>
      <c r="AR85" s="178">
        <f t="shared" si="61"/>
        <v>0</v>
      </c>
      <c r="AS85" s="179">
        <f t="shared" si="61"/>
        <v>0</v>
      </c>
      <c r="AT85" s="178">
        <f t="shared" si="61"/>
        <v>0</v>
      </c>
      <c r="AU85" s="178">
        <f t="shared" si="61"/>
        <v>0</v>
      </c>
      <c r="AV85" s="178">
        <f t="shared" si="61"/>
        <v>0</v>
      </c>
      <c r="AW85" s="179">
        <f t="shared" si="61"/>
        <v>0</v>
      </c>
      <c r="AX85" s="178">
        <f t="shared" si="22"/>
        <v>0</v>
      </c>
      <c r="AY85" s="178">
        <f t="shared" si="22"/>
        <v>0</v>
      </c>
      <c r="AZ85" s="179">
        <f t="shared" si="22"/>
        <v>0</v>
      </c>
      <c r="BA85" s="184">
        <f t="shared" si="22"/>
        <v>0</v>
      </c>
      <c r="BB85" s="178">
        <f t="shared" si="22"/>
        <v>0</v>
      </c>
      <c r="BC85" s="184">
        <f t="shared" si="22"/>
        <v>0</v>
      </c>
      <c r="BD85" s="178">
        <f t="shared" si="22"/>
        <v>0</v>
      </c>
      <c r="BE85" s="244">
        <f t="shared" si="59"/>
        <v>1</v>
      </c>
      <c r="BF85" s="245">
        <f t="shared" si="56"/>
        <v>22800</v>
      </c>
      <c r="BH85" s="255">
        <f t="shared" si="50"/>
        <v>302.07400000000001</v>
      </c>
      <c r="BI85" s="255">
        <f t="shared" si="51"/>
        <v>0</v>
      </c>
      <c r="BJ85" s="255">
        <f t="shared" si="52"/>
        <v>0</v>
      </c>
      <c r="BK85" s="256">
        <f t="shared" si="53"/>
        <v>0</v>
      </c>
      <c r="BL85" s="262">
        <f t="shared" si="54"/>
        <v>0</v>
      </c>
      <c r="BM85" s="257">
        <f t="shared" si="57"/>
        <v>302.07400000000001</v>
      </c>
      <c r="BO85" s="714">
        <f t="shared" si="60"/>
        <v>13.248859649122807</v>
      </c>
    </row>
    <row r="86" spans="2:67" ht="15" customHeight="1" x14ac:dyDescent="0.25">
      <c r="B86" s="19">
        <f t="shared" si="55"/>
        <v>14</v>
      </c>
      <c r="C86" s="44" t="s">
        <v>631</v>
      </c>
      <c r="D86" s="45"/>
      <c r="E86" s="105" t="s">
        <v>104</v>
      </c>
      <c r="G86" s="477">
        <f>'[15]TUoS (t)'!G84</f>
        <v>0</v>
      </c>
      <c r="H86" s="479"/>
      <c r="I86" s="483">
        <f>'[15]TUoS (t)'!I84</f>
        <v>1.3100000000000001E-2</v>
      </c>
      <c r="J86" s="461"/>
      <c r="K86" s="484">
        <f>'[15]TUoS (t)'!K84</f>
        <v>8.2000000000000007E-3</v>
      </c>
      <c r="L86" s="461"/>
      <c r="M86" s="461"/>
      <c r="N86" s="461"/>
      <c r="O86" s="462"/>
      <c r="P86" s="461"/>
      <c r="Q86" s="461"/>
      <c r="R86" s="462"/>
      <c r="S86" s="478">
        <f>'[15]TUoS (t)'!S84</f>
        <v>0.10829999999999999</v>
      </c>
      <c r="T86" s="483">
        <f>'[15]TUoS (t)'!T84</f>
        <v>0</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 t="shared" si="58"/>
        <v>0</v>
      </c>
      <c r="AP86" s="184">
        <f t="shared" si="61"/>
        <v>0</v>
      </c>
      <c r="AQ86" s="178">
        <f t="shared" si="61"/>
        <v>136.24</v>
      </c>
      <c r="AR86" s="178">
        <f t="shared" si="61"/>
        <v>0</v>
      </c>
      <c r="AS86" s="179">
        <f t="shared" si="61"/>
        <v>78.720000000000013</v>
      </c>
      <c r="AT86" s="178">
        <f t="shared" si="61"/>
        <v>0</v>
      </c>
      <c r="AU86" s="178">
        <f t="shared" si="61"/>
        <v>0</v>
      </c>
      <c r="AV86" s="178">
        <f t="shared" si="61"/>
        <v>0</v>
      </c>
      <c r="AW86" s="179">
        <f t="shared" si="61"/>
        <v>0</v>
      </c>
      <c r="AX86" s="178">
        <f t="shared" si="22"/>
        <v>0</v>
      </c>
      <c r="AY86" s="178">
        <f t="shared" si="22"/>
        <v>0</v>
      </c>
      <c r="AZ86" s="179">
        <f t="shared" si="22"/>
        <v>0</v>
      </c>
      <c r="BA86" s="184">
        <f t="shared" si="22"/>
        <v>161.16177150000001</v>
      </c>
      <c r="BB86" s="178">
        <f t="shared" si="22"/>
        <v>0</v>
      </c>
      <c r="BC86" s="184">
        <f t="shared" si="22"/>
        <v>0</v>
      </c>
      <c r="BD86" s="178">
        <f t="shared" si="22"/>
        <v>0</v>
      </c>
      <c r="BE86" s="244">
        <f t="shared" si="59"/>
        <v>1</v>
      </c>
      <c r="BF86" s="245">
        <f t="shared" si="56"/>
        <v>20000</v>
      </c>
      <c r="BH86" s="255">
        <f>SUM(AO86)</f>
        <v>0</v>
      </c>
      <c r="BI86" s="255">
        <f>SUM(AP86:AS86)</f>
        <v>214.96000000000004</v>
      </c>
      <c r="BJ86" s="255">
        <f>SUM(AT86:AW86)</f>
        <v>0</v>
      </c>
      <c r="BK86" s="256">
        <f>SUM(AX86:BB86)</f>
        <v>161.16177150000001</v>
      </c>
      <c r="BL86" s="262">
        <f>SUM(BC86:BD86)</f>
        <v>0</v>
      </c>
      <c r="BM86" s="257">
        <f t="shared" si="57"/>
        <v>376.12177150000002</v>
      </c>
      <c r="BO86" s="714">
        <f t="shared" si="60"/>
        <v>18.806088575</v>
      </c>
    </row>
    <row r="87" spans="2:67" ht="15" customHeight="1" x14ac:dyDescent="0.25">
      <c r="B87" s="19">
        <f t="shared" si="55"/>
        <v>15</v>
      </c>
      <c r="C87" s="833" t="s">
        <v>559</v>
      </c>
      <c r="D87" s="45"/>
      <c r="E87" s="835" t="s">
        <v>104</v>
      </c>
      <c r="G87" s="477">
        <f>'[15]TUoS (t)'!G85</f>
        <v>540.82000000000005</v>
      </c>
      <c r="H87" s="479"/>
      <c r="I87" s="483">
        <f>'[15]TUoS (t)'!I85</f>
        <v>0</v>
      </c>
      <c r="J87" s="461"/>
      <c r="K87" s="484">
        <f>'[15]TUoS (t)'!K85</f>
        <v>0</v>
      </c>
      <c r="L87" s="461"/>
      <c r="M87" s="461"/>
      <c r="N87" s="461"/>
      <c r="O87" s="462"/>
      <c r="P87" s="461"/>
      <c r="Q87" s="461"/>
      <c r="R87" s="462"/>
      <c r="S87" s="478">
        <f>'[15]TUoS (t)'!S85</f>
        <v>0</v>
      </c>
      <c r="T87" s="483">
        <f>'[15]TUoS (t)'!T85</f>
        <v>0</v>
      </c>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58"/>
        <v>0</v>
      </c>
      <c r="AP87" s="184">
        <f t="shared" si="61"/>
        <v>0</v>
      </c>
      <c r="AQ87" s="178">
        <f t="shared" si="61"/>
        <v>0</v>
      </c>
      <c r="AR87" s="178">
        <f t="shared" si="61"/>
        <v>0</v>
      </c>
      <c r="AS87" s="179">
        <f t="shared" si="61"/>
        <v>0</v>
      </c>
      <c r="AT87" s="178">
        <f t="shared" si="61"/>
        <v>0</v>
      </c>
      <c r="AU87" s="178">
        <f t="shared" si="61"/>
        <v>0</v>
      </c>
      <c r="AV87" s="178">
        <f t="shared" si="61"/>
        <v>0</v>
      </c>
      <c r="AW87" s="179">
        <f t="shared" si="61"/>
        <v>0</v>
      </c>
      <c r="AX87" s="178">
        <f t="shared" si="22"/>
        <v>0</v>
      </c>
      <c r="AY87" s="178">
        <f t="shared" si="22"/>
        <v>0</v>
      </c>
      <c r="AZ87" s="179">
        <f t="shared" si="22"/>
        <v>0</v>
      </c>
      <c r="BA87" s="184">
        <f t="shared" si="22"/>
        <v>0</v>
      </c>
      <c r="BB87" s="178">
        <f t="shared" si="22"/>
        <v>0</v>
      </c>
      <c r="BC87" s="184">
        <f t="shared" si="22"/>
        <v>0</v>
      </c>
      <c r="BD87" s="178">
        <f t="shared" si="22"/>
        <v>0</v>
      </c>
      <c r="BE87" s="244">
        <f t="shared" si="59"/>
        <v>0</v>
      </c>
      <c r="BF87" s="245">
        <f t="shared" si="56"/>
        <v>0</v>
      </c>
      <c r="BH87" s="255">
        <f t="shared" si="50"/>
        <v>0</v>
      </c>
      <c r="BI87" s="255">
        <f t="shared" si="51"/>
        <v>0</v>
      </c>
      <c r="BJ87" s="255">
        <f t="shared" si="52"/>
        <v>0</v>
      </c>
      <c r="BK87" s="256">
        <f t="shared" si="53"/>
        <v>0</v>
      </c>
      <c r="BL87" s="262">
        <f t="shared" si="54"/>
        <v>0</v>
      </c>
      <c r="BM87" s="257">
        <f t="shared" si="57"/>
        <v>0</v>
      </c>
      <c r="BO87" s="714" t="str">
        <f t="shared" si="60"/>
        <v/>
      </c>
    </row>
    <row r="88" spans="2:67" ht="15" customHeight="1" x14ac:dyDescent="0.25">
      <c r="B88" s="19">
        <f t="shared" si="55"/>
        <v>16</v>
      </c>
      <c r="C88" s="785"/>
      <c r="D88" s="772"/>
      <c r="E88" s="836"/>
      <c r="G88" s="482"/>
      <c r="H88" s="479"/>
      <c r="I88" s="461"/>
      <c r="J88" s="461"/>
      <c r="K88" s="462"/>
      <c r="L88" s="461"/>
      <c r="M88" s="461"/>
      <c r="N88" s="461"/>
      <c r="O88" s="462"/>
      <c r="P88" s="461"/>
      <c r="Q88" s="461"/>
      <c r="R88" s="462"/>
      <c r="S88" s="479"/>
      <c r="T88" s="461"/>
      <c r="U88" s="479"/>
      <c r="V88" s="462"/>
      <c r="X88" s="183"/>
      <c r="Y88" s="184"/>
      <c r="Z88" s="178"/>
      <c r="AA88" s="178"/>
      <c r="AB88" s="179"/>
      <c r="AC88" s="178"/>
      <c r="AD88" s="178"/>
      <c r="AE88" s="178"/>
      <c r="AF88" s="179"/>
      <c r="AG88" s="178"/>
      <c r="AH88" s="178"/>
      <c r="AI88" s="179"/>
      <c r="AJ88" s="184"/>
      <c r="AK88" s="178"/>
      <c r="AL88" s="184"/>
      <c r="AM88" s="179"/>
      <c r="AO88" s="183">
        <f t="shared" si="58"/>
        <v>0</v>
      </c>
      <c r="AP88" s="184">
        <f t="shared" si="61"/>
        <v>0</v>
      </c>
      <c r="AQ88" s="178">
        <f t="shared" si="61"/>
        <v>0</v>
      </c>
      <c r="AR88" s="178">
        <f t="shared" si="61"/>
        <v>0</v>
      </c>
      <c r="AS88" s="179">
        <f t="shared" si="61"/>
        <v>0</v>
      </c>
      <c r="AT88" s="178">
        <f t="shared" si="61"/>
        <v>0</v>
      </c>
      <c r="AU88" s="178">
        <f t="shared" si="61"/>
        <v>0</v>
      </c>
      <c r="AV88" s="178">
        <f t="shared" si="61"/>
        <v>0</v>
      </c>
      <c r="AW88" s="179">
        <f t="shared" si="61"/>
        <v>0</v>
      </c>
      <c r="AX88" s="178">
        <f t="shared" si="22"/>
        <v>0</v>
      </c>
      <c r="AY88" s="178">
        <f t="shared" si="22"/>
        <v>0</v>
      </c>
      <c r="AZ88" s="179">
        <f t="shared" si="22"/>
        <v>0</v>
      </c>
      <c r="BA88" s="184">
        <f t="shared" si="22"/>
        <v>0</v>
      </c>
      <c r="BB88" s="178">
        <f t="shared" si="22"/>
        <v>0</v>
      </c>
      <c r="BC88" s="184">
        <f t="shared" si="22"/>
        <v>0</v>
      </c>
      <c r="BD88" s="178">
        <f t="shared" si="22"/>
        <v>0</v>
      </c>
      <c r="BE88" s="244">
        <f t="shared" si="59"/>
        <v>0</v>
      </c>
      <c r="BF88" s="245">
        <f t="shared" si="56"/>
        <v>0</v>
      </c>
      <c r="BH88" s="255">
        <f t="shared" si="50"/>
        <v>0</v>
      </c>
      <c r="BI88" s="255">
        <f t="shared" si="51"/>
        <v>0</v>
      </c>
      <c r="BJ88" s="255">
        <f t="shared" si="52"/>
        <v>0</v>
      </c>
      <c r="BK88" s="256">
        <f t="shared" si="53"/>
        <v>0</v>
      </c>
      <c r="BL88" s="262">
        <f t="shared" si="54"/>
        <v>0</v>
      </c>
      <c r="BM88" s="257">
        <f t="shared" si="57"/>
        <v>0</v>
      </c>
      <c r="BO88" s="714" t="str">
        <f t="shared" si="60"/>
        <v/>
      </c>
    </row>
    <row r="89" spans="2:67" ht="15" customHeight="1" x14ac:dyDescent="0.25">
      <c r="B89" s="19">
        <f t="shared" si="55"/>
        <v>17</v>
      </c>
      <c r="C89" s="785"/>
      <c r="D89" s="772"/>
      <c r="E89" s="836"/>
      <c r="G89" s="482"/>
      <c r="H89" s="479"/>
      <c r="I89" s="461"/>
      <c r="J89" s="461"/>
      <c r="K89" s="462"/>
      <c r="L89" s="461"/>
      <c r="M89" s="461"/>
      <c r="N89" s="461"/>
      <c r="O89" s="462"/>
      <c r="P89" s="461"/>
      <c r="Q89" s="461"/>
      <c r="R89" s="462"/>
      <c r="S89" s="479"/>
      <c r="T89" s="461"/>
      <c r="U89" s="479"/>
      <c r="V89" s="462"/>
      <c r="X89" s="183"/>
      <c r="Y89" s="184"/>
      <c r="Z89" s="178"/>
      <c r="AA89" s="178"/>
      <c r="AB89" s="179"/>
      <c r="AC89" s="178"/>
      <c r="AD89" s="178"/>
      <c r="AE89" s="178"/>
      <c r="AF89" s="179"/>
      <c r="AG89" s="178"/>
      <c r="AH89" s="178"/>
      <c r="AI89" s="179"/>
      <c r="AJ89" s="184"/>
      <c r="AK89" s="178"/>
      <c r="AL89" s="184"/>
      <c r="AM89" s="179"/>
      <c r="AO89" s="183">
        <f t="shared" si="58"/>
        <v>0</v>
      </c>
      <c r="AP89" s="184">
        <f t="shared" si="61"/>
        <v>0</v>
      </c>
      <c r="AQ89" s="178">
        <f t="shared" si="61"/>
        <v>0</v>
      </c>
      <c r="AR89" s="178">
        <f t="shared" si="61"/>
        <v>0</v>
      </c>
      <c r="AS89" s="179">
        <f t="shared" si="61"/>
        <v>0</v>
      </c>
      <c r="AT89" s="178">
        <f t="shared" si="61"/>
        <v>0</v>
      </c>
      <c r="AU89" s="178">
        <f t="shared" si="61"/>
        <v>0</v>
      </c>
      <c r="AV89" s="178">
        <f t="shared" si="61"/>
        <v>0</v>
      </c>
      <c r="AW89" s="179">
        <f t="shared" si="61"/>
        <v>0</v>
      </c>
      <c r="AX89" s="178">
        <f t="shared" si="22"/>
        <v>0</v>
      </c>
      <c r="AY89" s="178">
        <f t="shared" si="22"/>
        <v>0</v>
      </c>
      <c r="AZ89" s="179">
        <f t="shared" si="22"/>
        <v>0</v>
      </c>
      <c r="BA89" s="184">
        <f t="shared" si="22"/>
        <v>0</v>
      </c>
      <c r="BB89" s="178">
        <f t="shared" si="22"/>
        <v>0</v>
      </c>
      <c r="BC89" s="184">
        <f t="shared" si="22"/>
        <v>0</v>
      </c>
      <c r="BD89" s="178">
        <f t="shared" si="22"/>
        <v>0</v>
      </c>
      <c r="BE89" s="244">
        <f t="shared" si="59"/>
        <v>0</v>
      </c>
      <c r="BF89" s="245">
        <f t="shared" si="56"/>
        <v>0</v>
      </c>
      <c r="BH89" s="255">
        <f t="shared" si="50"/>
        <v>0</v>
      </c>
      <c r="BI89" s="255">
        <f t="shared" si="51"/>
        <v>0</v>
      </c>
      <c r="BJ89" s="255">
        <f t="shared" si="52"/>
        <v>0</v>
      </c>
      <c r="BK89" s="256">
        <f t="shared" si="53"/>
        <v>0</v>
      </c>
      <c r="BL89" s="262">
        <f t="shared" si="54"/>
        <v>0</v>
      </c>
      <c r="BM89" s="257">
        <f t="shared" si="57"/>
        <v>0</v>
      </c>
      <c r="BO89" s="714" t="str">
        <f t="shared" si="60"/>
        <v/>
      </c>
    </row>
    <row r="90" spans="2:67" ht="15" customHeight="1" x14ac:dyDescent="0.25">
      <c r="B90" s="19">
        <f t="shared" si="55"/>
        <v>18</v>
      </c>
      <c r="C90" s="785"/>
      <c r="D90" s="772"/>
      <c r="E90" s="836"/>
      <c r="G90" s="482"/>
      <c r="H90" s="479"/>
      <c r="I90" s="461"/>
      <c r="J90" s="461"/>
      <c r="K90" s="462"/>
      <c r="L90" s="461"/>
      <c r="M90" s="461"/>
      <c r="N90" s="461"/>
      <c r="O90" s="462"/>
      <c r="P90" s="461"/>
      <c r="Q90" s="461"/>
      <c r="R90" s="462"/>
      <c r="S90" s="479"/>
      <c r="T90" s="461"/>
      <c r="U90" s="479"/>
      <c r="V90" s="462"/>
      <c r="X90" s="183"/>
      <c r="Y90" s="184"/>
      <c r="Z90" s="178"/>
      <c r="AA90" s="178"/>
      <c r="AB90" s="179"/>
      <c r="AC90" s="178"/>
      <c r="AD90" s="178"/>
      <c r="AE90" s="178"/>
      <c r="AF90" s="179"/>
      <c r="AG90" s="178"/>
      <c r="AH90" s="178"/>
      <c r="AI90" s="179"/>
      <c r="AJ90" s="184"/>
      <c r="AK90" s="178"/>
      <c r="AL90" s="184"/>
      <c r="AM90" s="179"/>
      <c r="AO90" s="183">
        <f t="shared" si="58"/>
        <v>0</v>
      </c>
      <c r="AP90" s="184">
        <f t="shared" si="61"/>
        <v>0</v>
      </c>
      <c r="AQ90" s="178">
        <f t="shared" si="61"/>
        <v>0</v>
      </c>
      <c r="AR90" s="178">
        <f t="shared" si="61"/>
        <v>0</v>
      </c>
      <c r="AS90" s="179">
        <f t="shared" si="61"/>
        <v>0</v>
      </c>
      <c r="AT90" s="178">
        <f t="shared" si="61"/>
        <v>0</v>
      </c>
      <c r="AU90" s="178">
        <f t="shared" si="61"/>
        <v>0</v>
      </c>
      <c r="AV90" s="178">
        <f t="shared" si="61"/>
        <v>0</v>
      </c>
      <c r="AW90" s="179">
        <f t="shared" si="61"/>
        <v>0</v>
      </c>
      <c r="AX90" s="178">
        <f t="shared" ref="AX90:BD126" si="62">P90*AG90/1000</f>
        <v>0</v>
      </c>
      <c r="AY90" s="178">
        <f t="shared" si="62"/>
        <v>0</v>
      </c>
      <c r="AZ90" s="179">
        <f t="shared" si="62"/>
        <v>0</v>
      </c>
      <c r="BA90" s="184">
        <f t="shared" si="62"/>
        <v>0</v>
      </c>
      <c r="BB90" s="178">
        <f t="shared" si="62"/>
        <v>0</v>
      </c>
      <c r="BC90" s="184">
        <f t="shared" si="62"/>
        <v>0</v>
      </c>
      <c r="BD90" s="178">
        <f t="shared" si="62"/>
        <v>0</v>
      </c>
      <c r="BE90" s="244">
        <f t="shared" si="59"/>
        <v>0</v>
      </c>
      <c r="BF90" s="245">
        <f t="shared" si="56"/>
        <v>0</v>
      </c>
      <c r="BH90" s="255">
        <f t="shared" si="50"/>
        <v>0</v>
      </c>
      <c r="BI90" s="255">
        <f t="shared" si="51"/>
        <v>0</v>
      </c>
      <c r="BJ90" s="255">
        <f t="shared" si="52"/>
        <v>0</v>
      </c>
      <c r="BK90" s="256">
        <f t="shared" si="53"/>
        <v>0</v>
      </c>
      <c r="BL90" s="262">
        <f t="shared" si="54"/>
        <v>0</v>
      </c>
      <c r="BM90" s="257">
        <f t="shared" si="57"/>
        <v>0</v>
      </c>
      <c r="BO90" s="714" t="str">
        <f t="shared" si="60"/>
        <v/>
      </c>
    </row>
    <row r="91" spans="2:67" ht="15" customHeight="1" x14ac:dyDescent="0.25">
      <c r="B91" s="19">
        <f t="shared" si="55"/>
        <v>19</v>
      </c>
      <c r="C91" s="785"/>
      <c r="D91" s="772"/>
      <c r="E91" s="836"/>
      <c r="G91" s="482"/>
      <c r="H91" s="479"/>
      <c r="I91" s="461"/>
      <c r="J91" s="461"/>
      <c r="K91" s="462"/>
      <c r="L91" s="461"/>
      <c r="M91" s="461"/>
      <c r="N91" s="461"/>
      <c r="O91" s="462"/>
      <c r="P91" s="461"/>
      <c r="Q91" s="461"/>
      <c r="R91" s="462"/>
      <c r="S91" s="479"/>
      <c r="T91" s="461"/>
      <c r="U91" s="479"/>
      <c r="V91" s="462"/>
      <c r="X91" s="183"/>
      <c r="Y91" s="184"/>
      <c r="Z91" s="178"/>
      <c r="AA91" s="178"/>
      <c r="AB91" s="179"/>
      <c r="AC91" s="178"/>
      <c r="AD91" s="178"/>
      <c r="AE91" s="178"/>
      <c r="AF91" s="179"/>
      <c r="AG91" s="178"/>
      <c r="AH91" s="178"/>
      <c r="AI91" s="179"/>
      <c r="AJ91" s="184"/>
      <c r="AK91" s="178"/>
      <c r="AL91" s="184"/>
      <c r="AM91" s="179"/>
      <c r="AO91" s="183">
        <f t="shared" si="58"/>
        <v>0</v>
      </c>
      <c r="AP91" s="184">
        <f t="shared" si="61"/>
        <v>0</v>
      </c>
      <c r="AQ91" s="178">
        <f t="shared" si="61"/>
        <v>0</v>
      </c>
      <c r="AR91" s="178">
        <f t="shared" si="61"/>
        <v>0</v>
      </c>
      <c r="AS91" s="179">
        <f t="shared" si="61"/>
        <v>0</v>
      </c>
      <c r="AT91" s="178">
        <f t="shared" si="61"/>
        <v>0</v>
      </c>
      <c r="AU91" s="178">
        <f t="shared" si="61"/>
        <v>0</v>
      </c>
      <c r="AV91" s="178">
        <f t="shared" si="61"/>
        <v>0</v>
      </c>
      <c r="AW91" s="179">
        <f t="shared" si="61"/>
        <v>0</v>
      </c>
      <c r="AX91" s="178">
        <f t="shared" si="62"/>
        <v>0</v>
      </c>
      <c r="AY91" s="178">
        <f t="shared" si="62"/>
        <v>0</v>
      </c>
      <c r="AZ91" s="179">
        <f t="shared" si="62"/>
        <v>0</v>
      </c>
      <c r="BA91" s="184">
        <f t="shared" si="62"/>
        <v>0</v>
      </c>
      <c r="BB91" s="178">
        <f t="shared" si="62"/>
        <v>0</v>
      </c>
      <c r="BC91" s="184">
        <f t="shared" si="62"/>
        <v>0</v>
      </c>
      <c r="BD91" s="178">
        <f t="shared" si="62"/>
        <v>0</v>
      </c>
      <c r="BE91" s="244">
        <f t="shared" si="59"/>
        <v>0</v>
      </c>
      <c r="BF91" s="245">
        <f t="shared" si="56"/>
        <v>0</v>
      </c>
      <c r="BH91" s="255">
        <f t="shared" si="50"/>
        <v>0</v>
      </c>
      <c r="BI91" s="255">
        <f t="shared" si="51"/>
        <v>0</v>
      </c>
      <c r="BJ91" s="255">
        <f t="shared" si="52"/>
        <v>0</v>
      </c>
      <c r="BK91" s="256">
        <f t="shared" si="53"/>
        <v>0</v>
      </c>
      <c r="BL91" s="262">
        <f t="shared" si="54"/>
        <v>0</v>
      </c>
      <c r="BM91" s="257">
        <f t="shared" si="57"/>
        <v>0</v>
      </c>
      <c r="BO91" s="714" t="str">
        <f t="shared" si="60"/>
        <v/>
      </c>
    </row>
    <row r="92" spans="2:67" ht="15" customHeight="1" x14ac:dyDescent="0.25">
      <c r="B92" s="19">
        <f t="shared" si="55"/>
        <v>20</v>
      </c>
      <c r="C92" s="785"/>
      <c r="D92" s="772"/>
      <c r="E92" s="836"/>
      <c r="G92" s="482"/>
      <c r="H92" s="479"/>
      <c r="I92" s="461"/>
      <c r="J92" s="461"/>
      <c r="K92" s="462"/>
      <c r="L92" s="461"/>
      <c r="M92" s="461"/>
      <c r="N92" s="461"/>
      <c r="O92" s="462"/>
      <c r="P92" s="461"/>
      <c r="Q92" s="461"/>
      <c r="R92" s="462"/>
      <c r="S92" s="479"/>
      <c r="T92" s="461"/>
      <c r="U92" s="479"/>
      <c r="V92" s="462"/>
      <c r="X92" s="183"/>
      <c r="Y92" s="184"/>
      <c r="Z92" s="178"/>
      <c r="AA92" s="178"/>
      <c r="AB92" s="179"/>
      <c r="AC92" s="178"/>
      <c r="AD92" s="178"/>
      <c r="AE92" s="178"/>
      <c r="AF92" s="179"/>
      <c r="AG92" s="178"/>
      <c r="AH92" s="178"/>
      <c r="AI92" s="179"/>
      <c r="AJ92" s="184"/>
      <c r="AK92" s="178"/>
      <c r="AL92" s="184"/>
      <c r="AM92" s="179"/>
      <c r="AO92" s="183">
        <f t="shared" si="58"/>
        <v>0</v>
      </c>
      <c r="AP92" s="184">
        <f t="shared" si="61"/>
        <v>0</v>
      </c>
      <c r="AQ92" s="178">
        <f t="shared" si="61"/>
        <v>0</v>
      </c>
      <c r="AR92" s="178">
        <f t="shared" si="61"/>
        <v>0</v>
      </c>
      <c r="AS92" s="179">
        <f t="shared" si="61"/>
        <v>0</v>
      </c>
      <c r="AT92" s="178">
        <f t="shared" si="61"/>
        <v>0</v>
      </c>
      <c r="AU92" s="178">
        <f t="shared" si="61"/>
        <v>0</v>
      </c>
      <c r="AV92" s="178">
        <f t="shared" si="61"/>
        <v>0</v>
      </c>
      <c r="AW92" s="179">
        <f t="shared" si="61"/>
        <v>0</v>
      </c>
      <c r="AX92" s="178">
        <f t="shared" si="62"/>
        <v>0</v>
      </c>
      <c r="AY92" s="178">
        <f t="shared" si="62"/>
        <v>0</v>
      </c>
      <c r="AZ92" s="179">
        <f t="shared" si="62"/>
        <v>0</v>
      </c>
      <c r="BA92" s="184">
        <f t="shared" si="62"/>
        <v>0</v>
      </c>
      <c r="BB92" s="178">
        <f t="shared" si="62"/>
        <v>0</v>
      </c>
      <c r="BC92" s="184">
        <f t="shared" si="62"/>
        <v>0</v>
      </c>
      <c r="BD92" s="178">
        <f t="shared" si="62"/>
        <v>0</v>
      </c>
      <c r="BE92" s="244">
        <f t="shared" si="59"/>
        <v>0</v>
      </c>
      <c r="BF92" s="245">
        <f t="shared" si="56"/>
        <v>0</v>
      </c>
      <c r="BH92" s="255">
        <f t="shared" si="50"/>
        <v>0</v>
      </c>
      <c r="BI92" s="255">
        <f t="shared" si="51"/>
        <v>0</v>
      </c>
      <c r="BJ92" s="255">
        <f t="shared" si="52"/>
        <v>0</v>
      </c>
      <c r="BK92" s="256">
        <f t="shared" si="53"/>
        <v>0</v>
      </c>
      <c r="BL92" s="262">
        <f t="shared" si="54"/>
        <v>0</v>
      </c>
      <c r="BM92" s="257">
        <f t="shared" si="57"/>
        <v>0</v>
      </c>
      <c r="BO92" s="714" t="str">
        <f t="shared" si="60"/>
        <v/>
      </c>
    </row>
    <row r="93" spans="2:67" ht="15" customHeight="1" x14ac:dyDescent="0.25">
      <c r="B93" s="26">
        <f t="shared" si="55"/>
        <v>21</v>
      </c>
      <c r="C93" s="837"/>
      <c r="D93" s="778"/>
      <c r="E93" s="838"/>
      <c r="G93" s="498"/>
      <c r="H93" s="491"/>
      <c r="I93" s="487"/>
      <c r="J93" s="487"/>
      <c r="K93" s="488"/>
      <c r="L93" s="487"/>
      <c r="M93" s="487"/>
      <c r="N93" s="487"/>
      <c r="O93" s="488"/>
      <c r="P93" s="487"/>
      <c r="Q93" s="487"/>
      <c r="R93" s="488"/>
      <c r="S93" s="491"/>
      <c r="T93" s="487"/>
      <c r="U93" s="491"/>
      <c r="V93" s="488"/>
      <c r="X93" s="190"/>
      <c r="Y93" s="197"/>
      <c r="Z93" s="192"/>
      <c r="AA93" s="192"/>
      <c r="AB93" s="193"/>
      <c r="AC93" s="192"/>
      <c r="AD93" s="192"/>
      <c r="AE93" s="192"/>
      <c r="AF93" s="193"/>
      <c r="AG93" s="192"/>
      <c r="AH93" s="192"/>
      <c r="AI93" s="193"/>
      <c r="AJ93" s="197"/>
      <c r="AK93" s="192"/>
      <c r="AL93" s="197"/>
      <c r="AM93" s="193"/>
      <c r="AO93" s="190">
        <f t="shared" si="58"/>
        <v>0</v>
      </c>
      <c r="AP93" s="197">
        <f t="shared" si="61"/>
        <v>0</v>
      </c>
      <c r="AQ93" s="192">
        <f t="shared" si="61"/>
        <v>0</v>
      </c>
      <c r="AR93" s="192">
        <f t="shared" si="61"/>
        <v>0</v>
      </c>
      <c r="AS93" s="193">
        <f t="shared" si="61"/>
        <v>0</v>
      </c>
      <c r="AT93" s="192">
        <f t="shared" si="61"/>
        <v>0</v>
      </c>
      <c r="AU93" s="192">
        <f t="shared" si="61"/>
        <v>0</v>
      </c>
      <c r="AV93" s="192">
        <f t="shared" si="61"/>
        <v>0</v>
      </c>
      <c r="AW93" s="193">
        <f t="shared" si="61"/>
        <v>0</v>
      </c>
      <c r="AX93" s="192">
        <f t="shared" si="62"/>
        <v>0</v>
      </c>
      <c r="AY93" s="192">
        <f t="shared" si="62"/>
        <v>0</v>
      </c>
      <c r="AZ93" s="193">
        <f t="shared" si="62"/>
        <v>0</v>
      </c>
      <c r="BA93" s="197">
        <f t="shared" si="62"/>
        <v>0</v>
      </c>
      <c r="BB93" s="192">
        <f t="shared" si="62"/>
        <v>0</v>
      </c>
      <c r="BC93" s="197">
        <f t="shared" si="62"/>
        <v>0</v>
      </c>
      <c r="BD93" s="192">
        <f t="shared" si="62"/>
        <v>0</v>
      </c>
      <c r="BE93" s="246">
        <f t="shared" si="59"/>
        <v>0</v>
      </c>
      <c r="BF93" s="247">
        <f t="shared" si="56"/>
        <v>0</v>
      </c>
      <c r="BH93" s="255">
        <f>SUM(AO93)</f>
        <v>0</v>
      </c>
      <c r="BI93" s="255">
        <f>SUM(AP93:AS93)</f>
        <v>0</v>
      </c>
      <c r="BJ93" s="255">
        <f>SUM(AT93:AW93)</f>
        <v>0</v>
      </c>
      <c r="BK93" s="256">
        <f>SUM(AX93:BB93)</f>
        <v>0</v>
      </c>
      <c r="BL93" s="262">
        <f>SUM(BC93:BD93)</f>
        <v>0</v>
      </c>
      <c r="BM93" s="257">
        <f t="shared" si="57"/>
        <v>0</v>
      </c>
      <c r="BO93" s="714" t="str">
        <f t="shared" si="60"/>
        <v/>
      </c>
    </row>
    <row r="94" spans="2:67"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c r="Y94" s="184"/>
      <c r="Z94" s="178"/>
      <c r="AA94" s="178"/>
      <c r="AB94" s="179"/>
      <c r="AC94" s="178"/>
      <c r="AD94" s="178"/>
      <c r="AE94" s="178"/>
      <c r="AF94" s="179"/>
      <c r="AG94" s="178"/>
      <c r="AH94" s="178"/>
      <c r="AI94" s="179"/>
      <c r="AJ94" s="184"/>
      <c r="AK94" s="178"/>
      <c r="AL94" s="184"/>
      <c r="AM94" s="179"/>
      <c r="AO94" s="183">
        <f t="shared" si="58"/>
        <v>0</v>
      </c>
      <c r="AP94" s="184">
        <f t="shared" si="61"/>
        <v>0</v>
      </c>
      <c r="AQ94" s="178">
        <f t="shared" si="61"/>
        <v>0</v>
      </c>
      <c r="AR94" s="178">
        <f t="shared" si="61"/>
        <v>0</v>
      </c>
      <c r="AS94" s="179">
        <f t="shared" si="61"/>
        <v>0</v>
      </c>
      <c r="AT94" s="178">
        <f t="shared" si="61"/>
        <v>0</v>
      </c>
      <c r="AU94" s="178">
        <f t="shared" si="61"/>
        <v>0</v>
      </c>
      <c r="AV94" s="178">
        <f t="shared" si="61"/>
        <v>0</v>
      </c>
      <c r="AW94" s="179">
        <f t="shared" si="61"/>
        <v>0</v>
      </c>
      <c r="AX94" s="178">
        <f t="shared" si="62"/>
        <v>0</v>
      </c>
      <c r="AY94" s="178">
        <f t="shared" si="62"/>
        <v>0</v>
      </c>
      <c r="AZ94" s="179">
        <f t="shared" si="62"/>
        <v>0</v>
      </c>
      <c r="BA94" s="184">
        <f t="shared" si="62"/>
        <v>0</v>
      </c>
      <c r="BB94" s="178">
        <f t="shared" si="62"/>
        <v>0</v>
      </c>
      <c r="BC94" s="184">
        <f t="shared" si="62"/>
        <v>0</v>
      </c>
      <c r="BD94" s="178">
        <f t="shared" si="62"/>
        <v>0</v>
      </c>
      <c r="BE94" s="244">
        <f t="shared" si="59"/>
        <v>0</v>
      </c>
      <c r="BF94" s="245">
        <f t="shared" si="56"/>
        <v>0</v>
      </c>
      <c r="BH94" s="253">
        <f>SUBTOTAL(9,BH95:BH129)</f>
        <v>9511.702900000002</v>
      </c>
      <c r="BI94" s="253">
        <f>SUBTOTAL(9,BI95:BI129)</f>
        <v>1024.0608</v>
      </c>
      <c r="BJ94" s="253">
        <f>SUBTOTAL(9,BJ95:BJ129)</f>
        <v>0</v>
      </c>
      <c r="BK94" s="253">
        <f>SUBTOTAL(9,BK95:BK129)</f>
        <v>8044.9481370000003</v>
      </c>
      <c r="BL94" s="253">
        <f>SUBTOTAL(9,BL95:BL129)</f>
        <v>0</v>
      </c>
      <c r="BM94" s="257">
        <f t="shared" si="57"/>
        <v>18580.711837000003</v>
      </c>
      <c r="BO94" s="714" t="str">
        <f t="shared" si="60"/>
        <v/>
      </c>
    </row>
    <row r="95" spans="2:67"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c r="Y95" s="184"/>
      <c r="Z95" s="178"/>
      <c r="AA95" s="178"/>
      <c r="AB95" s="179"/>
      <c r="AC95" s="178"/>
      <c r="AD95" s="178"/>
      <c r="AE95" s="178"/>
      <c r="AF95" s="179"/>
      <c r="AG95" s="178"/>
      <c r="AH95" s="178"/>
      <c r="AI95" s="179"/>
      <c r="AJ95" s="184"/>
      <c r="AK95" s="178"/>
      <c r="AL95" s="184"/>
      <c r="AM95" s="179"/>
      <c r="AO95" s="183">
        <f t="shared" si="58"/>
        <v>0</v>
      </c>
      <c r="AP95" s="184">
        <f t="shared" si="61"/>
        <v>0</v>
      </c>
      <c r="AQ95" s="178">
        <f t="shared" si="61"/>
        <v>0</v>
      </c>
      <c r="AR95" s="178">
        <f t="shared" si="61"/>
        <v>0</v>
      </c>
      <c r="AS95" s="179">
        <f t="shared" si="61"/>
        <v>0</v>
      </c>
      <c r="AT95" s="178">
        <f t="shared" si="61"/>
        <v>0</v>
      </c>
      <c r="AU95" s="178">
        <f t="shared" si="61"/>
        <v>0</v>
      </c>
      <c r="AV95" s="178">
        <f t="shared" si="61"/>
        <v>0</v>
      </c>
      <c r="AW95" s="179">
        <f t="shared" si="61"/>
        <v>0</v>
      </c>
      <c r="AX95" s="178">
        <f t="shared" si="62"/>
        <v>0</v>
      </c>
      <c r="AY95" s="178">
        <f t="shared" si="62"/>
        <v>0</v>
      </c>
      <c r="AZ95" s="179">
        <f t="shared" si="62"/>
        <v>0</v>
      </c>
      <c r="BA95" s="184">
        <f t="shared" si="62"/>
        <v>0</v>
      </c>
      <c r="BB95" s="178">
        <f t="shared" si="62"/>
        <v>0</v>
      </c>
      <c r="BC95" s="184">
        <f t="shared" si="62"/>
        <v>0</v>
      </c>
      <c r="BD95" s="178">
        <f t="shared" si="62"/>
        <v>0</v>
      </c>
      <c r="BE95" s="244">
        <f t="shared" si="59"/>
        <v>0</v>
      </c>
      <c r="BF95" s="245">
        <f t="shared" si="56"/>
        <v>0</v>
      </c>
      <c r="BH95" s="252">
        <f>SUBTOTAL(9,BH96:BH103)</f>
        <v>497.52419999999995</v>
      </c>
      <c r="BI95" s="252">
        <f>SUBTOTAL(9,BI96:BI103)</f>
        <v>698.8488000000001</v>
      </c>
      <c r="BJ95" s="252">
        <f>SUBTOTAL(9,BJ96:BJ103)</f>
        <v>0</v>
      </c>
      <c r="BK95" s="252">
        <f>SUBTOTAL(9,BK96:BK103)</f>
        <v>824.74348799999996</v>
      </c>
      <c r="BL95" s="252">
        <f>SUBTOTAL(9,BL96:BL103)</f>
        <v>0</v>
      </c>
      <c r="BM95" s="257">
        <f t="shared" si="57"/>
        <v>2021.1164880000001</v>
      </c>
      <c r="BO95" s="714" t="str">
        <f t="shared" si="60"/>
        <v/>
      </c>
    </row>
    <row r="96" spans="2:67" ht="15" customHeight="1" x14ac:dyDescent="0.25">
      <c r="B96" s="19">
        <v>1</v>
      </c>
      <c r="C96" s="44" t="s">
        <v>115</v>
      </c>
      <c r="D96" s="45"/>
      <c r="E96" s="105" t="s">
        <v>116</v>
      </c>
      <c r="G96" s="477">
        <f>'[15]TUoS (t)'!G94</f>
        <v>0</v>
      </c>
      <c r="H96" s="478">
        <f>'[15]TUoS (t)'!H94</f>
        <v>8.2000000000000007E-3</v>
      </c>
      <c r="I96" s="461"/>
      <c r="J96" s="461"/>
      <c r="K96" s="462"/>
      <c r="L96" s="461"/>
      <c r="M96" s="461"/>
      <c r="N96" s="461"/>
      <c r="O96" s="462"/>
      <c r="P96" s="461"/>
      <c r="Q96" s="461"/>
      <c r="R96" s="462"/>
      <c r="S96" s="478">
        <f>'[15]TUoS (t)'!S94</f>
        <v>0.10829999999999999</v>
      </c>
      <c r="T96" s="483">
        <f>'[15]TUoS (t)'!T94</f>
        <v>0</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58"/>
        <v>0</v>
      </c>
      <c r="AP96" s="184">
        <f t="shared" si="61"/>
        <v>0</v>
      </c>
      <c r="AQ96" s="178">
        <f t="shared" si="61"/>
        <v>0</v>
      </c>
      <c r="AR96" s="178">
        <f t="shared" si="61"/>
        <v>0</v>
      </c>
      <c r="AS96" s="179">
        <f t="shared" si="61"/>
        <v>0</v>
      </c>
      <c r="AT96" s="178">
        <f t="shared" si="61"/>
        <v>0</v>
      </c>
      <c r="AU96" s="178">
        <f t="shared" si="61"/>
        <v>0</v>
      </c>
      <c r="AV96" s="178">
        <f t="shared" si="61"/>
        <v>0</v>
      </c>
      <c r="AW96" s="179">
        <f t="shared" si="61"/>
        <v>0</v>
      </c>
      <c r="AX96" s="178">
        <f t="shared" si="62"/>
        <v>0</v>
      </c>
      <c r="AY96" s="178">
        <f t="shared" si="62"/>
        <v>0</v>
      </c>
      <c r="AZ96" s="179">
        <f t="shared" si="62"/>
        <v>0</v>
      </c>
      <c r="BA96" s="184">
        <f t="shared" si="62"/>
        <v>0</v>
      </c>
      <c r="BB96" s="178">
        <f t="shared" si="62"/>
        <v>0</v>
      </c>
      <c r="BC96" s="184">
        <f t="shared" si="62"/>
        <v>0</v>
      </c>
      <c r="BD96" s="178">
        <f t="shared" si="62"/>
        <v>0</v>
      </c>
      <c r="BE96" s="244">
        <f t="shared" si="59"/>
        <v>0</v>
      </c>
      <c r="BF96" s="245">
        <f t="shared" si="56"/>
        <v>0</v>
      </c>
      <c r="BH96" s="255">
        <f t="shared" ref="BH96:BH103" si="63">SUM(AO96)</f>
        <v>0</v>
      </c>
      <c r="BI96" s="255">
        <f t="shared" ref="BI96:BI103" si="64">SUM(AP96:AS96)</f>
        <v>0</v>
      </c>
      <c r="BJ96" s="255">
        <f t="shared" ref="BJ96:BJ103" si="65">SUM(AT96:AW96)</f>
        <v>0</v>
      </c>
      <c r="BK96" s="256">
        <f t="shared" ref="BK96:BK103" si="66">SUM(AX96:BB96)</f>
        <v>0</v>
      </c>
      <c r="BL96" s="262">
        <f t="shared" ref="BL96:BL103" si="67">SUM(BC96:BD96)</f>
        <v>0</v>
      </c>
      <c r="BM96" s="257">
        <f t="shared" si="57"/>
        <v>0</v>
      </c>
      <c r="BO96" s="714" t="str">
        <f t="shared" si="60"/>
        <v/>
      </c>
    </row>
    <row r="97" spans="2:67" ht="15" customHeight="1" x14ac:dyDescent="0.25">
      <c r="B97" s="19">
        <f>1+B96</f>
        <v>2</v>
      </c>
      <c r="C97" s="44" t="s">
        <v>117</v>
      </c>
      <c r="D97" s="45"/>
      <c r="E97" s="105" t="s">
        <v>118</v>
      </c>
      <c r="G97" s="477">
        <f>'[15]TUoS (t)'!G95</f>
        <v>0</v>
      </c>
      <c r="H97" s="478">
        <f>'[15]TUoS (t)'!H95</f>
        <v>8.2000000000000007E-3</v>
      </c>
      <c r="I97" s="461"/>
      <c r="J97" s="461"/>
      <c r="K97" s="462"/>
      <c r="L97" s="461"/>
      <c r="M97" s="461"/>
      <c r="N97" s="461"/>
      <c r="O97" s="462"/>
      <c r="P97" s="461"/>
      <c r="Q97" s="461"/>
      <c r="R97" s="462"/>
      <c r="S97" s="478">
        <f>'[15]TUoS (t)'!S95</f>
        <v>0.10829999999999999</v>
      </c>
      <c r="T97" s="483">
        <f>'[15]TUoS (t)'!T95</f>
        <v>0</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58"/>
        <v>0</v>
      </c>
      <c r="AP97" s="184">
        <f t="shared" si="61"/>
        <v>145.46800000000002</v>
      </c>
      <c r="AQ97" s="178">
        <f t="shared" si="61"/>
        <v>0</v>
      </c>
      <c r="AR97" s="178">
        <f t="shared" si="61"/>
        <v>0</v>
      </c>
      <c r="AS97" s="179">
        <f t="shared" si="61"/>
        <v>0</v>
      </c>
      <c r="AT97" s="178">
        <f t="shared" si="61"/>
        <v>0</v>
      </c>
      <c r="AU97" s="178">
        <f t="shared" si="61"/>
        <v>0</v>
      </c>
      <c r="AV97" s="178">
        <f t="shared" si="61"/>
        <v>0</v>
      </c>
      <c r="AW97" s="179">
        <f t="shared" si="61"/>
        <v>0</v>
      </c>
      <c r="AX97" s="178">
        <f t="shared" si="62"/>
        <v>0</v>
      </c>
      <c r="AY97" s="178">
        <f t="shared" si="62"/>
        <v>0</v>
      </c>
      <c r="AZ97" s="179">
        <f t="shared" si="62"/>
        <v>0</v>
      </c>
      <c r="BA97" s="184">
        <f t="shared" si="62"/>
        <v>153.92787300000001</v>
      </c>
      <c r="BB97" s="178">
        <f t="shared" si="62"/>
        <v>0</v>
      </c>
      <c r="BC97" s="184">
        <f t="shared" si="62"/>
        <v>0</v>
      </c>
      <c r="BD97" s="178">
        <f t="shared" si="62"/>
        <v>0</v>
      </c>
      <c r="BE97" s="244">
        <f t="shared" si="59"/>
        <v>1</v>
      </c>
      <c r="BF97" s="245">
        <f t="shared" si="56"/>
        <v>17740</v>
      </c>
      <c r="BH97" s="255">
        <f t="shared" si="63"/>
        <v>0</v>
      </c>
      <c r="BI97" s="255">
        <f t="shared" si="64"/>
        <v>145.46800000000002</v>
      </c>
      <c r="BJ97" s="255">
        <f t="shared" si="65"/>
        <v>0</v>
      </c>
      <c r="BK97" s="256">
        <f t="shared" si="66"/>
        <v>153.92787300000001</v>
      </c>
      <c r="BL97" s="262">
        <f t="shared" si="67"/>
        <v>0</v>
      </c>
      <c r="BM97" s="257">
        <f t="shared" si="57"/>
        <v>299.39587300000005</v>
      </c>
      <c r="BO97" s="714">
        <f t="shared" si="60"/>
        <v>16.876881228861336</v>
      </c>
    </row>
    <row r="98" spans="2:67" ht="15" customHeight="1" x14ac:dyDescent="0.25">
      <c r="B98" s="19">
        <f t="shared" ref="B98:B129" si="68">B97+1</f>
        <v>3</v>
      </c>
      <c r="C98" s="44" t="s">
        <v>122</v>
      </c>
      <c r="D98" s="45"/>
      <c r="E98" s="105" t="s">
        <v>118</v>
      </c>
      <c r="G98" s="477">
        <f>'[15]TUoS (t)'!G96</f>
        <v>0</v>
      </c>
      <c r="H98" s="478">
        <f>'[15]TUoS (t)'!H96</f>
        <v>8.2000000000000007E-3</v>
      </c>
      <c r="I98" s="461"/>
      <c r="J98" s="461"/>
      <c r="K98" s="462"/>
      <c r="L98" s="461"/>
      <c r="M98" s="461"/>
      <c r="N98" s="461"/>
      <c r="O98" s="462"/>
      <c r="P98" s="461"/>
      <c r="Q98" s="461"/>
      <c r="R98" s="462"/>
      <c r="S98" s="478">
        <f>'[15]TUoS (t)'!S96</f>
        <v>0.10829999999999999</v>
      </c>
      <c r="T98" s="483">
        <f>'[15]TUoS (t)'!T96</f>
        <v>0</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58"/>
        <v>0</v>
      </c>
      <c r="AP98" s="184">
        <f t="shared" si="61"/>
        <v>200.40800000000002</v>
      </c>
      <c r="AQ98" s="178">
        <f t="shared" si="61"/>
        <v>0</v>
      </c>
      <c r="AR98" s="178">
        <f t="shared" si="61"/>
        <v>0</v>
      </c>
      <c r="AS98" s="179">
        <f t="shared" si="61"/>
        <v>0</v>
      </c>
      <c r="AT98" s="178">
        <f t="shared" si="61"/>
        <v>0</v>
      </c>
      <c r="AU98" s="178">
        <f t="shared" si="61"/>
        <v>0</v>
      </c>
      <c r="AV98" s="178">
        <f t="shared" si="61"/>
        <v>0</v>
      </c>
      <c r="AW98" s="179">
        <f t="shared" si="61"/>
        <v>0</v>
      </c>
      <c r="AX98" s="178">
        <f t="shared" si="62"/>
        <v>0</v>
      </c>
      <c r="AY98" s="178">
        <f t="shared" si="62"/>
        <v>0</v>
      </c>
      <c r="AZ98" s="179">
        <f t="shared" si="62"/>
        <v>0</v>
      </c>
      <c r="BA98" s="184">
        <f t="shared" si="62"/>
        <v>159.18529649999999</v>
      </c>
      <c r="BB98" s="178">
        <f t="shared" si="62"/>
        <v>0</v>
      </c>
      <c r="BC98" s="184">
        <f t="shared" si="62"/>
        <v>0</v>
      </c>
      <c r="BD98" s="178">
        <f t="shared" si="62"/>
        <v>0</v>
      </c>
      <c r="BE98" s="244">
        <f>X98/$BE$7</f>
        <v>1</v>
      </c>
      <c r="BF98" s="245">
        <f t="shared" si="56"/>
        <v>24440</v>
      </c>
      <c r="BH98" s="255">
        <f t="shared" si="63"/>
        <v>0</v>
      </c>
      <c r="BI98" s="255">
        <f t="shared" si="64"/>
        <v>200.40800000000002</v>
      </c>
      <c r="BJ98" s="255">
        <f t="shared" si="65"/>
        <v>0</v>
      </c>
      <c r="BK98" s="256">
        <f t="shared" si="66"/>
        <v>159.18529649999999</v>
      </c>
      <c r="BL98" s="262">
        <f t="shared" si="67"/>
        <v>0</v>
      </c>
      <c r="BM98" s="257">
        <f>SUM(BH98:BL98)</f>
        <v>359.59329650000001</v>
      </c>
      <c r="BO98" s="714">
        <f t="shared" si="60"/>
        <v>14.713310004091653</v>
      </c>
    </row>
    <row r="99" spans="2:67" ht="15" customHeight="1" x14ac:dyDescent="0.25">
      <c r="B99" s="19">
        <f t="shared" si="68"/>
        <v>4</v>
      </c>
      <c r="C99" s="44" t="s">
        <v>123</v>
      </c>
      <c r="D99" s="45"/>
      <c r="E99" s="105" t="s">
        <v>118</v>
      </c>
      <c r="G99" s="477">
        <f>'[15]TUoS (t)'!G97</f>
        <v>509.78</v>
      </c>
      <c r="H99" s="478">
        <f>'[15]TUoS (t)'!H97</f>
        <v>0</v>
      </c>
      <c r="I99" s="461"/>
      <c r="J99" s="461"/>
      <c r="K99" s="462"/>
      <c r="L99" s="461"/>
      <c r="M99" s="461"/>
      <c r="N99" s="461"/>
      <c r="O99" s="462"/>
      <c r="P99" s="461"/>
      <c r="Q99" s="461"/>
      <c r="R99" s="462"/>
      <c r="S99" s="478">
        <f>'[15]TUoS (t)'!S97</f>
        <v>0</v>
      </c>
      <c r="T99" s="483">
        <f>'[15]TUoS (t)'!T97</f>
        <v>0</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58"/>
        <v>186.06969999999998</v>
      </c>
      <c r="AP99" s="184">
        <f t="shared" si="61"/>
        <v>0</v>
      </c>
      <c r="AQ99" s="178">
        <f t="shared" si="61"/>
        <v>0</v>
      </c>
      <c r="AR99" s="178">
        <f t="shared" si="61"/>
        <v>0</v>
      </c>
      <c r="AS99" s="179">
        <f t="shared" si="61"/>
        <v>0</v>
      </c>
      <c r="AT99" s="178">
        <f t="shared" si="61"/>
        <v>0</v>
      </c>
      <c r="AU99" s="178">
        <f t="shared" si="61"/>
        <v>0</v>
      </c>
      <c r="AV99" s="178">
        <f t="shared" si="61"/>
        <v>0</v>
      </c>
      <c r="AW99" s="179">
        <f t="shared" si="61"/>
        <v>0</v>
      </c>
      <c r="AX99" s="178">
        <f t="shared" si="62"/>
        <v>0</v>
      </c>
      <c r="AY99" s="178">
        <f t="shared" si="62"/>
        <v>0</v>
      </c>
      <c r="AZ99" s="179">
        <f t="shared" si="62"/>
        <v>0</v>
      </c>
      <c r="BA99" s="184">
        <f t="shared" si="62"/>
        <v>0</v>
      </c>
      <c r="BB99" s="178">
        <f t="shared" si="62"/>
        <v>0</v>
      </c>
      <c r="BC99" s="184">
        <f t="shared" si="62"/>
        <v>0</v>
      </c>
      <c r="BD99" s="178">
        <f t="shared" si="62"/>
        <v>0</v>
      </c>
      <c r="BE99" s="244">
        <f>X99/$BE$7</f>
        <v>1</v>
      </c>
      <c r="BF99" s="245">
        <f t="shared" si="56"/>
        <v>11380</v>
      </c>
      <c r="BH99" s="255">
        <f t="shared" si="63"/>
        <v>186.06969999999998</v>
      </c>
      <c r="BI99" s="255">
        <f t="shared" si="64"/>
        <v>0</v>
      </c>
      <c r="BJ99" s="255">
        <f t="shared" si="65"/>
        <v>0</v>
      </c>
      <c r="BK99" s="256">
        <f t="shared" si="66"/>
        <v>0</v>
      </c>
      <c r="BL99" s="262">
        <f t="shared" si="67"/>
        <v>0</v>
      </c>
      <c r="BM99" s="257">
        <f>SUM(BH99:BL99)</f>
        <v>186.06969999999998</v>
      </c>
      <c r="BO99" s="714">
        <f t="shared" si="60"/>
        <v>16.350588752196835</v>
      </c>
    </row>
    <row r="100" spans="2:67" ht="15" customHeight="1" x14ac:dyDescent="0.25">
      <c r="B100" s="19">
        <f t="shared" si="68"/>
        <v>5</v>
      </c>
      <c r="C100" s="44" t="s">
        <v>119</v>
      </c>
      <c r="D100" s="45"/>
      <c r="E100" s="105" t="s">
        <v>118</v>
      </c>
      <c r="G100" s="477">
        <f>'[15]TUoS (t)'!G98</f>
        <v>0</v>
      </c>
      <c r="H100" s="478">
        <f>'[15]TUoS (t)'!H98</f>
        <v>8.2000000000000007E-3</v>
      </c>
      <c r="I100" s="461"/>
      <c r="J100" s="461"/>
      <c r="K100" s="462"/>
      <c r="L100" s="461"/>
      <c r="M100" s="461"/>
      <c r="N100" s="461"/>
      <c r="O100" s="462"/>
      <c r="P100" s="461"/>
      <c r="Q100" s="461"/>
      <c r="R100" s="462"/>
      <c r="S100" s="478">
        <f>'[15]TUoS (t)'!S98</f>
        <v>0.10829999999999999</v>
      </c>
      <c r="T100" s="483">
        <f>'[15]TUoS (t)'!T98</f>
        <v>0</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58"/>
        <v>0</v>
      </c>
      <c r="AP100" s="184">
        <f t="shared" si="61"/>
        <v>205.24600000000001</v>
      </c>
      <c r="AQ100" s="178">
        <f t="shared" si="61"/>
        <v>0</v>
      </c>
      <c r="AR100" s="178">
        <f t="shared" si="61"/>
        <v>0</v>
      </c>
      <c r="AS100" s="179">
        <f t="shared" si="61"/>
        <v>0</v>
      </c>
      <c r="AT100" s="178">
        <f t="shared" si="61"/>
        <v>0</v>
      </c>
      <c r="AU100" s="178">
        <f t="shared" si="61"/>
        <v>0</v>
      </c>
      <c r="AV100" s="178">
        <f t="shared" si="61"/>
        <v>0</v>
      </c>
      <c r="AW100" s="179">
        <f t="shared" si="61"/>
        <v>0</v>
      </c>
      <c r="AX100" s="178">
        <f t="shared" si="62"/>
        <v>0</v>
      </c>
      <c r="AY100" s="178">
        <f t="shared" si="62"/>
        <v>0</v>
      </c>
      <c r="AZ100" s="179">
        <f t="shared" si="62"/>
        <v>0</v>
      </c>
      <c r="BA100" s="184">
        <f t="shared" si="62"/>
        <v>251.9215035</v>
      </c>
      <c r="BB100" s="178">
        <f t="shared" si="62"/>
        <v>0</v>
      </c>
      <c r="BC100" s="184">
        <f t="shared" si="62"/>
        <v>0</v>
      </c>
      <c r="BD100" s="178">
        <f t="shared" si="62"/>
        <v>0</v>
      </c>
      <c r="BE100" s="244">
        <f t="shared" si="59"/>
        <v>1</v>
      </c>
      <c r="BF100" s="245">
        <f t="shared" si="56"/>
        <v>25030</v>
      </c>
      <c r="BH100" s="255">
        <f t="shared" si="63"/>
        <v>0</v>
      </c>
      <c r="BI100" s="255">
        <f t="shared" si="64"/>
        <v>205.24600000000001</v>
      </c>
      <c r="BJ100" s="255">
        <f t="shared" si="65"/>
        <v>0</v>
      </c>
      <c r="BK100" s="256">
        <f t="shared" si="66"/>
        <v>251.9215035</v>
      </c>
      <c r="BL100" s="262">
        <f t="shared" si="67"/>
        <v>0</v>
      </c>
      <c r="BM100" s="257">
        <f t="shared" si="57"/>
        <v>457.16750350000001</v>
      </c>
      <c r="BO100" s="714">
        <f t="shared" si="60"/>
        <v>18.264782401118659</v>
      </c>
    </row>
    <row r="101" spans="2:67" ht="15" customHeight="1" x14ac:dyDescent="0.25">
      <c r="B101" s="19">
        <f t="shared" si="68"/>
        <v>6</v>
      </c>
      <c r="C101" s="44" t="s">
        <v>708</v>
      </c>
      <c r="D101" s="45"/>
      <c r="E101" s="105" t="s">
        <v>118</v>
      </c>
      <c r="G101" s="862">
        <f>G72</f>
        <v>0</v>
      </c>
      <c r="H101" s="863">
        <f>I72/2+K72/2</f>
        <v>1.065E-2</v>
      </c>
      <c r="I101" s="461"/>
      <c r="J101" s="461"/>
      <c r="K101" s="462"/>
      <c r="L101" s="461"/>
      <c r="M101" s="461"/>
      <c r="N101" s="461"/>
      <c r="O101" s="462"/>
      <c r="P101" s="461"/>
      <c r="Q101" s="461"/>
      <c r="R101" s="462"/>
      <c r="S101" s="863">
        <f>S72</f>
        <v>0.10829999999999999</v>
      </c>
      <c r="T101" s="851">
        <f>T72</f>
        <v>0</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 t="shared" si="58"/>
        <v>0</v>
      </c>
      <c r="AP101" s="184">
        <f t="shared" ref="AP101:AW116" si="69">H101*Y101</f>
        <v>123.45479999999999</v>
      </c>
      <c r="AQ101" s="178">
        <f t="shared" si="69"/>
        <v>0</v>
      </c>
      <c r="AR101" s="178">
        <f t="shared" si="69"/>
        <v>0</v>
      </c>
      <c r="AS101" s="179">
        <f t="shared" si="69"/>
        <v>0</v>
      </c>
      <c r="AT101" s="178">
        <f t="shared" si="69"/>
        <v>0</v>
      </c>
      <c r="AU101" s="178">
        <f t="shared" si="69"/>
        <v>0</v>
      </c>
      <c r="AV101" s="178">
        <f t="shared" si="69"/>
        <v>0</v>
      </c>
      <c r="AW101" s="179">
        <f t="shared" si="69"/>
        <v>0</v>
      </c>
      <c r="AX101" s="178">
        <f t="shared" si="62"/>
        <v>0</v>
      </c>
      <c r="AY101" s="178">
        <f t="shared" si="62"/>
        <v>0</v>
      </c>
      <c r="AZ101" s="179">
        <f t="shared" si="62"/>
        <v>0</v>
      </c>
      <c r="BA101" s="184">
        <f t="shared" si="62"/>
        <v>118.7861475</v>
      </c>
      <c r="BB101" s="178">
        <f t="shared" si="62"/>
        <v>0</v>
      </c>
      <c r="BC101" s="184">
        <f t="shared" si="62"/>
        <v>0</v>
      </c>
      <c r="BD101" s="178">
        <f t="shared" si="62"/>
        <v>0</v>
      </c>
      <c r="BE101" s="244">
        <f t="shared" si="59"/>
        <v>1</v>
      </c>
      <c r="BF101" s="245">
        <f t="shared" si="56"/>
        <v>11592</v>
      </c>
      <c r="BH101" s="255">
        <f t="shared" si="63"/>
        <v>0</v>
      </c>
      <c r="BI101" s="255">
        <f t="shared" si="64"/>
        <v>123.45479999999999</v>
      </c>
      <c r="BJ101" s="255">
        <f t="shared" si="65"/>
        <v>0</v>
      </c>
      <c r="BK101" s="256">
        <f t="shared" si="66"/>
        <v>118.7861475</v>
      </c>
      <c r="BL101" s="262">
        <f t="shared" si="67"/>
        <v>0</v>
      </c>
      <c r="BM101" s="257">
        <f t="shared" si="57"/>
        <v>242.2409475</v>
      </c>
      <c r="BO101" s="714">
        <f t="shared" si="60"/>
        <v>20.897252199792963</v>
      </c>
    </row>
    <row r="102" spans="2:67" ht="15" customHeight="1" x14ac:dyDescent="0.25">
      <c r="B102" s="19">
        <f t="shared" si="68"/>
        <v>7</v>
      </c>
      <c r="C102" s="44" t="s">
        <v>120</v>
      </c>
      <c r="D102" s="45"/>
      <c r="E102" s="105" t="s">
        <v>118</v>
      </c>
      <c r="G102" s="477">
        <f>'[15]TUoS (t)'!G99</f>
        <v>0</v>
      </c>
      <c r="H102" s="478">
        <f>'[15]TUoS (t)'!H99</f>
        <v>8.2000000000000007E-3</v>
      </c>
      <c r="I102" s="461"/>
      <c r="J102" s="461"/>
      <c r="K102" s="462"/>
      <c r="L102" s="461"/>
      <c r="M102" s="461"/>
      <c r="N102" s="461"/>
      <c r="O102" s="462"/>
      <c r="P102" s="461"/>
      <c r="Q102" s="461"/>
      <c r="R102" s="462"/>
      <c r="S102" s="478">
        <f>'[15]TUoS (t)'!S99</f>
        <v>0.10829999999999999</v>
      </c>
      <c r="T102" s="483">
        <f>'[15]TUoS (t)'!T99</f>
        <v>0</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58"/>
        <v>0</v>
      </c>
      <c r="AP102" s="184">
        <f t="shared" si="69"/>
        <v>24.272000000000002</v>
      </c>
      <c r="AQ102" s="178">
        <f t="shared" si="69"/>
        <v>0</v>
      </c>
      <c r="AR102" s="178">
        <f t="shared" si="69"/>
        <v>0</v>
      </c>
      <c r="AS102" s="179">
        <f t="shared" si="69"/>
        <v>0</v>
      </c>
      <c r="AT102" s="178">
        <f t="shared" si="69"/>
        <v>0</v>
      </c>
      <c r="AU102" s="178">
        <f t="shared" si="69"/>
        <v>0</v>
      </c>
      <c r="AV102" s="178">
        <f t="shared" si="69"/>
        <v>0</v>
      </c>
      <c r="AW102" s="179">
        <f t="shared" si="69"/>
        <v>0</v>
      </c>
      <c r="AX102" s="178">
        <f t="shared" si="62"/>
        <v>0</v>
      </c>
      <c r="AY102" s="178">
        <f t="shared" si="62"/>
        <v>0</v>
      </c>
      <c r="AZ102" s="179">
        <f t="shared" si="62"/>
        <v>0</v>
      </c>
      <c r="BA102" s="184">
        <f t="shared" si="62"/>
        <v>140.92266749999999</v>
      </c>
      <c r="BB102" s="178">
        <f t="shared" si="62"/>
        <v>0</v>
      </c>
      <c r="BC102" s="184">
        <f t="shared" si="62"/>
        <v>0</v>
      </c>
      <c r="BD102" s="178">
        <f t="shared" si="62"/>
        <v>0</v>
      </c>
      <c r="BE102" s="244">
        <f t="shared" si="59"/>
        <v>1</v>
      </c>
      <c r="BF102" s="245">
        <f t="shared" si="56"/>
        <v>2960</v>
      </c>
      <c r="BH102" s="255">
        <f t="shared" si="63"/>
        <v>0</v>
      </c>
      <c r="BI102" s="255">
        <f t="shared" si="64"/>
        <v>24.272000000000002</v>
      </c>
      <c r="BJ102" s="255">
        <f t="shared" si="65"/>
        <v>0</v>
      </c>
      <c r="BK102" s="256">
        <f t="shared" si="66"/>
        <v>140.92266749999999</v>
      </c>
      <c r="BL102" s="262">
        <f t="shared" si="67"/>
        <v>0</v>
      </c>
      <c r="BM102" s="257">
        <f t="shared" si="57"/>
        <v>165.19466749999998</v>
      </c>
      <c r="BO102" s="714">
        <f t="shared" si="60"/>
        <v>55.809009290540537</v>
      </c>
    </row>
    <row r="103" spans="2:67" ht="15" customHeight="1" x14ac:dyDescent="0.25">
      <c r="B103" s="19">
        <f t="shared" si="68"/>
        <v>8</v>
      </c>
      <c r="C103" s="44" t="s">
        <v>121</v>
      </c>
      <c r="D103" s="45"/>
      <c r="E103" s="105" t="s">
        <v>118</v>
      </c>
      <c r="G103" s="477">
        <f>'[15]TUoS (t)'!G100</f>
        <v>853.3</v>
      </c>
      <c r="H103" s="478">
        <f>'[15]TUoS (t)'!H100</f>
        <v>0</v>
      </c>
      <c r="I103" s="461"/>
      <c r="J103" s="461"/>
      <c r="K103" s="462"/>
      <c r="L103" s="461"/>
      <c r="M103" s="461"/>
      <c r="N103" s="461"/>
      <c r="O103" s="462"/>
      <c r="P103" s="461"/>
      <c r="Q103" s="461"/>
      <c r="R103" s="462"/>
      <c r="S103" s="478">
        <f>'[15]TUoS (t)'!S100</f>
        <v>0</v>
      </c>
      <c r="T103" s="483">
        <f>'[15]TUoS (t)'!T100</f>
        <v>0</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58"/>
        <v>311.4545</v>
      </c>
      <c r="AP103" s="184">
        <f t="shared" si="69"/>
        <v>0</v>
      </c>
      <c r="AQ103" s="178">
        <f t="shared" si="69"/>
        <v>0</v>
      </c>
      <c r="AR103" s="178">
        <f t="shared" si="69"/>
        <v>0</v>
      </c>
      <c r="AS103" s="179">
        <f t="shared" si="69"/>
        <v>0</v>
      </c>
      <c r="AT103" s="178">
        <f t="shared" si="69"/>
        <v>0</v>
      </c>
      <c r="AU103" s="178">
        <f t="shared" si="69"/>
        <v>0</v>
      </c>
      <c r="AV103" s="178">
        <f t="shared" si="69"/>
        <v>0</v>
      </c>
      <c r="AW103" s="179">
        <f t="shared" si="69"/>
        <v>0</v>
      </c>
      <c r="AX103" s="178">
        <f t="shared" si="62"/>
        <v>0</v>
      </c>
      <c r="AY103" s="178">
        <f t="shared" si="62"/>
        <v>0</v>
      </c>
      <c r="AZ103" s="179">
        <f t="shared" si="62"/>
        <v>0</v>
      </c>
      <c r="BA103" s="184">
        <f t="shared" si="62"/>
        <v>0</v>
      </c>
      <c r="BB103" s="178">
        <f t="shared" si="62"/>
        <v>0</v>
      </c>
      <c r="BC103" s="184">
        <f t="shared" si="62"/>
        <v>0</v>
      </c>
      <c r="BD103" s="178">
        <f t="shared" si="62"/>
        <v>0</v>
      </c>
      <c r="BE103" s="244">
        <f t="shared" si="59"/>
        <v>1</v>
      </c>
      <c r="BF103" s="245">
        <f t="shared" si="56"/>
        <v>24300</v>
      </c>
      <c r="BH103" s="255">
        <f t="shared" si="63"/>
        <v>311.4545</v>
      </c>
      <c r="BI103" s="255">
        <f t="shared" si="64"/>
        <v>0</v>
      </c>
      <c r="BJ103" s="255">
        <f t="shared" si="65"/>
        <v>0</v>
      </c>
      <c r="BK103" s="256">
        <f t="shared" si="66"/>
        <v>0</v>
      </c>
      <c r="BL103" s="262">
        <f t="shared" si="67"/>
        <v>0</v>
      </c>
      <c r="BM103" s="257">
        <f t="shared" si="57"/>
        <v>311.4545</v>
      </c>
      <c r="BO103" s="714">
        <f t="shared" si="60"/>
        <v>12.817057613168725</v>
      </c>
    </row>
    <row r="104" spans="2:67"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58"/>
        <v>0</v>
      </c>
      <c r="AP104" s="184">
        <f t="shared" si="69"/>
        <v>0</v>
      </c>
      <c r="AQ104" s="178">
        <f t="shared" si="69"/>
        <v>0</v>
      </c>
      <c r="AR104" s="178">
        <f t="shared" si="69"/>
        <v>0</v>
      </c>
      <c r="AS104" s="179">
        <f t="shared" si="69"/>
        <v>0</v>
      </c>
      <c r="AT104" s="178">
        <f t="shared" si="69"/>
        <v>0</v>
      </c>
      <c r="AU104" s="178">
        <f t="shared" si="69"/>
        <v>0</v>
      </c>
      <c r="AV104" s="178">
        <f t="shared" si="69"/>
        <v>0</v>
      </c>
      <c r="AW104" s="179">
        <f t="shared" si="69"/>
        <v>0</v>
      </c>
      <c r="AX104" s="178">
        <f t="shared" si="62"/>
        <v>0</v>
      </c>
      <c r="AY104" s="178">
        <f t="shared" si="62"/>
        <v>0</v>
      </c>
      <c r="AZ104" s="179">
        <f t="shared" si="62"/>
        <v>0</v>
      </c>
      <c r="BA104" s="184">
        <f t="shared" si="62"/>
        <v>0</v>
      </c>
      <c r="BB104" s="178">
        <f t="shared" si="62"/>
        <v>0</v>
      </c>
      <c r="BC104" s="184">
        <f t="shared" si="62"/>
        <v>0</v>
      </c>
      <c r="BD104" s="178">
        <f t="shared" si="62"/>
        <v>0</v>
      </c>
      <c r="BE104" s="244">
        <f t="shared" si="59"/>
        <v>0</v>
      </c>
      <c r="BF104" s="245">
        <f t="shared" si="56"/>
        <v>0</v>
      </c>
      <c r="BH104" s="252">
        <f>SUBTOTAL(9,BH105:BH114)</f>
        <v>2462.9104999999995</v>
      </c>
      <c r="BI104" s="252">
        <f>SUBTOTAL(9,BI105:BI114)</f>
        <v>178.596</v>
      </c>
      <c r="BJ104" s="252">
        <f>SUBTOTAL(9,BJ105:BJ114)</f>
        <v>0</v>
      </c>
      <c r="BK104" s="252">
        <f>SUBTOTAL(9,BK105:BK114)</f>
        <v>2825.6687794999993</v>
      </c>
      <c r="BL104" s="252">
        <f>SUBTOTAL(9,BL105:BL114)</f>
        <v>0</v>
      </c>
      <c r="BM104" s="257">
        <f t="shared" si="57"/>
        <v>5467.1752794999993</v>
      </c>
      <c r="BO104" s="714" t="str">
        <f t="shared" si="60"/>
        <v/>
      </c>
    </row>
    <row r="105" spans="2:67" ht="15" customHeight="1" x14ac:dyDescent="0.25">
      <c r="B105" s="19">
        <f>B103+1</f>
        <v>9</v>
      </c>
      <c r="C105" s="44" t="s">
        <v>125</v>
      </c>
      <c r="D105" s="45"/>
      <c r="E105" s="105" t="s">
        <v>126</v>
      </c>
      <c r="G105" s="477">
        <f>'[15]TUoS (t)'!G102</f>
        <v>3207.2</v>
      </c>
      <c r="H105" s="478">
        <f>'[15]TUoS (t)'!H102</f>
        <v>0</v>
      </c>
      <c r="I105" s="461"/>
      <c r="J105" s="461"/>
      <c r="K105" s="462"/>
      <c r="L105" s="461"/>
      <c r="M105" s="461"/>
      <c r="N105" s="461"/>
      <c r="O105" s="462"/>
      <c r="P105" s="461"/>
      <c r="Q105" s="461"/>
      <c r="R105" s="462"/>
      <c r="S105" s="478">
        <f>'[15]TUoS (t)'!S102</f>
        <v>0</v>
      </c>
      <c r="T105" s="483">
        <f>'[15]TUoS (t)'!T102</f>
        <v>0</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58"/>
        <v>1170.6279999999999</v>
      </c>
      <c r="AP105" s="184">
        <f t="shared" si="69"/>
        <v>0</v>
      </c>
      <c r="AQ105" s="178">
        <f t="shared" si="69"/>
        <v>0</v>
      </c>
      <c r="AR105" s="178">
        <f t="shared" si="69"/>
        <v>0</v>
      </c>
      <c r="AS105" s="179">
        <f t="shared" si="69"/>
        <v>0</v>
      </c>
      <c r="AT105" s="178">
        <f t="shared" si="69"/>
        <v>0</v>
      </c>
      <c r="AU105" s="178">
        <f t="shared" si="69"/>
        <v>0</v>
      </c>
      <c r="AV105" s="178">
        <f t="shared" si="69"/>
        <v>0</v>
      </c>
      <c r="AW105" s="179">
        <f t="shared" si="69"/>
        <v>0</v>
      </c>
      <c r="AX105" s="178">
        <f t="shared" si="62"/>
        <v>0</v>
      </c>
      <c r="AY105" s="178">
        <f t="shared" si="62"/>
        <v>0</v>
      </c>
      <c r="AZ105" s="179">
        <f t="shared" si="62"/>
        <v>0</v>
      </c>
      <c r="BA105" s="184">
        <f t="shared" si="62"/>
        <v>0</v>
      </c>
      <c r="BB105" s="178">
        <f t="shared" si="62"/>
        <v>0</v>
      </c>
      <c r="BC105" s="184">
        <f t="shared" si="62"/>
        <v>0</v>
      </c>
      <c r="BD105" s="178">
        <f t="shared" si="62"/>
        <v>0</v>
      </c>
      <c r="BE105" s="244">
        <f t="shared" si="59"/>
        <v>1</v>
      </c>
      <c r="BF105" s="245">
        <f t="shared" si="56"/>
        <v>70500</v>
      </c>
      <c r="BH105" s="255">
        <f t="shared" ref="BH105:BH114" si="70">SUM(AO105)</f>
        <v>1170.6279999999999</v>
      </c>
      <c r="BI105" s="255">
        <f t="shared" ref="BI105:BI114" si="71">SUM(AP105:AS105)</f>
        <v>0</v>
      </c>
      <c r="BJ105" s="255">
        <f t="shared" ref="BJ105:BJ114" si="72">SUM(AT105:AW105)</f>
        <v>0</v>
      </c>
      <c r="BK105" s="256">
        <f t="shared" ref="BK105:BK114" si="73">SUM(AX105:BB105)</f>
        <v>0</v>
      </c>
      <c r="BL105" s="262">
        <f t="shared" ref="BL105:BL114" si="74">SUM(BC105:BD105)</f>
        <v>0</v>
      </c>
      <c r="BM105" s="257">
        <f t="shared" si="57"/>
        <v>1170.6279999999999</v>
      </c>
      <c r="BO105" s="714">
        <f t="shared" si="60"/>
        <v>16.604652482269504</v>
      </c>
    </row>
    <row r="106" spans="2:67" ht="15" customHeight="1" x14ac:dyDescent="0.25">
      <c r="B106" s="19">
        <f t="shared" si="68"/>
        <v>10</v>
      </c>
      <c r="C106" s="44" t="s">
        <v>127</v>
      </c>
      <c r="D106" s="45"/>
      <c r="E106" s="105" t="s">
        <v>126</v>
      </c>
      <c r="G106" s="477">
        <f>'[15]TUoS (t)'!G103</f>
        <v>113.9</v>
      </c>
      <c r="H106" s="478">
        <f>'[15]TUoS (t)'!H103</f>
        <v>0</v>
      </c>
      <c r="I106" s="461"/>
      <c r="J106" s="461"/>
      <c r="K106" s="462"/>
      <c r="L106" s="461"/>
      <c r="M106" s="461"/>
      <c r="N106" s="461"/>
      <c r="O106" s="462"/>
      <c r="P106" s="461"/>
      <c r="Q106" s="461"/>
      <c r="R106" s="462"/>
      <c r="S106" s="478">
        <f>'[15]TUoS (t)'!S103</f>
        <v>0.16209999999999999</v>
      </c>
      <c r="T106" s="483">
        <f>'[15]TUoS (t)'!T103</f>
        <v>0</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58"/>
        <v>41.573500000000003</v>
      </c>
      <c r="AP106" s="184">
        <f t="shared" si="69"/>
        <v>0</v>
      </c>
      <c r="AQ106" s="178">
        <f t="shared" si="69"/>
        <v>0</v>
      </c>
      <c r="AR106" s="178">
        <f t="shared" si="69"/>
        <v>0</v>
      </c>
      <c r="AS106" s="179">
        <f t="shared" si="69"/>
        <v>0</v>
      </c>
      <c r="AT106" s="178">
        <f t="shared" si="69"/>
        <v>0</v>
      </c>
      <c r="AU106" s="178">
        <f t="shared" si="69"/>
        <v>0</v>
      </c>
      <c r="AV106" s="178">
        <f t="shared" si="69"/>
        <v>0</v>
      </c>
      <c r="AW106" s="179">
        <f t="shared" si="69"/>
        <v>0</v>
      </c>
      <c r="AX106" s="178">
        <f t="shared" si="62"/>
        <v>0</v>
      </c>
      <c r="AY106" s="178">
        <f t="shared" si="62"/>
        <v>0</v>
      </c>
      <c r="AZ106" s="179">
        <f t="shared" si="62"/>
        <v>0</v>
      </c>
      <c r="BA106" s="184">
        <f t="shared" si="62"/>
        <v>1430.3501374999998</v>
      </c>
      <c r="BB106" s="178">
        <f t="shared" si="62"/>
        <v>0</v>
      </c>
      <c r="BC106" s="184">
        <f t="shared" si="62"/>
        <v>0</v>
      </c>
      <c r="BD106" s="178">
        <f t="shared" si="62"/>
        <v>0</v>
      </c>
      <c r="BE106" s="244">
        <f t="shared" si="59"/>
        <v>1</v>
      </c>
      <c r="BF106" s="245">
        <f t="shared" si="56"/>
        <v>170500</v>
      </c>
      <c r="BH106" s="255">
        <f t="shared" si="70"/>
        <v>41.573500000000003</v>
      </c>
      <c r="BI106" s="255">
        <f t="shared" si="71"/>
        <v>0</v>
      </c>
      <c r="BJ106" s="255">
        <f t="shared" si="72"/>
        <v>0</v>
      </c>
      <c r="BK106" s="256">
        <f t="shared" si="73"/>
        <v>1430.3501374999998</v>
      </c>
      <c r="BL106" s="262">
        <f t="shared" si="74"/>
        <v>0</v>
      </c>
      <c r="BM106" s="257">
        <f t="shared" si="57"/>
        <v>1471.9236374999998</v>
      </c>
      <c r="BO106" s="714">
        <f t="shared" si="60"/>
        <v>8.6329832111436939</v>
      </c>
    </row>
    <row r="107" spans="2:67" ht="15" customHeight="1" x14ac:dyDescent="0.25">
      <c r="B107" s="19">
        <f t="shared" si="68"/>
        <v>11</v>
      </c>
      <c r="C107" s="44" t="s">
        <v>128</v>
      </c>
      <c r="D107" s="45"/>
      <c r="E107" s="105" t="s">
        <v>126</v>
      </c>
      <c r="G107" s="477">
        <f>'[15]TUoS (t)'!G104</f>
        <v>168.9</v>
      </c>
      <c r="H107" s="478">
        <f>'[15]TUoS (t)'!H104</f>
        <v>0</v>
      </c>
      <c r="I107" s="461"/>
      <c r="J107" s="461"/>
      <c r="K107" s="462"/>
      <c r="L107" s="461"/>
      <c r="M107" s="461"/>
      <c r="N107" s="461"/>
      <c r="O107" s="462"/>
      <c r="P107" s="461"/>
      <c r="Q107" s="461"/>
      <c r="R107" s="462"/>
      <c r="S107" s="478">
        <f>'[15]TUoS (t)'!S104</f>
        <v>0.20039999999999999</v>
      </c>
      <c r="T107" s="483">
        <f>'[15]TUoS (t)'!T104</f>
        <v>0</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58"/>
        <v>61.648499999999999</v>
      </c>
      <c r="AP107" s="184">
        <f t="shared" si="69"/>
        <v>0</v>
      </c>
      <c r="AQ107" s="178">
        <f t="shared" si="69"/>
        <v>0</v>
      </c>
      <c r="AR107" s="178">
        <f t="shared" si="69"/>
        <v>0</v>
      </c>
      <c r="AS107" s="179">
        <f t="shared" si="69"/>
        <v>0</v>
      </c>
      <c r="AT107" s="178">
        <f t="shared" si="69"/>
        <v>0</v>
      </c>
      <c r="AU107" s="178">
        <f t="shared" si="69"/>
        <v>0</v>
      </c>
      <c r="AV107" s="178">
        <f t="shared" si="69"/>
        <v>0</v>
      </c>
      <c r="AW107" s="179">
        <f t="shared" si="69"/>
        <v>0</v>
      </c>
      <c r="AX107" s="178">
        <f t="shared" si="62"/>
        <v>0</v>
      </c>
      <c r="AY107" s="178">
        <f t="shared" si="62"/>
        <v>0</v>
      </c>
      <c r="AZ107" s="179">
        <f t="shared" si="62"/>
        <v>0</v>
      </c>
      <c r="BA107" s="184">
        <f t="shared" si="62"/>
        <v>297.70421999999996</v>
      </c>
      <c r="BB107" s="178">
        <f t="shared" si="62"/>
        <v>0</v>
      </c>
      <c r="BC107" s="184">
        <f t="shared" si="62"/>
        <v>0</v>
      </c>
      <c r="BD107" s="178">
        <f t="shared" si="62"/>
        <v>0</v>
      </c>
      <c r="BE107" s="244">
        <f t="shared" si="59"/>
        <v>1</v>
      </c>
      <c r="BF107" s="245">
        <f t="shared" si="56"/>
        <v>24900</v>
      </c>
      <c r="BH107" s="255">
        <f t="shared" si="70"/>
        <v>61.648499999999999</v>
      </c>
      <c r="BI107" s="255">
        <f t="shared" si="71"/>
        <v>0</v>
      </c>
      <c r="BJ107" s="255">
        <f t="shared" si="72"/>
        <v>0</v>
      </c>
      <c r="BK107" s="256">
        <f t="shared" si="73"/>
        <v>297.70421999999996</v>
      </c>
      <c r="BL107" s="262">
        <f t="shared" si="74"/>
        <v>0</v>
      </c>
      <c r="BM107" s="257">
        <f t="shared" si="57"/>
        <v>359.35271999999998</v>
      </c>
      <c r="BO107" s="714">
        <f t="shared" si="60"/>
        <v>14.431836144578313</v>
      </c>
    </row>
    <row r="108" spans="2:67" ht="15" customHeight="1" x14ac:dyDescent="0.25">
      <c r="B108" s="19">
        <f t="shared" si="68"/>
        <v>12</v>
      </c>
      <c r="C108" s="44"/>
      <c r="D108" s="45" t="s">
        <v>129</v>
      </c>
      <c r="E108" s="105" t="s">
        <v>126</v>
      </c>
      <c r="G108" s="477">
        <f>'[15]TUoS (t)'!G105</f>
        <v>150.5</v>
      </c>
      <c r="H108" s="478">
        <f>'[15]TUoS (t)'!H105</f>
        <v>0</v>
      </c>
      <c r="I108" s="461"/>
      <c r="J108" s="461"/>
      <c r="K108" s="462"/>
      <c r="L108" s="461"/>
      <c r="M108" s="461"/>
      <c r="N108" s="461"/>
      <c r="O108" s="462"/>
      <c r="P108" s="461"/>
      <c r="Q108" s="461"/>
      <c r="R108" s="462"/>
      <c r="S108" s="478">
        <f>'[15]TUoS (t)'!S105</f>
        <v>0.19439999999999999</v>
      </c>
      <c r="T108" s="483">
        <f>'[15]TUoS (t)'!T105</f>
        <v>0</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58"/>
        <v>54.932499999999997</v>
      </c>
      <c r="AP108" s="184">
        <f t="shared" si="69"/>
        <v>0</v>
      </c>
      <c r="AQ108" s="178">
        <f t="shared" si="69"/>
        <v>0</v>
      </c>
      <c r="AR108" s="178">
        <f t="shared" si="69"/>
        <v>0</v>
      </c>
      <c r="AS108" s="179">
        <f t="shared" si="69"/>
        <v>0</v>
      </c>
      <c r="AT108" s="178">
        <f t="shared" si="69"/>
        <v>0</v>
      </c>
      <c r="AU108" s="178">
        <f t="shared" si="69"/>
        <v>0</v>
      </c>
      <c r="AV108" s="178">
        <f t="shared" si="69"/>
        <v>0</v>
      </c>
      <c r="AW108" s="179">
        <f t="shared" si="69"/>
        <v>0</v>
      </c>
      <c r="AX108" s="178">
        <f t="shared" si="62"/>
        <v>0</v>
      </c>
      <c r="AY108" s="178">
        <f t="shared" si="62"/>
        <v>0</v>
      </c>
      <c r="AZ108" s="179">
        <f t="shared" si="62"/>
        <v>0</v>
      </c>
      <c r="BA108" s="184">
        <f t="shared" si="62"/>
        <v>531.81521999999995</v>
      </c>
      <c r="BB108" s="178">
        <f t="shared" si="62"/>
        <v>0</v>
      </c>
      <c r="BC108" s="184">
        <f t="shared" si="62"/>
        <v>0</v>
      </c>
      <c r="BD108" s="178">
        <f t="shared" si="62"/>
        <v>0</v>
      </c>
      <c r="BE108" s="244">
        <f t="shared" si="59"/>
        <v>1</v>
      </c>
      <c r="BF108" s="245">
        <f t="shared" si="56"/>
        <v>25400</v>
      </c>
      <c r="BH108" s="255">
        <f t="shared" si="70"/>
        <v>54.932499999999997</v>
      </c>
      <c r="BI108" s="255">
        <f t="shared" si="71"/>
        <v>0</v>
      </c>
      <c r="BJ108" s="255">
        <f t="shared" si="72"/>
        <v>0</v>
      </c>
      <c r="BK108" s="256">
        <f t="shared" si="73"/>
        <v>531.81521999999995</v>
      </c>
      <c r="BL108" s="262">
        <f t="shared" si="74"/>
        <v>0</v>
      </c>
      <c r="BM108" s="257">
        <f t="shared" si="57"/>
        <v>586.74771999999996</v>
      </c>
      <c r="BO108" s="714">
        <f t="shared" si="60"/>
        <v>23.100303937007872</v>
      </c>
    </row>
    <row r="109" spans="2:67" ht="15" customHeight="1" x14ac:dyDescent="0.25">
      <c r="B109" s="19">
        <f t="shared" si="68"/>
        <v>13</v>
      </c>
      <c r="C109" s="44" t="s">
        <v>564</v>
      </c>
      <c r="D109" s="45"/>
      <c r="E109" s="105" t="s">
        <v>126</v>
      </c>
      <c r="G109" s="477">
        <f>'[15]TUoS (t)'!G106</f>
        <v>0</v>
      </c>
      <c r="H109" s="478">
        <f>'[15]TUoS (t)'!H106</f>
        <v>8.2000000000000007E-3</v>
      </c>
      <c r="I109" s="461"/>
      <c r="J109" s="461"/>
      <c r="K109" s="462"/>
      <c r="L109" s="461"/>
      <c r="M109" s="461"/>
      <c r="N109" s="461"/>
      <c r="O109" s="462"/>
      <c r="P109" s="461"/>
      <c r="Q109" s="461"/>
      <c r="R109" s="462"/>
      <c r="S109" s="478">
        <f>'[15]TUoS (t)'!S106</f>
        <v>0.10829999999999999</v>
      </c>
      <c r="T109" s="483">
        <f>'[15]TUoS (t)'!T106</f>
        <v>0</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58"/>
        <v>0</v>
      </c>
      <c r="AP109" s="184">
        <f t="shared" si="69"/>
        <v>91.43</v>
      </c>
      <c r="AQ109" s="178">
        <f t="shared" si="69"/>
        <v>0</v>
      </c>
      <c r="AR109" s="178">
        <f t="shared" si="69"/>
        <v>0</v>
      </c>
      <c r="AS109" s="179">
        <f t="shared" si="69"/>
        <v>0</v>
      </c>
      <c r="AT109" s="178">
        <f t="shared" si="69"/>
        <v>0</v>
      </c>
      <c r="AU109" s="178">
        <f t="shared" si="69"/>
        <v>0</v>
      </c>
      <c r="AV109" s="178">
        <f t="shared" si="69"/>
        <v>0</v>
      </c>
      <c r="AW109" s="179">
        <f t="shared" si="69"/>
        <v>0</v>
      </c>
      <c r="AX109" s="178">
        <f t="shared" si="62"/>
        <v>0</v>
      </c>
      <c r="AY109" s="178">
        <f t="shared" si="62"/>
        <v>0</v>
      </c>
      <c r="AZ109" s="179">
        <f t="shared" si="62"/>
        <v>0</v>
      </c>
      <c r="BA109" s="184">
        <f t="shared" si="62"/>
        <v>108.548007</v>
      </c>
      <c r="BB109" s="178">
        <f t="shared" si="62"/>
        <v>0</v>
      </c>
      <c r="BC109" s="184">
        <f t="shared" si="62"/>
        <v>0</v>
      </c>
      <c r="BD109" s="178">
        <f t="shared" si="62"/>
        <v>0</v>
      </c>
      <c r="BE109" s="244">
        <f t="shared" si="59"/>
        <v>1</v>
      </c>
      <c r="BF109" s="245">
        <f t="shared" si="56"/>
        <v>11150</v>
      </c>
      <c r="BH109" s="255">
        <f t="shared" si="70"/>
        <v>0</v>
      </c>
      <c r="BI109" s="255">
        <f t="shared" si="71"/>
        <v>91.43</v>
      </c>
      <c r="BJ109" s="255">
        <f t="shared" si="72"/>
        <v>0</v>
      </c>
      <c r="BK109" s="256">
        <f t="shared" si="73"/>
        <v>108.548007</v>
      </c>
      <c r="BL109" s="262">
        <f t="shared" si="74"/>
        <v>0</v>
      </c>
      <c r="BM109" s="257">
        <f t="shared" si="57"/>
        <v>199.97800699999999</v>
      </c>
      <c r="BO109" s="714">
        <f t="shared" si="60"/>
        <v>17.935247264573988</v>
      </c>
    </row>
    <row r="110" spans="2:67" ht="15" customHeight="1" x14ac:dyDescent="0.25">
      <c r="B110" s="19">
        <f t="shared" si="68"/>
        <v>14</v>
      </c>
      <c r="C110" s="44" t="s">
        <v>565</v>
      </c>
      <c r="D110" s="45"/>
      <c r="E110" s="105" t="s">
        <v>126</v>
      </c>
      <c r="G110" s="477">
        <f>'[15]TUoS (t)'!G107</f>
        <v>0</v>
      </c>
      <c r="H110" s="478">
        <f>'[15]TUoS (t)'!H107</f>
        <v>8.2000000000000007E-3</v>
      </c>
      <c r="I110" s="461"/>
      <c r="J110" s="461"/>
      <c r="K110" s="462"/>
      <c r="L110" s="461"/>
      <c r="M110" s="461"/>
      <c r="N110" s="461"/>
      <c r="O110" s="462"/>
      <c r="P110" s="461"/>
      <c r="Q110" s="461"/>
      <c r="R110" s="462"/>
      <c r="S110" s="478">
        <f>'[15]TUoS (t)'!S107</f>
        <v>0.10829999999999999</v>
      </c>
      <c r="T110" s="483">
        <f>'[15]TUoS (t)'!T107</f>
        <v>0</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58"/>
        <v>0</v>
      </c>
      <c r="AP110" s="184">
        <f t="shared" si="69"/>
        <v>87.166000000000011</v>
      </c>
      <c r="AQ110" s="178">
        <f t="shared" si="69"/>
        <v>0</v>
      </c>
      <c r="AR110" s="178">
        <f t="shared" si="69"/>
        <v>0</v>
      </c>
      <c r="AS110" s="179">
        <f t="shared" si="69"/>
        <v>0</v>
      </c>
      <c r="AT110" s="178">
        <f t="shared" si="69"/>
        <v>0</v>
      </c>
      <c r="AU110" s="178">
        <f t="shared" si="69"/>
        <v>0</v>
      </c>
      <c r="AV110" s="178">
        <f t="shared" si="69"/>
        <v>0</v>
      </c>
      <c r="AW110" s="179">
        <f t="shared" si="69"/>
        <v>0</v>
      </c>
      <c r="AX110" s="178">
        <f t="shared" si="62"/>
        <v>0</v>
      </c>
      <c r="AY110" s="178">
        <f t="shared" si="62"/>
        <v>0</v>
      </c>
      <c r="AZ110" s="179">
        <f t="shared" si="62"/>
        <v>0</v>
      </c>
      <c r="BA110" s="184">
        <f t="shared" si="62"/>
        <v>65.500381499999989</v>
      </c>
      <c r="BB110" s="178">
        <f t="shared" si="62"/>
        <v>0</v>
      </c>
      <c r="BC110" s="184">
        <f t="shared" si="62"/>
        <v>0</v>
      </c>
      <c r="BD110" s="178">
        <f t="shared" si="62"/>
        <v>0</v>
      </c>
      <c r="BE110" s="244">
        <f t="shared" si="59"/>
        <v>1</v>
      </c>
      <c r="BF110" s="245">
        <f t="shared" si="56"/>
        <v>10630</v>
      </c>
      <c r="BH110" s="255">
        <f t="shared" si="70"/>
        <v>0</v>
      </c>
      <c r="BI110" s="255">
        <f t="shared" si="71"/>
        <v>87.166000000000011</v>
      </c>
      <c r="BJ110" s="255">
        <f t="shared" si="72"/>
        <v>0</v>
      </c>
      <c r="BK110" s="256">
        <f t="shared" si="73"/>
        <v>65.500381499999989</v>
      </c>
      <c r="BL110" s="262">
        <f t="shared" si="74"/>
        <v>0</v>
      </c>
      <c r="BM110" s="257">
        <f t="shared" si="57"/>
        <v>152.6663815</v>
      </c>
      <c r="BO110" s="714">
        <f t="shared" si="60"/>
        <v>14.361842097836311</v>
      </c>
    </row>
    <row r="111" spans="2:67" ht="15" customHeight="1" x14ac:dyDescent="0.25">
      <c r="B111" s="19">
        <f t="shared" si="68"/>
        <v>15</v>
      </c>
      <c r="C111" s="44" t="s">
        <v>560</v>
      </c>
      <c r="D111" s="45"/>
      <c r="E111" s="105" t="s">
        <v>126</v>
      </c>
      <c r="G111" s="477">
        <f>'[15]TUoS (t)'!G108</f>
        <v>281.20999999999998</v>
      </c>
      <c r="H111" s="478">
        <f>'[15]TUoS (t)'!H108</f>
        <v>0</v>
      </c>
      <c r="I111" s="461"/>
      <c r="J111" s="461"/>
      <c r="K111" s="462"/>
      <c r="L111" s="461"/>
      <c r="M111" s="461"/>
      <c r="N111" s="461"/>
      <c r="O111" s="462"/>
      <c r="P111" s="461"/>
      <c r="Q111" s="461"/>
      <c r="R111" s="462"/>
      <c r="S111" s="478">
        <f>'[15]TUoS (t)'!S108</f>
        <v>0</v>
      </c>
      <c r="T111" s="483">
        <f>'[15]TUoS (t)'!T108</f>
        <v>0</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58"/>
        <v>102.64165</v>
      </c>
      <c r="AP111" s="184">
        <f t="shared" si="69"/>
        <v>0</v>
      </c>
      <c r="AQ111" s="178">
        <f t="shared" si="69"/>
        <v>0</v>
      </c>
      <c r="AR111" s="178">
        <f t="shared" si="69"/>
        <v>0</v>
      </c>
      <c r="AS111" s="179">
        <f t="shared" si="69"/>
        <v>0</v>
      </c>
      <c r="AT111" s="178">
        <f t="shared" si="69"/>
        <v>0</v>
      </c>
      <c r="AU111" s="178">
        <f t="shared" si="69"/>
        <v>0</v>
      </c>
      <c r="AV111" s="178">
        <f t="shared" si="69"/>
        <v>0</v>
      </c>
      <c r="AW111" s="179">
        <f t="shared" si="69"/>
        <v>0</v>
      </c>
      <c r="AX111" s="178">
        <f t="shared" si="62"/>
        <v>0</v>
      </c>
      <c r="AY111" s="178">
        <f t="shared" si="62"/>
        <v>0</v>
      </c>
      <c r="AZ111" s="179">
        <f t="shared" si="62"/>
        <v>0</v>
      </c>
      <c r="BA111" s="184">
        <f t="shared" si="62"/>
        <v>0</v>
      </c>
      <c r="BB111" s="178">
        <f t="shared" si="62"/>
        <v>0</v>
      </c>
      <c r="BC111" s="184">
        <f t="shared" si="62"/>
        <v>0</v>
      </c>
      <c r="BD111" s="178">
        <f t="shared" si="62"/>
        <v>0</v>
      </c>
      <c r="BE111" s="244">
        <f t="shared" si="59"/>
        <v>1</v>
      </c>
      <c r="BF111" s="245">
        <f t="shared" si="56"/>
        <v>4130</v>
      </c>
      <c r="BH111" s="255">
        <f t="shared" si="70"/>
        <v>102.64165</v>
      </c>
      <c r="BI111" s="255">
        <f t="shared" si="71"/>
        <v>0</v>
      </c>
      <c r="BJ111" s="255">
        <f t="shared" si="72"/>
        <v>0</v>
      </c>
      <c r="BK111" s="256">
        <f t="shared" si="73"/>
        <v>0</v>
      </c>
      <c r="BL111" s="262">
        <f t="shared" si="74"/>
        <v>0</v>
      </c>
      <c r="BM111" s="257">
        <f t="shared" si="57"/>
        <v>102.64165</v>
      </c>
      <c r="BO111" s="714">
        <f t="shared" si="60"/>
        <v>24.852699757869249</v>
      </c>
    </row>
    <row r="112" spans="2:67" ht="15" customHeight="1" x14ac:dyDescent="0.25">
      <c r="B112" s="19">
        <f t="shared" si="68"/>
        <v>16</v>
      </c>
      <c r="C112" s="44" t="s">
        <v>130</v>
      </c>
      <c r="D112" s="45"/>
      <c r="E112" s="105" t="s">
        <v>126</v>
      </c>
      <c r="G112" s="477">
        <f>'[15]TUoS (t)'!G109</f>
        <v>2192.08</v>
      </c>
      <c r="H112" s="478">
        <f>'[15]TUoS (t)'!H109</f>
        <v>0</v>
      </c>
      <c r="I112" s="461"/>
      <c r="J112" s="461"/>
      <c r="K112" s="462"/>
      <c r="L112" s="461"/>
      <c r="M112" s="461"/>
      <c r="N112" s="461"/>
      <c r="O112" s="462"/>
      <c r="P112" s="461"/>
      <c r="Q112" s="461"/>
      <c r="R112" s="462"/>
      <c r="S112" s="478">
        <f>'[15]TUoS (t)'!S109</f>
        <v>0</v>
      </c>
      <c r="T112" s="483">
        <f>'[15]TUoS (t)'!T109</f>
        <v>0</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58"/>
        <v>800.10919999999999</v>
      </c>
      <c r="AP112" s="184">
        <f t="shared" si="69"/>
        <v>0</v>
      </c>
      <c r="AQ112" s="178">
        <f t="shared" si="69"/>
        <v>0</v>
      </c>
      <c r="AR112" s="178">
        <f t="shared" si="69"/>
        <v>0</v>
      </c>
      <c r="AS112" s="179">
        <f t="shared" si="69"/>
        <v>0</v>
      </c>
      <c r="AT112" s="178">
        <f t="shared" si="69"/>
        <v>0</v>
      </c>
      <c r="AU112" s="178">
        <f t="shared" si="69"/>
        <v>0</v>
      </c>
      <c r="AV112" s="178">
        <f t="shared" si="69"/>
        <v>0</v>
      </c>
      <c r="AW112" s="179">
        <f t="shared" si="69"/>
        <v>0</v>
      </c>
      <c r="AX112" s="178">
        <f t="shared" si="62"/>
        <v>0</v>
      </c>
      <c r="AY112" s="178">
        <f t="shared" si="62"/>
        <v>0</v>
      </c>
      <c r="AZ112" s="179">
        <f t="shared" si="62"/>
        <v>0</v>
      </c>
      <c r="BA112" s="184">
        <f t="shared" si="62"/>
        <v>0</v>
      </c>
      <c r="BB112" s="178">
        <f t="shared" si="62"/>
        <v>0</v>
      </c>
      <c r="BC112" s="184">
        <f t="shared" si="62"/>
        <v>0</v>
      </c>
      <c r="BD112" s="178">
        <f t="shared" si="62"/>
        <v>0</v>
      </c>
      <c r="BE112" s="244">
        <f t="shared" si="59"/>
        <v>1</v>
      </c>
      <c r="BF112" s="245">
        <f t="shared" ref="BF112:BF129" si="75">SUM(Y112:AF112)</f>
        <v>30300</v>
      </c>
      <c r="BH112" s="255">
        <f t="shared" si="70"/>
        <v>800.10919999999999</v>
      </c>
      <c r="BI112" s="255">
        <f t="shared" si="71"/>
        <v>0</v>
      </c>
      <c r="BJ112" s="255">
        <f t="shared" si="72"/>
        <v>0</v>
      </c>
      <c r="BK112" s="256">
        <f t="shared" si="73"/>
        <v>0</v>
      </c>
      <c r="BL112" s="262">
        <f t="shared" si="74"/>
        <v>0</v>
      </c>
      <c r="BM112" s="257">
        <f t="shared" si="57"/>
        <v>800.10919999999999</v>
      </c>
      <c r="BO112" s="714">
        <f t="shared" si="60"/>
        <v>26.406244224422441</v>
      </c>
    </row>
    <row r="113" spans="2:67" ht="15" customHeight="1" x14ac:dyDescent="0.25">
      <c r="B113" s="19">
        <f t="shared" si="68"/>
        <v>17</v>
      </c>
      <c r="C113" s="44" t="s">
        <v>131</v>
      </c>
      <c r="D113" s="45"/>
      <c r="E113" s="105" t="s">
        <v>126</v>
      </c>
      <c r="G113" s="477">
        <f>'[15]TUoS (t)'!G110</f>
        <v>34.6</v>
      </c>
      <c r="H113" s="478">
        <f>'[15]TUoS (t)'!H110</f>
        <v>0</v>
      </c>
      <c r="I113" s="461"/>
      <c r="J113" s="461"/>
      <c r="K113" s="462"/>
      <c r="L113" s="461"/>
      <c r="M113" s="461"/>
      <c r="N113" s="461"/>
      <c r="O113" s="462"/>
      <c r="P113" s="461"/>
      <c r="Q113" s="461"/>
      <c r="R113" s="462"/>
      <c r="S113" s="478">
        <f>'[15]TUoS (t)'!S110</f>
        <v>0.1623</v>
      </c>
      <c r="T113" s="483">
        <f>'[15]TUoS (t)'!T110</f>
        <v>0</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58"/>
        <v>12.629</v>
      </c>
      <c r="AP113" s="184">
        <f t="shared" si="69"/>
        <v>0</v>
      </c>
      <c r="AQ113" s="178">
        <f t="shared" si="69"/>
        <v>0</v>
      </c>
      <c r="AR113" s="178">
        <f t="shared" si="69"/>
        <v>0</v>
      </c>
      <c r="AS113" s="179">
        <f t="shared" si="69"/>
        <v>0</v>
      </c>
      <c r="AT113" s="178">
        <f t="shared" si="69"/>
        <v>0</v>
      </c>
      <c r="AU113" s="178">
        <f t="shared" si="69"/>
        <v>0</v>
      </c>
      <c r="AV113" s="178">
        <f t="shared" si="69"/>
        <v>0</v>
      </c>
      <c r="AW113" s="179">
        <f t="shared" si="69"/>
        <v>0</v>
      </c>
      <c r="AX113" s="178">
        <f t="shared" si="62"/>
        <v>0</v>
      </c>
      <c r="AY113" s="178">
        <f t="shared" si="62"/>
        <v>0</v>
      </c>
      <c r="AZ113" s="179">
        <f t="shared" si="62"/>
        <v>0</v>
      </c>
      <c r="BA113" s="184">
        <f t="shared" si="62"/>
        <v>391.75081349999999</v>
      </c>
      <c r="BB113" s="178">
        <f t="shared" si="62"/>
        <v>0</v>
      </c>
      <c r="BC113" s="184">
        <f t="shared" si="62"/>
        <v>0</v>
      </c>
      <c r="BD113" s="178">
        <f t="shared" si="62"/>
        <v>0</v>
      </c>
      <c r="BE113" s="244">
        <f t="shared" si="59"/>
        <v>1</v>
      </c>
      <c r="BF113" s="245">
        <f t="shared" si="75"/>
        <v>47800</v>
      </c>
      <c r="BH113" s="255">
        <f t="shared" si="70"/>
        <v>12.629</v>
      </c>
      <c r="BI113" s="255">
        <f t="shared" si="71"/>
        <v>0</v>
      </c>
      <c r="BJ113" s="255">
        <f t="shared" si="72"/>
        <v>0</v>
      </c>
      <c r="BK113" s="256">
        <f t="shared" si="73"/>
        <v>391.75081349999999</v>
      </c>
      <c r="BL113" s="262">
        <f t="shared" si="74"/>
        <v>0</v>
      </c>
      <c r="BM113" s="257">
        <f t="shared" si="57"/>
        <v>404.37981350000001</v>
      </c>
      <c r="BO113" s="714">
        <f t="shared" si="60"/>
        <v>8.4598287343096228</v>
      </c>
    </row>
    <row r="114" spans="2:67" ht="15" customHeight="1" x14ac:dyDescent="0.25">
      <c r="B114" s="19">
        <f t="shared" si="68"/>
        <v>18</v>
      </c>
      <c r="C114" s="44" t="s">
        <v>561</v>
      </c>
      <c r="D114" s="45"/>
      <c r="E114" s="105" t="s">
        <v>126</v>
      </c>
      <c r="G114" s="477">
        <f>'[15]TUoS (t)'!G111</f>
        <v>599.30999999999995</v>
      </c>
      <c r="H114" s="478">
        <f>'[15]TUoS (t)'!H111</f>
        <v>0</v>
      </c>
      <c r="I114" s="461"/>
      <c r="J114" s="461"/>
      <c r="K114" s="462"/>
      <c r="L114" s="461"/>
      <c r="M114" s="461"/>
      <c r="N114" s="461"/>
      <c r="O114" s="462"/>
      <c r="P114" s="461"/>
      <c r="Q114" s="461"/>
      <c r="R114" s="462"/>
      <c r="S114" s="478">
        <f>'[15]TUoS (t)'!S111</f>
        <v>0</v>
      </c>
      <c r="T114" s="483">
        <f>'[15]TUoS (t)'!T111</f>
        <v>0</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58"/>
        <v>218.74814999999998</v>
      </c>
      <c r="AP114" s="184">
        <f t="shared" si="69"/>
        <v>0</v>
      </c>
      <c r="AQ114" s="178">
        <f t="shared" si="69"/>
        <v>0</v>
      </c>
      <c r="AR114" s="178">
        <f t="shared" si="69"/>
        <v>0</v>
      </c>
      <c r="AS114" s="179">
        <f t="shared" si="69"/>
        <v>0</v>
      </c>
      <c r="AT114" s="178">
        <f t="shared" si="69"/>
        <v>0</v>
      </c>
      <c r="AU114" s="178">
        <f t="shared" si="69"/>
        <v>0</v>
      </c>
      <c r="AV114" s="178">
        <f t="shared" si="69"/>
        <v>0</v>
      </c>
      <c r="AW114" s="179">
        <f t="shared" si="69"/>
        <v>0</v>
      </c>
      <c r="AX114" s="178">
        <f t="shared" si="62"/>
        <v>0</v>
      </c>
      <c r="AY114" s="178">
        <f t="shared" si="62"/>
        <v>0</v>
      </c>
      <c r="AZ114" s="179">
        <f t="shared" si="62"/>
        <v>0</v>
      </c>
      <c r="BA114" s="184">
        <f t="shared" si="62"/>
        <v>0</v>
      </c>
      <c r="BB114" s="178">
        <f t="shared" si="62"/>
        <v>0</v>
      </c>
      <c r="BC114" s="184">
        <f t="shared" si="62"/>
        <v>0</v>
      </c>
      <c r="BD114" s="178">
        <f t="shared" si="62"/>
        <v>0</v>
      </c>
      <c r="BE114" s="244">
        <f t="shared" si="59"/>
        <v>1</v>
      </c>
      <c r="BF114" s="245">
        <f t="shared" si="75"/>
        <v>2860</v>
      </c>
      <c r="BH114" s="255">
        <f t="shared" si="70"/>
        <v>218.74814999999998</v>
      </c>
      <c r="BI114" s="255">
        <f t="shared" si="71"/>
        <v>0</v>
      </c>
      <c r="BJ114" s="255">
        <f t="shared" si="72"/>
        <v>0</v>
      </c>
      <c r="BK114" s="256">
        <f t="shared" si="73"/>
        <v>0</v>
      </c>
      <c r="BL114" s="262">
        <f t="shared" si="74"/>
        <v>0</v>
      </c>
      <c r="BM114" s="257">
        <f t="shared" si="57"/>
        <v>218.74814999999998</v>
      </c>
      <c r="BO114" s="714">
        <f t="shared" si="60"/>
        <v>76.485367132867125</v>
      </c>
    </row>
    <row r="115" spans="2:67"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58"/>
        <v>0</v>
      </c>
      <c r="AP115" s="184">
        <f t="shared" si="69"/>
        <v>0</v>
      </c>
      <c r="AQ115" s="178">
        <f t="shared" si="69"/>
        <v>0</v>
      </c>
      <c r="AR115" s="178">
        <f t="shared" si="69"/>
        <v>0</v>
      </c>
      <c r="AS115" s="179">
        <f t="shared" si="69"/>
        <v>0</v>
      </c>
      <c r="AT115" s="178">
        <f t="shared" si="69"/>
        <v>0</v>
      </c>
      <c r="AU115" s="178">
        <f t="shared" si="69"/>
        <v>0</v>
      </c>
      <c r="AV115" s="178">
        <f t="shared" si="69"/>
        <v>0</v>
      </c>
      <c r="AW115" s="179">
        <f t="shared" si="69"/>
        <v>0</v>
      </c>
      <c r="AX115" s="178">
        <f t="shared" si="62"/>
        <v>0</v>
      </c>
      <c r="AY115" s="178">
        <f t="shared" si="62"/>
        <v>0</v>
      </c>
      <c r="AZ115" s="179">
        <f t="shared" si="62"/>
        <v>0</v>
      </c>
      <c r="BA115" s="184">
        <f t="shared" si="62"/>
        <v>0</v>
      </c>
      <c r="BB115" s="178">
        <f t="shared" si="62"/>
        <v>0</v>
      </c>
      <c r="BC115" s="184">
        <f t="shared" si="62"/>
        <v>0</v>
      </c>
      <c r="BD115" s="178">
        <f t="shared" si="62"/>
        <v>0</v>
      </c>
      <c r="BE115" s="244">
        <f t="shared" si="59"/>
        <v>0</v>
      </c>
      <c r="BF115" s="245">
        <f t="shared" si="75"/>
        <v>0</v>
      </c>
      <c r="BH115" s="252">
        <f>SUBTOTAL(9,BH116:BH119)</f>
        <v>0</v>
      </c>
      <c r="BI115" s="252">
        <f>SUBTOTAL(9,BI116:BI119)</f>
        <v>146.61600000000001</v>
      </c>
      <c r="BJ115" s="252">
        <f>SUBTOTAL(9,BJ116:BJ119)</f>
        <v>0</v>
      </c>
      <c r="BK115" s="252">
        <f>SUBTOTAL(9,BK116:BK119)</f>
        <v>246.30831449999999</v>
      </c>
      <c r="BL115" s="252">
        <f>SUBTOTAL(9,BL116:BL119)</f>
        <v>0</v>
      </c>
      <c r="BM115" s="257">
        <f t="shared" si="57"/>
        <v>392.92431450000004</v>
      </c>
      <c r="BO115" s="714" t="str">
        <f t="shared" si="60"/>
        <v/>
      </c>
    </row>
    <row r="116" spans="2:67" ht="15" customHeight="1" x14ac:dyDescent="0.25">
      <c r="B116" s="19">
        <f>B114+1</f>
        <v>19</v>
      </c>
      <c r="C116" s="44" t="s">
        <v>133</v>
      </c>
      <c r="D116" s="45"/>
      <c r="E116" s="105" t="s">
        <v>134</v>
      </c>
      <c r="G116" s="477">
        <f>'[15]TUoS (t)'!G113</f>
        <v>0</v>
      </c>
      <c r="H116" s="478">
        <f>'[15]TUoS (t)'!H113</f>
        <v>8.2000000000000007E-3</v>
      </c>
      <c r="I116" s="461"/>
      <c r="J116" s="461"/>
      <c r="K116" s="462"/>
      <c r="L116" s="461"/>
      <c r="M116" s="461"/>
      <c r="N116" s="461"/>
      <c r="O116" s="462"/>
      <c r="P116" s="461"/>
      <c r="Q116" s="461"/>
      <c r="R116" s="462"/>
      <c r="S116" s="478">
        <f>'[15]TUoS (t)'!S113</f>
        <v>0.10829999999999999</v>
      </c>
      <c r="T116" s="483">
        <f>'[15]TUoS (t)'!T113</f>
        <v>0</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58"/>
        <v>0</v>
      </c>
      <c r="AP116" s="184">
        <f t="shared" si="69"/>
        <v>0</v>
      </c>
      <c r="AQ116" s="178">
        <f t="shared" si="69"/>
        <v>0</v>
      </c>
      <c r="AR116" s="178">
        <f t="shared" si="69"/>
        <v>0</v>
      </c>
      <c r="AS116" s="179">
        <f t="shared" si="69"/>
        <v>0</v>
      </c>
      <c r="AT116" s="178">
        <f t="shared" si="69"/>
        <v>0</v>
      </c>
      <c r="AU116" s="178">
        <f t="shared" si="69"/>
        <v>0</v>
      </c>
      <c r="AV116" s="178">
        <f t="shared" si="69"/>
        <v>0</v>
      </c>
      <c r="AW116" s="179">
        <f t="shared" si="69"/>
        <v>0</v>
      </c>
      <c r="AX116" s="178">
        <f t="shared" si="62"/>
        <v>0</v>
      </c>
      <c r="AY116" s="178">
        <f t="shared" si="62"/>
        <v>0</v>
      </c>
      <c r="AZ116" s="179">
        <f t="shared" si="62"/>
        <v>0</v>
      </c>
      <c r="BA116" s="184">
        <f t="shared" si="62"/>
        <v>0</v>
      </c>
      <c r="BB116" s="178">
        <f t="shared" si="62"/>
        <v>0</v>
      </c>
      <c r="BC116" s="184">
        <f t="shared" si="62"/>
        <v>0</v>
      </c>
      <c r="BD116" s="178">
        <f t="shared" si="62"/>
        <v>0</v>
      </c>
      <c r="BE116" s="244">
        <f t="shared" si="59"/>
        <v>0</v>
      </c>
      <c r="BF116" s="245">
        <f t="shared" si="75"/>
        <v>0</v>
      </c>
      <c r="BH116" s="255">
        <f>SUM(AO116)</f>
        <v>0</v>
      </c>
      <c r="BI116" s="255">
        <f>SUM(AP116:AS116)</f>
        <v>0</v>
      </c>
      <c r="BJ116" s="255">
        <f>SUM(AT116:AW116)</f>
        <v>0</v>
      </c>
      <c r="BK116" s="256">
        <f>SUM(AX116:BB116)</f>
        <v>0</v>
      </c>
      <c r="BL116" s="262">
        <f>SUM(BC116:BD116)</f>
        <v>0</v>
      </c>
      <c r="BM116" s="257">
        <f t="shared" si="57"/>
        <v>0</v>
      </c>
      <c r="BO116" s="714" t="str">
        <f t="shared" si="60"/>
        <v/>
      </c>
    </row>
    <row r="117" spans="2:67" ht="15" customHeight="1" x14ac:dyDescent="0.25">
      <c r="B117" s="19">
        <f>B116+1</f>
        <v>20</v>
      </c>
      <c r="C117" s="44" t="s">
        <v>135</v>
      </c>
      <c r="D117" s="45"/>
      <c r="E117" s="105" t="s">
        <v>136</v>
      </c>
      <c r="G117" s="477">
        <f>'[15]TUoS (t)'!G114</f>
        <v>0</v>
      </c>
      <c r="H117" s="478">
        <f>'[15]TUoS (t)'!H114</f>
        <v>8.2000000000000007E-3</v>
      </c>
      <c r="I117" s="461"/>
      <c r="J117" s="461"/>
      <c r="K117" s="462"/>
      <c r="L117" s="461"/>
      <c r="M117" s="461"/>
      <c r="N117" s="461"/>
      <c r="O117" s="462"/>
      <c r="P117" s="461"/>
      <c r="Q117" s="461"/>
      <c r="R117" s="462"/>
      <c r="S117" s="478">
        <f>'[15]TUoS (t)'!S114</f>
        <v>0.10829999999999999</v>
      </c>
      <c r="T117" s="483">
        <f>'[15]TUoS (t)'!T114</f>
        <v>0</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58"/>
        <v>0</v>
      </c>
      <c r="AP117" s="184">
        <f t="shared" ref="AP117:AW129" si="76">H117*Y117</f>
        <v>61.500000000000007</v>
      </c>
      <c r="AQ117" s="178">
        <f t="shared" si="76"/>
        <v>0</v>
      </c>
      <c r="AR117" s="178">
        <f t="shared" si="76"/>
        <v>0</v>
      </c>
      <c r="AS117" s="179">
        <f t="shared" si="76"/>
        <v>0</v>
      </c>
      <c r="AT117" s="178">
        <f t="shared" si="76"/>
        <v>0</v>
      </c>
      <c r="AU117" s="178">
        <f t="shared" si="76"/>
        <v>0</v>
      </c>
      <c r="AV117" s="178">
        <f t="shared" si="76"/>
        <v>0</v>
      </c>
      <c r="AW117" s="179">
        <f t="shared" si="76"/>
        <v>0</v>
      </c>
      <c r="AX117" s="178">
        <f t="shared" si="62"/>
        <v>0</v>
      </c>
      <c r="AY117" s="178">
        <f t="shared" si="62"/>
        <v>0</v>
      </c>
      <c r="AZ117" s="179">
        <f t="shared" si="62"/>
        <v>0</v>
      </c>
      <c r="BA117" s="184">
        <f t="shared" si="62"/>
        <v>84.988424999999992</v>
      </c>
      <c r="BB117" s="178">
        <f t="shared" si="62"/>
        <v>0</v>
      </c>
      <c r="BC117" s="184">
        <f t="shared" si="62"/>
        <v>0</v>
      </c>
      <c r="BD117" s="178">
        <f t="shared" si="62"/>
        <v>0</v>
      </c>
      <c r="BE117" s="244">
        <f t="shared" si="59"/>
        <v>1</v>
      </c>
      <c r="BF117" s="245">
        <f t="shared" si="75"/>
        <v>7500</v>
      </c>
      <c r="BH117" s="255">
        <f>SUM(AO117)</f>
        <v>0</v>
      </c>
      <c r="BI117" s="255">
        <f>SUM(AP117:AS117)</f>
        <v>61.500000000000007</v>
      </c>
      <c r="BJ117" s="255">
        <f>SUM(AT117:AW117)</f>
        <v>0</v>
      </c>
      <c r="BK117" s="256">
        <f>SUM(AX117:BB117)</f>
        <v>84.988424999999992</v>
      </c>
      <c r="BL117" s="262">
        <f>SUM(BC117:BD117)</f>
        <v>0</v>
      </c>
      <c r="BM117" s="257">
        <f t="shared" si="57"/>
        <v>146.48842500000001</v>
      </c>
      <c r="BO117" s="714">
        <f t="shared" si="60"/>
        <v>19.531790000000001</v>
      </c>
    </row>
    <row r="118" spans="2:67" ht="15" customHeight="1" x14ac:dyDescent="0.25">
      <c r="B118" s="19">
        <f t="shared" si="68"/>
        <v>21</v>
      </c>
      <c r="C118" s="44" t="s">
        <v>137</v>
      </c>
      <c r="D118" s="45"/>
      <c r="E118" s="105" t="s">
        <v>136</v>
      </c>
      <c r="G118" s="477">
        <f>'[15]TUoS (t)'!G115</f>
        <v>0</v>
      </c>
      <c r="H118" s="478">
        <f>'[15]TUoS (t)'!H115</f>
        <v>8.2000000000000007E-3</v>
      </c>
      <c r="I118" s="461"/>
      <c r="J118" s="461"/>
      <c r="K118" s="462"/>
      <c r="L118" s="461"/>
      <c r="M118" s="461"/>
      <c r="N118" s="461"/>
      <c r="O118" s="462"/>
      <c r="P118" s="461"/>
      <c r="Q118" s="461"/>
      <c r="R118" s="462"/>
      <c r="S118" s="478">
        <f>'[15]TUoS (t)'!S115</f>
        <v>0.10829999999999999</v>
      </c>
      <c r="T118" s="483">
        <f>'[15]TUoS (t)'!T115</f>
        <v>0</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58"/>
        <v>0</v>
      </c>
      <c r="AP118" s="184">
        <f t="shared" si="76"/>
        <v>18.040000000000003</v>
      </c>
      <c r="AQ118" s="178">
        <f t="shared" si="76"/>
        <v>0</v>
      </c>
      <c r="AR118" s="178">
        <f t="shared" si="76"/>
        <v>0</v>
      </c>
      <c r="AS118" s="179">
        <f t="shared" si="76"/>
        <v>0</v>
      </c>
      <c r="AT118" s="178">
        <f t="shared" si="76"/>
        <v>0</v>
      </c>
      <c r="AU118" s="178">
        <f t="shared" si="76"/>
        <v>0</v>
      </c>
      <c r="AV118" s="178">
        <f t="shared" si="76"/>
        <v>0</v>
      </c>
      <c r="AW118" s="179">
        <f t="shared" si="76"/>
        <v>0</v>
      </c>
      <c r="AX118" s="178">
        <f t="shared" si="62"/>
        <v>0</v>
      </c>
      <c r="AY118" s="178">
        <f t="shared" si="62"/>
        <v>0</v>
      </c>
      <c r="AZ118" s="179">
        <f t="shared" si="62"/>
        <v>0</v>
      </c>
      <c r="BA118" s="184">
        <f t="shared" si="62"/>
        <v>28.8170055</v>
      </c>
      <c r="BB118" s="178">
        <f t="shared" si="62"/>
        <v>0</v>
      </c>
      <c r="BC118" s="184">
        <f t="shared" si="62"/>
        <v>0</v>
      </c>
      <c r="BD118" s="178">
        <f t="shared" si="62"/>
        <v>0</v>
      </c>
      <c r="BE118" s="244">
        <f t="shared" si="59"/>
        <v>1</v>
      </c>
      <c r="BF118" s="245">
        <f t="shared" si="75"/>
        <v>2200</v>
      </c>
      <c r="BH118" s="255">
        <f>SUM(AO118)</f>
        <v>0</v>
      </c>
      <c r="BI118" s="255">
        <f>SUM(AP118:AS118)</f>
        <v>18.040000000000003</v>
      </c>
      <c r="BJ118" s="255">
        <f>SUM(AT118:AW118)</f>
        <v>0</v>
      </c>
      <c r="BK118" s="256">
        <f>SUM(AX118:BB118)</f>
        <v>28.8170055</v>
      </c>
      <c r="BL118" s="262">
        <f>SUM(BC118:BD118)</f>
        <v>0</v>
      </c>
      <c r="BM118" s="257">
        <f t="shared" si="57"/>
        <v>46.8570055</v>
      </c>
      <c r="BO118" s="714">
        <f t="shared" si="60"/>
        <v>21.298638863636363</v>
      </c>
    </row>
    <row r="119" spans="2:67" ht="15" customHeight="1" x14ac:dyDescent="0.25">
      <c r="B119" s="19">
        <f t="shared" si="68"/>
        <v>22</v>
      </c>
      <c r="C119" s="44" t="s">
        <v>138</v>
      </c>
      <c r="D119" s="45"/>
      <c r="E119" s="105" t="s">
        <v>136</v>
      </c>
      <c r="G119" s="477">
        <f>'[15]TUoS (t)'!G116</f>
        <v>0</v>
      </c>
      <c r="H119" s="478">
        <f>'[15]TUoS (t)'!H116</f>
        <v>8.2000000000000007E-3</v>
      </c>
      <c r="I119" s="461"/>
      <c r="J119" s="461"/>
      <c r="K119" s="462"/>
      <c r="L119" s="461"/>
      <c r="M119" s="461"/>
      <c r="N119" s="461"/>
      <c r="O119" s="462"/>
      <c r="P119" s="461"/>
      <c r="Q119" s="461"/>
      <c r="R119" s="462"/>
      <c r="S119" s="478">
        <f>'[15]TUoS (t)'!S116</f>
        <v>0.10829999999999999</v>
      </c>
      <c r="T119" s="483">
        <f>'[15]TUoS (t)'!T116</f>
        <v>0</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58"/>
        <v>0</v>
      </c>
      <c r="AP119" s="184">
        <f t="shared" si="76"/>
        <v>67.076000000000008</v>
      </c>
      <c r="AQ119" s="178">
        <f t="shared" si="76"/>
        <v>0</v>
      </c>
      <c r="AR119" s="178">
        <f t="shared" si="76"/>
        <v>0</v>
      </c>
      <c r="AS119" s="179">
        <f t="shared" si="76"/>
        <v>0</v>
      </c>
      <c r="AT119" s="178">
        <f t="shared" si="76"/>
        <v>0</v>
      </c>
      <c r="AU119" s="178">
        <f t="shared" si="76"/>
        <v>0</v>
      </c>
      <c r="AV119" s="178">
        <f t="shared" si="76"/>
        <v>0</v>
      </c>
      <c r="AW119" s="179">
        <f t="shared" si="76"/>
        <v>0</v>
      </c>
      <c r="AX119" s="178">
        <f t="shared" si="62"/>
        <v>0</v>
      </c>
      <c r="AY119" s="178">
        <f t="shared" si="62"/>
        <v>0</v>
      </c>
      <c r="AZ119" s="179">
        <f t="shared" si="62"/>
        <v>0</v>
      </c>
      <c r="BA119" s="184">
        <f t="shared" si="62"/>
        <v>132.50288399999999</v>
      </c>
      <c r="BB119" s="178">
        <f t="shared" si="62"/>
        <v>0</v>
      </c>
      <c r="BC119" s="184">
        <f t="shared" si="62"/>
        <v>0</v>
      </c>
      <c r="BD119" s="178">
        <f t="shared" si="62"/>
        <v>0</v>
      </c>
      <c r="BE119" s="244">
        <f t="shared" si="59"/>
        <v>1</v>
      </c>
      <c r="BF119" s="245">
        <f t="shared" si="75"/>
        <v>8180</v>
      </c>
      <c r="BH119" s="255">
        <f>SUM(AO119)</f>
        <v>0</v>
      </c>
      <c r="BI119" s="255">
        <f>SUM(AP119:AS119)</f>
        <v>67.076000000000008</v>
      </c>
      <c r="BJ119" s="255">
        <f>SUM(AT119:AW119)</f>
        <v>0</v>
      </c>
      <c r="BK119" s="256">
        <f>SUM(AX119:BB119)</f>
        <v>132.50288399999999</v>
      </c>
      <c r="BL119" s="262">
        <f>SUM(BC119:BD119)</f>
        <v>0</v>
      </c>
      <c r="BM119" s="257">
        <f t="shared" si="57"/>
        <v>199.57888400000002</v>
      </c>
      <c r="BO119" s="714">
        <f t="shared" si="60"/>
        <v>24.398396577017117</v>
      </c>
    </row>
    <row r="120" spans="2:67"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58"/>
        <v>0</v>
      </c>
      <c r="AP120" s="184">
        <f t="shared" si="76"/>
        <v>0</v>
      </c>
      <c r="AQ120" s="178">
        <f t="shared" si="76"/>
        <v>0</v>
      </c>
      <c r="AR120" s="178">
        <f t="shared" si="76"/>
        <v>0</v>
      </c>
      <c r="AS120" s="179">
        <f t="shared" si="76"/>
        <v>0</v>
      </c>
      <c r="AT120" s="178">
        <f t="shared" si="76"/>
        <v>0</v>
      </c>
      <c r="AU120" s="178">
        <f t="shared" si="76"/>
        <v>0</v>
      </c>
      <c r="AV120" s="178">
        <f t="shared" si="76"/>
        <v>0</v>
      </c>
      <c r="AW120" s="179">
        <f t="shared" si="76"/>
        <v>0</v>
      </c>
      <c r="AX120" s="178">
        <f t="shared" si="62"/>
        <v>0</v>
      </c>
      <c r="AY120" s="178">
        <f t="shared" si="62"/>
        <v>0</v>
      </c>
      <c r="AZ120" s="179">
        <f t="shared" si="62"/>
        <v>0</v>
      </c>
      <c r="BA120" s="184">
        <f t="shared" si="62"/>
        <v>0</v>
      </c>
      <c r="BB120" s="178">
        <f t="shared" si="62"/>
        <v>0</v>
      </c>
      <c r="BC120" s="184">
        <f t="shared" si="62"/>
        <v>0</v>
      </c>
      <c r="BD120" s="178">
        <f t="shared" si="62"/>
        <v>0</v>
      </c>
      <c r="BE120" s="244">
        <f t="shared" si="59"/>
        <v>0</v>
      </c>
      <c r="BF120" s="245">
        <f t="shared" si="75"/>
        <v>0</v>
      </c>
      <c r="BH120" s="252">
        <f>SUBTOTAL(9,BH121:BH129)</f>
        <v>6551.2682000000013</v>
      </c>
      <c r="BI120" s="252">
        <f>SUBTOTAL(9,BI121:BI129)</f>
        <v>0</v>
      </c>
      <c r="BJ120" s="252">
        <f>SUBTOTAL(9,BJ121:BJ129)</f>
        <v>0</v>
      </c>
      <c r="BK120" s="252">
        <f>SUBTOTAL(9,BK121:BK129)</f>
        <v>4148.2275549999995</v>
      </c>
      <c r="BL120" s="252">
        <f>SUBTOTAL(9,BL121:BL129)</f>
        <v>0</v>
      </c>
      <c r="BM120" s="257">
        <f t="shared" si="57"/>
        <v>10699.495755</v>
      </c>
      <c r="BO120" s="714" t="str">
        <f t="shared" si="60"/>
        <v/>
      </c>
    </row>
    <row r="121" spans="2:67" ht="15" customHeight="1" x14ac:dyDescent="0.25">
      <c r="B121" s="19">
        <f>B119+1</f>
        <v>23</v>
      </c>
      <c r="C121" s="44" t="s">
        <v>140</v>
      </c>
      <c r="D121" s="45"/>
      <c r="E121" s="105" t="s">
        <v>141</v>
      </c>
      <c r="G121" s="477">
        <f>'[15]TUoS (t)'!G118</f>
        <v>5030.3</v>
      </c>
      <c r="H121" s="478">
        <f>'[15]TUoS (t)'!H118</f>
        <v>0</v>
      </c>
      <c r="I121" s="461"/>
      <c r="J121" s="461"/>
      <c r="K121" s="462"/>
      <c r="L121" s="461"/>
      <c r="M121" s="461"/>
      <c r="N121" s="461"/>
      <c r="O121" s="462"/>
      <c r="P121" s="461"/>
      <c r="Q121" s="461"/>
      <c r="R121" s="462"/>
      <c r="S121" s="478">
        <f>'[15]TUoS (t)'!S118</f>
        <v>0</v>
      </c>
      <c r="T121" s="483">
        <f>'[15]TUoS (t)'!T118</f>
        <v>0</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58"/>
        <v>1836.0595000000001</v>
      </c>
      <c r="AP121" s="184">
        <f t="shared" si="76"/>
        <v>0</v>
      </c>
      <c r="AQ121" s="178">
        <f t="shared" si="76"/>
        <v>0</v>
      </c>
      <c r="AR121" s="178">
        <f t="shared" si="76"/>
        <v>0</v>
      </c>
      <c r="AS121" s="179">
        <f t="shared" si="76"/>
        <v>0</v>
      </c>
      <c r="AT121" s="178">
        <f t="shared" si="76"/>
        <v>0</v>
      </c>
      <c r="AU121" s="178">
        <f t="shared" si="76"/>
        <v>0</v>
      </c>
      <c r="AV121" s="178">
        <f t="shared" si="76"/>
        <v>0</v>
      </c>
      <c r="AW121" s="179">
        <f t="shared" si="76"/>
        <v>0</v>
      </c>
      <c r="AX121" s="178">
        <f t="shared" si="62"/>
        <v>0</v>
      </c>
      <c r="AY121" s="178">
        <f t="shared" si="62"/>
        <v>0</v>
      </c>
      <c r="AZ121" s="179">
        <f t="shared" si="62"/>
        <v>0</v>
      </c>
      <c r="BA121" s="184">
        <f t="shared" si="62"/>
        <v>0</v>
      </c>
      <c r="BB121" s="178">
        <f t="shared" si="62"/>
        <v>0</v>
      </c>
      <c r="BC121" s="184">
        <f t="shared" si="62"/>
        <v>0</v>
      </c>
      <c r="BD121" s="178">
        <f t="shared" si="62"/>
        <v>0</v>
      </c>
      <c r="BE121" s="244">
        <f t="shared" si="59"/>
        <v>1</v>
      </c>
      <c r="BF121" s="245">
        <f t="shared" si="75"/>
        <v>141500</v>
      </c>
      <c r="BH121" s="255">
        <f t="shared" ref="BH121:BH129" si="77">SUM(AO121)</f>
        <v>1836.0595000000001</v>
      </c>
      <c r="BI121" s="255">
        <f t="shared" ref="BI121:BI129" si="78">SUM(AP121:AS121)</f>
        <v>0</v>
      </c>
      <c r="BJ121" s="255">
        <f t="shared" ref="BJ121:BJ129" si="79">SUM(AT121:AW121)</f>
        <v>0</v>
      </c>
      <c r="BK121" s="256">
        <f t="shared" ref="BK121:BK129" si="80">SUM(AX121:BB121)</f>
        <v>0</v>
      </c>
      <c r="BL121" s="262">
        <f t="shared" ref="BL121:BL129" si="81">SUM(BC121:BD121)</f>
        <v>0</v>
      </c>
      <c r="BM121" s="257">
        <f t="shared" si="57"/>
        <v>1836.0595000000001</v>
      </c>
      <c r="BO121" s="714">
        <f t="shared" si="60"/>
        <v>12.975685512367491</v>
      </c>
    </row>
    <row r="122" spans="2:67" ht="15" customHeight="1" x14ac:dyDescent="0.25">
      <c r="B122" s="19">
        <f t="shared" si="68"/>
        <v>24</v>
      </c>
      <c r="C122" s="44" t="s">
        <v>142</v>
      </c>
      <c r="D122" s="45"/>
      <c r="E122" s="105" t="s">
        <v>141</v>
      </c>
      <c r="G122" s="477">
        <f>'[15]TUoS (t)'!G119</f>
        <v>1022.4</v>
      </c>
      <c r="H122" s="478">
        <f>'[15]TUoS (t)'!H119</f>
        <v>0</v>
      </c>
      <c r="I122" s="461"/>
      <c r="J122" s="461"/>
      <c r="K122" s="462"/>
      <c r="L122" s="461"/>
      <c r="M122" s="461"/>
      <c r="N122" s="461"/>
      <c r="O122" s="462"/>
      <c r="P122" s="461"/>
      <c r="Q122" s="461"/>
      <c r="R122" s="462"/>
      <c r="S122" s="478">
        <f>'[15]TUoS (t)'!S119</f>
        <v>0.21079999999999999</v>
      </c>
      <c r="T122" s="483">
        <f>'[15]TUoS (t)'!T119</f>
        <v>0</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58"/>
        <v>373.17599999999999</v>
      </c>
      <c r="AP122" s="184">
        <f t="shared" si="76"/>
        <v>0</v>
      </c>
      <c r="AQ122" s="178">
        <f t="shared" si="76"/>
        <v>0</v>
      </c>
      <c r="AR122" s="178">
        <f t="shared" si="76"/>
        <v>0</v>
      </c>
      <c r="AS122" s="179">
        <f t="shared" si="76"/>
        <v>0</v>
      </c>
      <c r="AT122" s="178">
        <f t="shared" si="76"/>
        <v>0</v>
      </c>
      <c r="AU122" s="178">
        <f t="shared" si="76"/>
        <v>0</v>
      </c>
      <c r="AV122" s="178">
        <f t="shared" si="76"/>
        <v>0</v>
      </c>
      <c r="AW122" s="179">
        <f t="shared" si="76"/>
        <v>0</v>
      </c>
      <c r="AX122" s="178">
        <f t="shared" si="62"/>
        <v>0</v>
      </c>
      <c r="AY122" s="178">
        <f t="shared" si="62"/>
        <v>0</v>
      </c>
      <c r="AZ122" s="179">
        <f t="shared" si="62"/>
        <v>0</v>
      </c>
      <c r="BA122" s="184">
        <f t="shared" si="62"/>
        <v>2154.3760000000002</v>
      </c>
      <c r="BB122" s="178">
        <f t="shared" si="62"/>
        <v>0</v>
      </c>
      <c r="BC122" s="184">
        <f t="shared" si="62"/>
        <v>0</v>
      </c>
      <c r="BD122" s="178">
        <f t="shared" si="62"/>
        <v>0</v>
      </c>
      <c r="BE122" s="244">
        <f t="shared" si="59"/>
        <v>1</v>
      </c>
      <c r="BF122" s="245">
        <f t="shared" si="75"/>
        <v>270100</v>
      </c>
      <c r="BH122" s="255">
        <f t="shared" si="77"/>
        <v>373.17599999999999</v>
      </c>
      <c r="BI122" s="255">
        <f t="shared" si="78"/>
        <v>0</v>
      </c>
      <c r="BJ122" s="255">
        <f t="shared" si="79"/>
        <v>0</v>
      </c>
      <c r="BK122" s="256">
        <f t="shared" si="80"/>
        <v>2154.3760000000002</v>
      </c>
      <c r="BL122" s="262">
        <f t="shared" si="81"/>
        <v>0</v>
      </c>
      <c r="BM122" s="257">
        <f t="shared" si="57"/>
        <v>2527.5520000000001</v>
      </c>
      <c r="BO122" s="714">
        <f t="shared" si="60"/>
        <v>9.3578378378378382</v>
      </c>
    </row>
    <row r="123" spans="2:67" ht="15" customHeight="1" x14ac:dyDescent="0.25">
      <c r="B123" s="19">
        <f t="shared" si="68"/>
        <v>25</v>
      </c>
      <c r="C123" s="44" t="s">
        <v>143</v>
      </c>
      <c r="D123" s="45"/>
      <c r="E123" s="105" t="s">
        <v>141</v>
      </c>
      <c r="G123" s="477">
        <f>'[15]TUoS (t)'!G120</f>
        <v>5964.38</v>
      </c>
      <c r="H123" s="478">
        <f>'[15]TUoS (t)'!H120</f>
        <v>0</v>
      </c>
      <c r="I123" s="461"/>
      <c r="J123" s="461"/>
      <c r="K123" s="462"/>
      <c r="L123" s="461"/>
      <c r="M123" s="461"/>
      <c r="N123" s="461"/>
      <c r="O123" s="462"/>
      <c r="P123" s="461"/>
      <c r="Q123" s="461"/>
      <c r="R123" s="462"/>
      <c r="S123" s="478">
        <f>'[15]TUoS (t)'!S120</f>
        <v>0</v>
      </c>
      <c r="T123" s="483">
        <f>'[15]TUoS (t)'!T120</f>
        <v>0</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58"/>
        <v>2176.9987000000001</v>
      </c>
      <c r="AP123" s="184">
        <f t="shared" si="76"/>
        <v>0</v>
      </c>
      <c r="AQ123" s="178">
        <f t="shared" si="76"/>
        <v>0</v>
      </c>
      <c r="AR123" s="178">
        <f t="shared" si="76"/>
        <v>0</v>
      </c>
      <c r="AS123" s="179">
        <f t="shared" si="76"/>
        <v>0</v>
      </c>
      <c r="AT123" s="178">
        <f t="shared" si="76"/>
        <v>0</v>
      </c>
      <c r="AU123" s="178">
        <f t="shared" si="76"/>
        <v>0</v>
      </c>
      <c r="AV123" s="178">
        <f t="shared" si="76"/>
        <v>0</v>
      </c>
      <c r="AW123" s="179">
        <f t="shared" si="76"/>
        <v>0</v>
      </c>
      <c r="AX123" s="178">
        <f t="shared" si="62"/>
        <v>0</v>
      </c>
      <c r="AY123" s="178">
        <f t="shared" si="62"/>
        <v>0</v>
      </c>
      <c r="AZ123" s="179">
        <f t="shared" si="62"/>
        <v>0</v>
      </c>
      <c r="BA123" s="184">
        <f t="shared" si="62"/>
        <v>0</v>
      </c>
      <c r="BB123" s="178">
        <f t="shared" si="62"/>
        <v>0</v>
      </c>
      <c r="BC123" s="184">
        <f t="shared" si="62"/>
        <v>0</v>
      </c>
      <c r="BD123" s="178">
        <f t="shared" si="62"/>
        <v>0</v>
      </c>
      <c r="BE123" s="244">
        <f t="shared" si="59"/>
        <v>1</v>
      </c>
      <c r="BF123" s="245">
        <f t="shared" si="75"/>
        <v>21000</v>
      </c>
      <c r="BH123" s="255">
        <f t="shared" si="77"/>
        <v>2176.9987000000001</v>
      </c>
      <c r="BI123" s="255">
        <f t="shared" si="78"/>
        <v>0</v>
      </c>
      <c r="BJ123" s="255">
        <f t="shared" si="79"/>
        <v>0</v>
      </c>
      <c r="BK123" s="256">
        <f t="shared" si="80"/>
        <v>0</v>
      </c>
      <c r="BL123" s="262">
        <f t="shared" si="81"/>
        <v>0</v>
      </c>
      <c r="BM123" s="257">
        <f t="shared" si="57"/>
        <v>2176.9987000000001</v>
      </c>
      <c r="BO123" s="714">
        <f t="shared" si="60"/>
        <v>103.66660476190476</v>
      </c>
    </row>
    <row r="124" spans="2:67" ht="15" customHeight="1" x14ac:dyDescent="0.25">
      <c r="B124" s="19">
        <f t="shared" si="68"/>
        <v>26</v>
      </c>
      <c r="C124" s="44" t="s">
        <v>144</v>
      </c>
      <c r="D124" s="45"/>
      <c r="E124" s="105" t="s">
        <v>141</v>
      </c>
      <c r="G124" s="477">
        <f>'[15]TUoS (t)'!G121</f>
        <v>73.2</v>
      </c>
      <c r="H124" s="478">
        <f>'[15]TUoS (t)'!H121</f>
        <v>0</v>
      </c>
      <c r="I124" s="461"/>
      <c r="J124" s="461"/>
      <c r="K124" s="462"/>
      <c r="L124" s="461"/>
      <c r="M124" s="461"/>
      <c r="N124" s="461"/>
      <c r="O124" s="462"/>
      <c r="P124" s="461"/>
      <c r="Q124" s="461"/>
      <c r="R124" s="462"/>
      <c r="S124" s="478">
        <f>'[15]TUoS (t)'!S121</f>
        <v>0.17730000000000001</v>
      </c>
      <c r="T124" s="483">
        <f>'[15]TUoS (t)'!T121</f>
        <v>0</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58"/>
        <v>26.718</v>
      </c>
      <c r="AP124" s="184">
        <f t="shared" si="76"/>
        <v>0</v>
      </c>
      <c r="AQ124" s="178">
        <f t="shared" si="76"/>
        <v>0</v>
      </c>
      <c r="AR124" s="178">
        <f t="shared" si="76"/>
        <v>0</v>
      </c>
      <c r="AS124" s="179">
        <f t="shared" si="76"/>
        <v>0</v>
      </c>
      <c r="AT124" s="178">
        <f t="shared" si="76"/>
        <v>0</v>
      </c>
      <c r="AU124" s="178">
        <f t="shared" si="76"/>
        <v>0</v>
      </c>
      <c r="AV124" s="178">
        <f t="shared" si="76"/>
        <v>0</v>
      </c>
      <c r="AW124" s="179">
        <f t="shared" si="76"/>
        <v>0</v>
      </c>
      <c r="AX124" s="178">
        <f t="shared" si="62"/>
        <v>0</v>
      </c>
      <c r="AY124" s="178">
        <f t="shared" si="62"/>
        <v>0</v>
      </c>
      <c r="AZ124" s="179">
        <f t="shared" si="62"/>
        <v>0</v>
      </c>
      <c r="BA124" s="184">
        <f t="shared" si="62"/>
        <v>180.03573900000001</v>
      </c>
      <c r="BB124" s="178">
        <f t="shared" si="62"/>
        <v>0</v>
      </c>
      <c r="BC124" s="184">
        <f t="shared" si="62"/>
        <v>0</v>
      </c>
      <c r="BD124" s="178">
        <f t="shared" si="62"/>
        <v>0</v>
      </c>
      <c r="BE124" s="244">
        <f t="shared" si="59"/>
        <v>1</v>
      </c>
      <c r="BF124" s="245">
        <f t="shared" si="75"/>
        <v>15200</v>
      </c>
      <c r="BH124" s="255">
        <f t="shared" si="77"/>
        <v>26.718</v>
      </c>
      <c r="BI124" s="255">
        <f t="shared" si="78"/>
        <v>0</v>
      </c>
      <c r="BJ124" s="255">
        <f t="shared" si="79"/>
        <v>0</v>
      </c>
      <c r="BK124" s="256">
        <f t="shared" si="80"/>
        <v>180.03573900000001</v>
      </c>
      <c r="BL124" s="262">
        <f t="shared" si="81"/>
        <v>0</v>
      </c>
      <c r="BM124" s="257">
        <f t="shared" si="57"/>
        <v>206.753739</v>
      </c>
      <c r="BO124" s="714">
        <f t="shared" si="60"/>
        <v>13.602219671052632</v>
      </c>
    </row>
    <row r="125" spans="2:67" ht="15" customHeight="1" x14ac:dyDescent="0.25">
      <c r="B125" s="19">
        <f t="shared" si="68"/>
        <v>27</v>
      </c>
      <c r="C125" s="44" t="s">
        <v>145</v>
      </c>
      <c r="D125" s="45"/>
      <c r="E125" s="105" t="s">
        <v>141</v>
      </c>
      <c r="G125" s="477">
        <f>'[15]TUoS (t)'!G122</f>
        <v>334.3</v>
      </c>
      <c r="H125" s="478">
        <f>'[15]TUoS (t)'!H122</f>
        <v>0</v>
      </c>
      <c r="I125" s="461"/>
      <c r="J125" s="461"/>
      <c r="K125" s="462"/>
      <c r="L125" s="461"/>
      <c r="M125" s="461"/>
      <c r="N125" s="461"/>
      <c r="O125" s="462"/>
      <c r="P125" s="461"/>
      <c r="Q125" s="461"/>
      <c r="R125" s="462"/>
      <c r="S125" s="478">
        <f>'[15]TUoS (t)'!S122</f>
        <v>0.22109999999999999</v>
      </c>
      <c r="T125" s="483">
        <f>'[15]TUoS (t)'!T122</f>
        <v>0</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58"/>
        <v>122.01949999999999</v>
      </c>
      <c r="AP125" s="184">
        <f t="shared" si="76"/>
        <v>0</v>
      </c>
      <c r="AQ125" s="178">
        <f t="shared" si="76"/>
        <v>0</v>
      </c>
      <c r="AR125" s="178">
        <f t="shared" si="76"/>
        <v>0</v>
      </c>
      <c r="AS125" s="179">
        <f t="shared" si="76"/>
        <v>0</v>
      </c>
      <c r="AT125" s="178">
        <f t="shared" si="76"/>
        <v>0</v>
      </c>
      <c r="AU125" s="178">
        <f t="shared" si="76"/>
        <v>0</v>
      </c>
      <c r="AV125" s="178">
        <f t="shared" si="76"/>
        <v>0</v>
      </c>
      <c r="AW125" s="179">
        <f t="shared" si="76"/>
        <v>0</v>
      </c>
      <c r="AX125" s="178">
        <f t="shared" si="62"/>
        <v>0</v>
      </c>
      <c r="AY125" s="178">
        <f t="shared" si="62"/>
        <v>0</v>
      </c>
      <c r="AZ125" s="179">
        <f t="shared" si="62"/>
        <v>0</v>
      </c>
      <c r="BA125" s="184">
        <f t="shared" si="62"/>
        <v>887.39369399999998</v>
      </c>
      <c r="BB125" s="178">
        <f t="shared" si="62"/>
        <v>0</v>
      </c>
      <c r="BC125" s="184">
        <f t="shared" si="62"/>
        <v>0</v>
      </c>
      <c r="BD125" s="178">
        <f t="shared" si="62"/>
        <v>0</v>
      </c>
      <c r="BE125" s="244">
        <f t="shared" si="59"/>
        <v>1</v>
      </c>
      <c r="BF125" s="245">
        <f t="shared" si="75"/>
        <v>86000</v>
      </c>
      <c r="BH125" s="255">
        <f t="shared" si="77"/>
        <v>122.01949999999999</v>
      </c>
      <c r="BI125" s="255">
        <f t="shared" si="78"/>
        <v>0</v>
      </c>
      <c r="BJ125" s="255">
        <f t="shared" si="79"/>
        <v>0</v>
      </c>
      <c r="BK125" s="256">
        <f t="shared" si="80"/>
        <v>887.39369399999998</v>
      </c>
      <c r="BL125" s="262">
        <f t="shared" si="81"/>
        <v>0</v>
      </c>
      <c r="BM125" s="257">
        <f t="shared" si="57"/>
        <v>1009.413194</v>
      </c>
      <c r="BO125" s="714">
        <f t="shared" si="60"/>
        <v>11.737362720930232</v>
      </c>
    </row>
    <row r="126" spans="2:67" ht="15" customHeight="1" x14ac:dyDescent="0.25">
      <c r="B126" s="19">
        <f t="shared" si="68"/>
        <v>28</v>
      </c>
      <c r="C126" s="44" t="s">
        <v>146</v>
      </c>
      <c r="D126" s="45"/>
      <c r="E126" s="105" t="s">
        <v>141</v>
      </c>
      <c r="G126" s="477">
        <f>'[15]TUoS (t)'!G123</f>
        <v>440</v>
      </c>
      <c r="H126" s="478">
        <f>'[15]TUoS (t)'!H123</f>
        <v>0</v>
      </c>
      <c r="I126" s="461"/>
      <c r="J126" s="461"/>
      <c r="K126" s="462"/>
      <c r="L126" s="461"/>
      <c r="M126" s="461"/>
      <c r="N126" s="461"/>
      <c r="O126" s="462"/>
      <c r="P126" s="461"/>
      <c r="Q126" s="461"/>
      <c r="R126" s="462"/>
      <c r="S126" s="478">
        <f>'[15]TUoS (t)'!S123</f>
        <v>0.25169999999999998</v>
      </c>
      <c r="T126" s="483">
        <f>'[15]TUoS (t)'!T123</f>
        <v>0</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58"/>
        <v>160.6</v>
      </c>
      <c r="AP126" s="184">
        <f t="shared" si="76"/>
        <v>0</v>
      </c>
      <c r="AQ126" s="178">
        <f t="shared" si="76"/>
        <v>0</v>
      </c>
      <c r="AR126" s="178">
        <f t="shared" si="76"/>
        <v>0</v>
      </c>
      <c r="AS126" s="179">
        <f t="shared" si="76"/>
        <v>0</v>
      </c>
      <c r="AT126" s="178">
        <f t="shared" si="76"/>
        <v>0</v>
      </c>
      <c r="AU126" s="178">
        <f t="shared" si="76"/>
        <v>0</v>
      </c>
      <c r="AV126" s="178">
        <f t="shared" si="76"/>
        <v>0</v>
      </c>
      <c r="AW126" s="179">
        <f t="shared" si="76"/>
        <v>0</v>
      </c>
      <c r="AX126" s="178">
        <f t="shared" si="62"/>
        <v>0</v>
      </c>
      <c r="AY126" s="178">
        <f t="shared" si="62"/>
        <v>0</v>
      </c>
      <c r="AZ126" s="179">
        <f t="shared" si="62"/>
        <v>0</v>
      </c>
      <c r="BA126" s="184">
        <f t="shared" ref="AX126:BD129" si="82">S126*AJ126/1000</f>
        <v>926.42212199999994</v>
      </c>
      <c r="BB126" s="178">
        <f t="shared" si="82"/>
        <v>0</v>
      </c>
      <c r="BC126" s="184">
        <f t="shared" si="82"/>
        <v>0</v>
      </c>
      <c r="BD126" s="178">
        <f t="shared" si="82"/>
        <v>0</v>
      </c>
      <c r="BE126" s="244">
        <f t="shared" si="59"/>
        <v>1</v>
      </c>
      <c r="BF126" s="245">
        <f t="shared" si="75"/>
        <v>27900</v>
      </c>
      <c r="BH126" s="255">
        <f t="shared" si="77"/>
        <v>160.6</v>
      </c>
      <c r="BI126" s="255">
        <f t="shared" si="78"/>
        <v>0</v>
      </c>
      <c r="BJ126" s="255">
        <f t="shared" si="79"/>
        <v>0</v>
      </c>
      <c r="BK126" s="256">
        <f t="shared" si="80"/>
        <v>926.42212199999994</v>
      </c>
      <c r="BL126" s="262">
        <f t="shared" si="81"/>
        <v>0</v>
      </c>
      <c r="BM126" s="257">
        <f t="shared" si="57"/>
        <v>1087.0221219999999</v>
      </c>
      <c r="BO126" s="714">
        <f t="shared" si="60"/>
        <v>38.961366379928307</v>
      </c>
    </row>
    <row r="127" spans="2:67" ht="15" customHeight="1" x14ac:dyDescent="0.25">
      <c r="B127" s="19">
        <f t="shared" si="68"/>
        <v>29</v>
      </c>
      <c r="C127" s="44" t="s">
        <v>147</v>
      </c>
      <c r="D127" s="45"/>
      <c r="E127" s="105" t="s">
        <v>141</v>
      </c>
      <c r="G127" s="477">
        <f>'[15]TUoS (t)'!G124</f>
        <v>3459</v>
      </c>
      <c r="H127" s="478">
        <f>'[15]TUoS (t)'!H124</f>
        <v>0</v>
      </c>
      <c r="I127" s="461"/>
      <c r="J127" s="461"/>
      <c r="K127" s="462"/>
      <c r="L127" s="461"/>
      <c r="M127" s="461"/>
      <c r="N127" s="461"/>
      <c r="O127" s="462"/>
      <c r="P127" s="461"/>
      <c r="Q127" s="461"/>
      <c r="R127" s="462"/>
      <c r="S127" s="478">
        <f>'[15]TUoS (t)'!S124</f>
        <v>0</v>
      </c>
      <c r="T127" s="483">
        <f>'[15]TUoS (t)'!T124</f>
        <v>0</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58"/>
        <v>1262.5350000000001</v>
      </c>
      <c r="AP127" s="184">
        <f t="shared" si="76"/>
        <v>0</v>
      </c>
      <c r="AQ127" s="178">
        <f t="shared" si="76"/>
        <v>0</v>
      </c>
      <c r="AR127" s="178">
        <f t="shared" si="76"/>
        <v>0</v>
      </c>
      <c r="AS127" s="179">
        <f t="shared" si="76"/>
        <v>0</v>
      </c>
      <c r="AT127" s="178">
        <f t="shared" si="76"/>
        <v>0</v>
      </c>
      <c r="AU127" s="178">
        <f t="shared" si="76"/>
        <v>0</v>
      </c>
      <c r="AV127" s="178">
        <f t="shared" si="76"/>
        <v>0</v>
      </c>
      <c r="AW127" s="179">
        <f t="shared" si="76"/>
        <v>0</v>
      </c>
      <c r="AX127" s="178">
        <f t="shared" si="82"/>
        <v>0</v>
      </c>
      <c r="AY127" s="178">
        <f t="shared" si="82"/>
        <v>0</v>
      </c>
      <c r="AZ127" s="179">
        <f t="shared" si="82"/>
        <v>0</v>
      </c>
      <c r="BA127" s="184">
        <f t="shared" si="82"/>
        <v>0</v>
      </c>
      <c r="BB127" s="178">
        <f t="shared" si="82"/>
        <v>0</v>
      </c>
      <c r="BC127" s="184">
        <f t="shared" si="82"/>
        <v>0</v>
      </c>
      <c r="BD127" s="178">
        <f t="shared" si="82"/>
        <v>0</v>
      </c>
      <c r="BE127" s="244">
        <f t="shared" si="59"/>
        <v>1</v>
      </c>
      <c r="BF127" s="245">
        <f t="shared" si="75"/>
        <v>27400</v>
      </c>
      <c r="BH127" s="255">
        <f t="shared" si="77"/>
        <v>1262.5350000000001</v>
      </c>
      <c r="BI127" s="255">
        <f t="shared" si="78"/>
        <v>0</v>
      </c>
      <c r="BJ127" s="255">
        <f t="shared" si="79"/>
        <v>0</v>
      </c>
      <c r="BK127" s="256">
        <f t="shared" si="80"/>
        <v>0</v>
      </c>
      <c r="BL127" s="262">
        <f t="shared" si="81"/>
        <v>0</v>
      </c>
      <c r="BM127" s="257">
        <f t="shared" si="57"/>
        <v>1262.5350000000001</v>
      </c>
      <c r="BO127" s="714">
        <f t="shared" si="60"/>
        <v>46.077919708029199</v>
      </c>
    </row>
    <row r="128" spans="2:67" ht="15" customHeight="1" x14ac:dyDescent="0.25">
      <c r="B128" s="19">
        <f t="shared" si="68"/>
        <v>30</v>
      </c>
      <c r="C128" s="44" t="s">
        <v>148</v>
      </c>
      <c r="D128" s="45"/>
      <c r="E128" s="105" t="s">
        <v>141</v>
      </c>
      <c r="G128" s="477">
        <f>'[15]TUoS (t)'!G125</f>
        <v>1625.1</v>
      </c>
      <c r="H128" s="478">
        <f>'[15]TUoS (t)'!H125</f>
        <v>0</v>
      </c>
      <c r="I128" s="461"/>
      <c r="J128" s="461"/>
      <c r="K128" s="462"/>
      <c r="L128" s="461"/>
      <c r="M128" s="461"/>
      <c r="N128" s="461"/>
      <c r="O128" s="462"/>
      <c r="P128" s="461"/>
      <c r="Q128" s="461"/>
      <c r="R128" s="462"/>
      <c r="S128" s="478">
        <f>'[15]TUoS (t)'!S125</f>
        <v>0</v>
      </c>
      <c r="T128" s="483">
        <f>'[15]TUoS (t)'!T125</f>
        <v>0</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58"/>
        <v>593.16150000000005</v>
      </c>
      <c r="AP128" s="184">
        <f t="shared" si="76"/>
        <v>0</v>
      </c>
      <c r="AQ128" s="178">
        <f t="shared" si="76"/>
        <v>0</v>
      </c>
      <c r="AR128" s="178">
        <f t="shared" si="76"/>
        <v>0</v>
      </c>
      <c r="AS128" s="179">
        <f t="shared" si="76"/>
        <v>0</v>
      </c>
      <c r="AT128" s="178">
        <f t="shared" si="76"/>
        <v>0</v>
      </c>
      <c r="AU128" s="178">
        <f t="shared" si="76"/>
        <v>0</v>
      </c>
      <c r="AV128" s="178">
        <f t="shared" si="76"/>
        <v>0</v>
      </c>
      <c r="AW128" s="179">
        <f t="shared" si="76"/>
        <v>0</v>
      </c>
      <c r="AX128" s="178">
        <f t="shared" si="82"/>
        <v>0</v>
      </c>
      <c r="AY128" s="178">
        <f t="shared" si="82"/>
        <v>0</v>
      </c>
      <c r="AZ128" s="179">
        <f t="shared" si="82"/>
        <v>0</v>
      </c>
      <c r="BA128" s="184">
        <f t="shared" si="82"/>
        <v>0</v>
      </c>
      <c r="BB128" s="178">
        <f t="shared" si="82"/>
        <v>0</v>
      </c>
      <c r="BC128" s="184">
        <f t="shared" si="82"/>
        <v>0</v>
      </c>
      <c r="BD128" s="178">
        <f t="shared" si="82"/>
        <v>0</v>
      </c>
      <c r="BE128" s="244">
        <f t="shared" si="59"/>
        <v>1</v>
      </c>
      <c r="BF128" s="245">
        <f t="shared" si="75"/>
        <v>59000</v>
      </c>
      <c r="BH128" s="255">
        <f t="shared" si="77"/>
        <v>593.16150000000005</v>
      </c>
      <c r="BI128" s="255">
        <f t="shared" si="78"/>
        <v>0</v>
      </c>
      <c r="BJ128" s="255">
        <f t="shared" si="79"/>
        <v>0</v>
      </c>
      <c r="BK128" s="256">
        <f t="shared" si="80"/>
        <v>0</v>
      </c>
      <c r="BL128" s="262">
        <f t="shared" si="81"/>
        <v>0</v>
      </c>
      <c r="BM128" s="257">
        <f t="shared" si="57"/>
        <v>593.16150000000005</v>
      </c>
      <c r="BO128" s="714">
        <f t="shared" si="60"/>
        <v>10.053584745762711</v>
      </c>
    </row>
    <row r="129" spans="1:70" ht="15" customHeight="1" x14ac:dyDescent="0.25">
      <c r="A129" s="214"/>
      <c r="B129" s="26">
        <f t="shared" si="68"/>
        <v>31</v>
      </c>
      <c r="C129" s="839" t="s">
        <v>149</v>
      </c>
      <c r="D129" s="56"/>
      <c r="E129" s="840" t="s">
        <v>141</v>
      </c>
      <c r="G129" s="485">
        <f>'[15]TUoS (t)'!G126</f>
        <v>864.12</v>
      </c>
      <c r="H129" s="486">
        <f>'[15]TUoS (t)'!H126</f>
        <v>0</v>
      </c>
      <c r="I129" s="487"/>
      <c r="J129" s="487"/>
      <c r="K129" s="488"/>
      <c r="L129" s="487"/>
      <c r="M129" s="487"/>
      <c r="N129" s="487"/>
      <c r="O129" s="488"/>
      <c r="P129" s="487"/>
      <c r="Q129" s="487"/>
      <c r="R129" s="488"/>
      <c r="S129" s="486">
        <f>'[15]TUoS (t)'!S126</f>
        <v>0</v>
      </c>
      <c r="T129" s="489">
        <f>'[15]TUoS (t)'!T126</f>
        <v>0</v>
      </c>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58"/>
        <v>0</v>
      </c>
      <c r="AP129" s="197">
        <f t="shared" si="76"/>
        <v>0</v>
      </c>
      <c r="AQ129" s="192">
        <f t="shared" si="76"/>
        <v>0</v>
      </c>
      <c r="AR129" s="192">
        <f t="shared" si="76"/>
        <v>0</v>
      </c>
      <c r="AS129" s="193">
        <f t="shared" si="76"/>
        <v>0</v>
      </c>
      <c r="AT129" s="192">
        <f t="shared" si="76"/>
        <v>0</v>
      </c>
      <c r="AU129" s="192">
        <f t="shared" si="76"/>
        <v>0</v>
      </c>
      <c r="AV129" s="192">
        <f t="shared" si="76"/>
        <v>0</v>
      </c>
      <c r="AW129" s="193">
        <f t="shared" si="76"/>
        <v>0</v>
      </c>
      <c r="AX129" s="192">
        <f t="shared" si="82"/>
        <v>0</v>
      </c>
      <c r="AY129" s="192">
        <f t="shared" si="82"/>
        <v>0</v>
      </c>
      <c r="AZ129" s="193">
        <f t="shared" si="82"/>
        <v>0</v>
      </c>
      <c r="BA129" s="197">
        <f t="shared" si="82"/>
        <v>0</v>
      </c>
      <c r="BB129" s="192">
        <f t="shared" si="82"/>
        <v>0</v>
      </c>
      <c r="BC129" s="197">
        <f t="shared" si="82"/>
        <v>0</v>
      </c>
      <c r="BD129" s="193">
        <f t="shared" si="82"/>
        <v>0</v>
      </c>
      <c r="BE129" s="246">
        <f t="shared" si="59"/>
        <v>0</v>
      </c>
      <c r="BF129" s="247">
        <f t="shared" si="75"/>
        <v>0</v>
      </c>
      <c r="BH129" s="258">
        <f t="shared" si="77"/>
        <v>0</v>
      </c>
      <c r="BI129" s="258">
        <f t="shared" si="78"/>
        <v>0</v>
      </c>
      <c r="BJ129" s="258">
        <f t="shared" si="79"/>
        <v>0</v>
      </c>
      <c r="BK129" s="259">
        <f t="shared" si="80"/>
        <v>0</v>
      </c>
      <c r="BL129" s="263">
        <f t="shared" si="81"/>
        <v>0</v>
      </c>
      <c r="BM129" s="264">
        <f t="shared" si="57"/>
        <v>0</v>
      </c>
      <c r="BO129" s="714" t="str">
        <f t="shared" si="60"/>
        <v/>
      </c>
    </row>
    <row r="130" spans="1:70" x14ac:dyDescent="0.25">
      <c r="BE130" s="248"/>
      <c r="BF130" s="249"/>
    </row>
    <row r="131" spans="1:70"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83">SUM(X16:X25)</f>
        <v>293618410</v>
      </c>
      <c r="Y131" s="218">
        <f t="shared" si="83"/>
        <v>2400100</v>
      </c>
      <c r="Z131" s="218">
        <f t="shared" si="83"/>
        <v>570050</v>
      </c>
      <c r="AA131" s="218">
        <f t="shared" si="83"/>
        <v>114350</v>
      </c>
      <c r="AB131" s="218">
        <f t="shared" si="83"/>
        <v>126950</v>
      </c>
      <c r="AC131" s="218">
        <f t="shared" si="83"/>
        <v>361300</v>
      </c>
      <c r="AD131" s="218">
        <f t="shared" si="83"/>
        <v>0</v>
      </c>
      <c r="AE131" s="218">
        <f t="shared" si="83"/>
        <v>92600</v>
      </c>
      <c r="AF131" s="218">
        <f t="shared" si="83"/>
        <v>23100</v>
      </c>
      <c r="AG131" s="218">
        <f t="shared" si="83"/>
        <v>0</v>
      </c>
      <c r="AH131" s="218">
        <f t="shared" si="83"/>
        <v>0</v>
      </c>
      <c r="AI131" s="218">
        <f t="shared" si="83"/>
        <v>0</v>
      </c>
      <c r="AJ131" s="218">
        <f t="shared" si="83"/>
        <v>0</v>
      </c>
      <c r="AK131" s="218">
        <f t="shared" si="83"/>
        <v>0</v>
      </c>
      <c r="AL131" s="218">
        <f t="shared" si="83"/>
        <v>446395</v>
      </c>
      <c r="AM131" s="218">
        <f t="shared" si="83"/>
        <v>0</v>
      </c>
      <c r="AO131" s="218">
        <f t="shared" ref="AO131:BD131" si="84">SUM(AO16:AO25)</f>
        <v>0</v>
      </c>
      <c r="AP131" s="218">
        <f t="shared" si="84"/>
        <v>81363.39</v>
      </c>
      <c r="AQ131" s="218">
        <f t="shared" si="84"/>
        <v>24162.47</v>
      </c>
      <c r="AR131" s="218">
        <f t="shared" si="84"/>
        <v>1940.89</v>
      </c>
      <c r="AS131" s="218">
        <f t="shared" si="84"/>
        <v>1078.2250000000001</v>
      </c>
      <c r="AT131" s="218">
        <f t="shared" si="84"/>
        <v>6142.1</v>
      </c>
      <c r="AU131" s="218">
        <f t="shared" si="84"/>
        <v>0</v>
      </c>
      <c r="AV131" s="218">
        <f t="shared" si="84"/>
        <v>1574.2</v>
      </c>
      <c r="AW131" s="218">
        <f t="shared" si="84"/>
        <v>196.35000000000002</v>
      </c>
      <c r="AX131" s="218">
        <f t="shared" si="84"/>
        <v>0</v>
      </c>
      <c r="AY131" s="218">
        <f t="shared" si="84"/>
        <v>0</v>
      </c>
      <c r="AZ131" s="218">
        <f t="shared" si="84"/>
        <v>0</v>
      </c>
      <c r="BA131" s="218">
        <f t="shared" si="84"/>
        <v>0</v>
      </c>
      <c r="BB131" s="218">
        <f t="shared" si="84"/>
        <v>0</v>
      </c>
      <c r="BC131" s="218">
        <f t="shared" si="84"/>
        <v>84.234736499999997</v>
      </c>
      <c r="BD131" s="218">
        <f t="shared" si="84"/>
        <v>0</v>
      </c>
      <c r="BE131" s="244">
        <f>SUM(BE17:BE25)</f>
        <v>804434</v>
      </c>
      <c r="BF131" s="245">
        <f>SUM(BF17:BF25)</f>
        <v>3688450</v>
      </c>
      <c r="BH131" s="218">
        <f t="shared" ref="BH131:BM131" si="85">BH16</f>
        <v>0</v>
      </c>
      <c r="BI131" s="218">
        <f t="shared" si="85"/>
        <v>108566.378455</v>
      </c>
      <c r="BJ131" s="218">
        <f t="shared" si="85"/>
        <v>7912.6500000000005</v>
      </c>
      <c r="BK131" s="218">
        <f t="shared" si="85"/>
        <v>0</v>
      </c>
      <c r="BL131" s="218">
        <f t="shared" si="85"/>
        <v>84.234736499999997</v>
      </c>
      <c r="BM131" s="218">
        <f t="shared" si="85"/>
        <v>116563.26319149999</v>
      </c>
      <c r="BN131" s="718">
        <f t="shared" ref="BN131:BN136" si="86">BM131/$BM$136</f>
        <v>0.4537714858526356</v>
      </c>
      <c r="BO131" s="714">
        <f t="shared" ref="BO131:BO136" si="87">BM131*1000/BF131</f>
        <v>31.602234866000622</v>
      </c>
      <c r="BQ131" s="659">
        <f>'[19]TUOS (t)'!AR133</f>
        <v>30.427024091159371</v>
      </c>
      <c r="BR131" s="718">
        <f>BO131/BQ131-1</f>
        <v>3.8623914429499306E-2</v>
      </c>
    </row>
    <row r="132" spans="1:70"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88">SUM(X28:X41)</f>
        <v>34229335</v>
      </c>
      <c r="Y132" s="218">
        <f t="shared" si="88"/>
        <v>447400</v>
      </c>
      <c r="Z132" s="218">
        <f t="shared" si="88"/>
        <v>200600</v>
      </c>
      <c r="AA132" s="218">
        <f t="shared" si="88"/>
        <v>272300</v>
      </c>
      <c r="AB132" s="218">
        <f t="shared" si="88"/>
        <v>379200</v>
      </c>
      <c r="AC132" s="218">
        <f t="shared" si="88"/>
        <v>6000</v>
      </c>
      <c r="AD132" s="218">
        <f t="shared" si="88"/>
        <v>0</v>
      </c>
      <c r="AE132" s="218">
        <f t="shared" si="88"/>
        <v>0</v>
      </c>
      <c r="AF132" s="218">
        <f t="shared" si="88"/>
        <v>0</v>
      </c>
      <c r="AG132" s="218">
        <f t="shared" si="88"/>
        <v>0</v>
      </c>
      <c r="AH132" s="218">
        <f t="shared" si="88"/>
        <v>1070741</v>
      </c>
      <c r="AI132" s="218">
        <f t="shared" si="88"/>
        <v>2717425</v>
      </c>
      <c r="AJ132" s="218">
        <f t="shared" si="88"/>
        <v>0</v>
      </c>
      <c r="AK132" s="218">
        <f t="shared" si="88"/>
        <v>27963015</v>
      </c>
      <c r="AL132" s="218">
        <f t="shared" si="88"/>
        <v>0</v>
      </c>
      <c r="AM132" s="218">
        <f t="shared" si="88"/>
        <v>0</v>
      </c>
      <c r="AO132" s="218">
        <f t="shared" ref="AO132:BF132" si="89">SUM(AO28:AO41)</f>
        <v>0</v>
      </c>
      <c r="AP132" s="218">
        <f t="shared" si="89"/>
        <v>15056.599999999999</v>
      </c>
      <c r="AQ132" s="218">
        <f t="shared" si="89"/>
        <v>8888.25</v>
      </c>
      <c r="AR132" s="218">
        <f t="shared" si="89"/>
        <v>10274.229999999998</v>
      </c>
      <c r="AS132" s="218">
        <f t="shared" si="89"/>
        <v>7847.2800000000007</v>
      </c>
      <c r="AT132" s="218">
        <f t="shared" si="89"/>
        <v>102.00000000000001</v>
      </c>
      <c r="AU132" s="218">
        <f t="shared" si="89"/>
        <v>0</v>
      </c>
      <c r="AV132" s="218">
        <f t="shared" si="89"/>
        <v>0</v>
      </c>
      <c r="AW132" s="218">
        <f t="shared" si="89"/>
        <v>0</v>
      </c>
      <c r="AX132" s="218">
        <f t="shared" si="89"/>
        <v>0</v>
      </c>
      <c r="AY132" s="218">
        <f t="shared" si="89"/>
        <v>92.940318800000014</v>
      </c>
      <c r="AZ132" s="218">
        <f t="shared" si="89"/>
        <v>116.5775325</v>
      </c>
      <c r="BA132" s="218">
        <f t="shared" si="89"/>
        <v>0</v>
      </c>
      <c r="BB132" s="218">
        <f t="shared" si="89"/>
        <v>0</v>
      </c>
      <c r="BC132" s="218">
        <f t="shared" si="89"/>
        <v>0</v>
      </c>
      <c r="BD132" s="218">
        <f t="shared" si="89"/>
        <v>0</v>
      </c>
      <c r="BE132" s="244">
        <f t="shared" si="89"/>
        <v>93779</v>
      </c>
      <c r="BF132" s="245">
        <f t="shared" si="89"/>
        <v>1305500</v>
      </c>
      <c r="BH132" s="218">
        <f t="shared" ref="BH132:BM132" si="90">BH28</f>
        <v>0</v>
      </c>
      <c r="BI132" s="218">
        <f t="shared" si="90"/>
        <v>42066.360000000008</v>
      </c>
      <c r="BJ132" s="218">
        <f t="shared" si="90"/>
        <v>102.00000000000001</v>
      </c>
      <c r="BK132" s="218">
        <f t="shared" si="90"/>
        <v>209.51785130000002</v>
      </c>
      <c r="BL132" s="218">
        <f t="shared" si="90"/>
        <v>0</v>
      </c>
      <c r="BM132" s="218">
        <f t="shared" si="90"/>
        <v>42377.877851300007</v>
      </c>
      <c r="BN132" s="718">
        <f t="shared" si="86"/>
        <v>0.16497369817344112</v>
      </c>
      <c r="BO132" s="714">
        <f t="shared" si="87"/>
        <v>32.461032440674074</v>
      </c>
      <c r="BQ132" s="659">
        <f>'[19]TUOS (t)'!AR134</f>
        <v>30.747795973207534</v>
      </c>
      <c r="BR132" s="718">
        <f t="shared" ref="BR132:BR139" si="91">BO132/BQ132-1</f>
        <v>5.5719000768685634E-2</v>
      </c>
    </row>
    <row r="133" spans="1:70"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92">SUM(X42:X69)</f>
        <v>1953845</v>
      </c>
      <c r="Y133" s="218">
        <f t="shared" si="92"/>
        <v>10000</v>
      </c>
      <c r="Z133" s="218">
        <f t="shared" si="92"/>
        <v>1383994</v>
      </c>
      <c r="AA133" s="218">
        <f t="shared" si="92"/>
        <v>0</v>
      </c>
      <c r="AB133" s="218">
        <f t="shared" si="92"/>
        <v>1232955</v>
      </c>
      <c r="AC133" s="218">
        <f t="shared" si="92"/>
        <v>0</v>
      </c>
      <c r="AD133" s="218">
        <f t="shared" si="92"/>
        <v>0</v>
      </c>
      <c r="AE133" s="218">
        <f t="shared" si="92"/>
        <v>0</v>
      </c>
      <c r="AF133" s="218">
        <f t="shared" si="92"/>
        <v>0</v>
      </c>
      <c r="AG133" s="218">
        <f t="shared" si="92"/>
        <v>3555144</v>
      </c>
      <c r="AH133" s="218">
        <f t="shared" si="92"/>
        <v>757869</v>
      </c>
      <c r="AI133" s="218">
        <f t="shared" si="92"/>
        <v>1631915</v>
      </c>
      <c r="AJ133" s="218">
        <f t="shared" si="92"/>
        <v>232218475</v>
      </c>
      <c r="AK133" s="218">
        <f t="shared" si="92"/>
        <v>345057495</v>
      </c>
      <c r="AL133" s="218">
        <f t="shared" si="92"/>
        <v>0</v>
      </c>
      <c r="AM133" s="218">
        <f t="shared" si="92"/>
        <v>0</v>
      </c>
      <c r="AO133" s="218">
        <f t="shared" ref="AO133:BF133" si="93">SUM(AO42:AO69)</f>
        <v>0</v>
      </c>
      <c r="AP133" s="218">
        <f t="shared" si="93"/>
        <v>203</v>
      </c>
      <c r="AQ133" s="218">
        <f t="shared" si="93"/>
        <v>24345.974400000003</v>
      </c>
      <c r="AR133" s="218">
        <f t="shared" si="93"/>
        <v>0</v>
      </c>
      <c r="AS133" s="218">
        <f t="shared" si="93"/>
        <v>13555.904999999999</v>
      </c>
      <c r="AT133" s="218">
        <f t="shared" si="93"/>
        <v>0</v>
      </c>
      <c r="AU133" s="218">
        <f t="shared" si="93"/>
        <v>0</v>
      </c>
      <c r="AV133" s="218">
        <f t="shared" si="93"/>
        <v>0</v>
      </c>
      <c r="AW133" s="218">
        <f t="shared" si="93"/>
        <v>0</v>
      </c>
      <c r="AX133" s="218">
        <f t="shared" si="93"/>
        <v>1395.7495344000001</v>
      </c>
      <c r="AY133" s="218">
        <f t="shared" si="93"/>
        <v>65.783029200000001</v>
      </c>
      <c r="AZ133" s="218">
        <f t="shared" si="93"/>
        <v>70.009153499999996</v>
      </c>
      <c r="BA133" s="218">
        <f t="shared" si="93"/>
        <v>25149.2608425</v>
      </c>
      <c r="BB133" s="218">
        <f t="shared" si="93"/>
        <v>0</v>
      </c>
      <c r="BC133" s="218">
        <f t="shared" si="93"/>
        <v>0</v>
      </c>
      <c r="BD133" s="218">
        <f t="shared" si="93"/>
        <v>0</v>
      </c>
      <c r="BE133" s="244">
        <f t="shared" si="93"/>
        <v>5353</v>
      </c>
      <c r="BF133" s="245">
        <f t="shared" si="93"/>
        <v>2626949</v>
      </c>
      <c r="BH133" s="218">
        <f t="shared" ref="BH133:BM133" si="94">BH42</f>
        <v>0</v>
      </c>
      <c r="BI133" s="218">
        <f t="shared" si="94"/>
        <v>38104.879399999983</v>
      </c>
      <c r="BJ133" s="218">
        <f t="shared" si="94"/>
        <v>0</v>
      </c>
      <c r="BK133" s="218">
        <f t="shared" si="94"/>
        <v>26680.802559600001</v>
      </c>
      <c r="BL133" s="218">
        <f t="shared" si="94"/>
        <v>0</v>
      </c>
      <c r="BM133" s="218">
        <f t="shared" si="94"/>
        <v>64785.681959599984</v>
      </c>
      <c r="BN133" s="718">
        <f t="shared" si="86"/>
        <v>0.25220549219256688</v>
      </c>
      <c r="BO133" s="714">
        <f t="shared" si="87"/>
        <v>24.661948884276011</v>
      </c>
      <c r="BQ133" s="659">
        <f>'[19]TUOS (t)'!AR135</f>
        <v>21.809816272658697</v>
      </c>
      <c r="BR133" s="718">
        <f t="shared" si="91"/>
        <v>0.13077288574836898</v>
      </c>
    </row>
    <row r="134" spans="1:70"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95">SUM(X70:X93)</f>
        <v>72635</v>
      </c>
      <c r="Y134" s="218">
        <f t="shared" si="95"/>
        <v>0</v>
      </c>
      <c r="Z134" s="218">
        <f t="shared" si="95"/>
        <v>364504</v>
      </c>
      <c r="AA134" s="218">
        <f t="shared" si="95"/>
        <v>0</v>
      </c>
      <c r="AB134" s="218">
        <f t="shared" si="95"/>
        <v>350404</v>
      </c>
      <c r="AC134" s="218">
        <f t="shared" si="95"/>
        <v>0</v>
      </c>
      <c r="AD134" s="218">
        <f t="shared" si="95"/>
        <v>0</v>
      </c>
      <c r="AE134" s="218">
        <f t="shared" si="95"/>
        <v>0</v>
      </c>
      <c r="AF134" s="218">
        <f t="shared" si="95"/>
        <v>0</v>
      </c>
      <c r="AG134" s="218">
        <f t="shared" si="95"/>
        <v>1488105</v>
      </c>
      <c r="AH134" s="218">
        <f t="shared" si="95"/>
        <v>0</v>
      </c>
      <c r="AI134" s="218">
        <f t="shared" si="95"/>
        <v>0</v>
      </c>
      <c r="AJ134" s="218">
        <f t="shared" si="95"/>
        <v>59423825</v>
      </c>
      <c r="AK134" s="218">
        <f t="shared" si="95"/>
        <v>87282815</v>
      </c>
      <c r="AL134" s="218">
        <f t="shared" si="95"/>
        <v>0</v>
      </c>
      <c r="AM134" s="218">
        <f t="shared" si="95"/>
        <v>0</v>
      </c>
      <c r="AO134" s="218">
        <f t="shared" ref="AO134:BF134" si="96">SUM(AO70:AO93)</f>
        <v>302.07400000000001</v>
      </c>
      <c r="AP134" s="218">
        <f t="shared" si="96"/>
        <v>0</v>
      </c>
      <c r="AQ134" s="218">
        <f t="shared" si="96"/>
        <v>4634.7723999999998</v>
      </c>
      <c r="AR134" s="218">
        <f t="shared" si="96"/>
        <v>0</v>
      </c>
      <c r="AS134" s="218">
        <f t="shared" si="96"/>
        <v>2782.6128000000003</v>
      </c>
      <c r="AT134" s="218">
        <f t="shared" si="96"/>
        <v>0</v>
      </c>
      <c r="AU134" s="218">
        <f t="shared" si="96"/>
        <v>0</v>
      </c>
      <c r="AV134" s="218">
        <f t="shared" si="96"/>
        <v>0</v>
      </c>
      <c r="AW134" s="218">
        <f t="shared" si="96"/>
        <v>0</v>
      </c>
      <c r="AX134" s="218">
        <f t="shared" si="96"/>
        <v>584.23002300000007</v>
      </c>
      <c r="AY134" s="218">
        <f t="shared" si="96"/>
        <v>0</v>
      </c>
      <c r="AZ134" s="218">
        <f t="shared" si="96"/>
        <v>0</v>
      </c>
      <c r="BA134" s="218">
        <f t="shared" si="96"/>
        <v>6265.3466909999997</v>
      </c>
      <c r="BB134" s="218">
        <f t="shared" si="96"/>
        <v>0</v>
      </c>
      <c r="BC134" s="218">
        <f t="shared" si="96"/>
        <v>0</v>
      </c>
      <c r="BD134" s="218">
        <f t="shared" si="96"/>
        <v>0</v>
      </c>
      <c r="BE134" s="244">
        <f t="shared" si="96"/>
        <v>199</v>
      </c>
      <c r="BF134" s="245">
        <f t="shared" si="96"/>
        <v>714908</v>
      </c>
      <c r="BH134" s="218">
        <f t="shared" ref="BH134:BM134" si="97">BH70</f>
        <v>302.07400000000001</v>
      </c>
      <c r="BI134" s="218">
        <f t="shared" si="97"/>
        <v>7417.3851999999997</v>
      </c>
      <c r="BJ134" s="218">
        <f t="shared" si="97"/>
        <v>0</v>
      </c>
      <c r="BK134" s="218">
        <f t="shared" si="97"/>
        <v>6849.5767139999998</v>
      </c>
      <c r="BL134" s="218">
        <f t="shared" si="97"/>
        <v>0</v>
      </c>
      <c r="BM134" s="218">
        <f t="shared" si="97"/>
        <v>14569.035914</v>
      </c>
      <c r="BN134" s="718">
        <f t="shared" si="86"/>
        <v>5.6716094703655122E-2</v>
      </c>
      <c r="BO134" s="714">
        <f t="shared" si="87"/>
        <v>20.378896185243416</v>
      </c>
      <c r="BQ134" s="659">
        <f>'[19]TUOS (t)'!AR136</f>
        <v>20.541325697455999</v>
      </c>
      <c r="BR134" s="718">
        <f t="shared" si="91"/>
        <v>-7.9074503079759051E-3</v>
      </c>
    </row>
    <row r="135" spans="1:70"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98">SUM(X94:X129)</f>
        <v>10220</v>
      </c>
      <c r="Y135" s="218">
        <f t="shared" si="98"/>
        <v>1181592</v>
      </c>
      <c r="Z135" s="218">
        <f t="shared" si="98"/>
        <v>0</v>
      </c>
      <c r="AA135" s="218">
        <f t="shared" si="98"/>
        <v>0</v>
      </c>
      <c r="AB135" s="218">
        <f t="shared" si="98"/>
        <v>0</v>
      </c>
      <c r="AC135" s="218">
        <f t="shared" si="98"/>
        <v>0</v>
      </c>
      <c r="AD135" s="218">
        <f t="shared" si="98"/>
        <v>0</v>
      </c>
      <c r="AE135" s="218">
        <f t="shared" si="98"/>
        <v>0</v>
      </c>
      <c r="AF135" s="218">
        <f t="shared" si="98"/>
        <v>0</v>
      </c>
      <c r="AG135" s="218">
        <f t="shared" si="98"/>
        <v>0</v>
      </c>
      <c r="AH135" s="218">
        <f t="shared" si="98"/>
        <v>0</v>
      </c>
      <c r="AI135" s="218">
        <f t="shared" si="98"/>
        <v>0</v>
      </c>
      <c r="AJ135" s="218">
        <f t="shared" si="98"/>
        <v>82932745</v>
      </c>
      <c r="AK135" s="218">
        <f t="shared" si="98"/>
        <v>125423125</v>
      </c>
      <c r="AL135" s="218">
        <f t="shared" si="98"/>
        <v>0</v>
      </c>
      <c r="AM135" s="218">
        <f t="shared" si="98"/>
        <v>0</v>
      </c>
      <c r="AO135" s="218">
        <f t="shared" ref="AO135:BF135" si="99">SUM(AO94:AO129)</f>
        <v>9511.702900000002</v>
      </c>
      <c r="AP135" s="218">
        <f t="shared" si="99"/>
        <v>1024.0608</v>
      </c>
      <c r="AQ135" s="218">
        <f t="shared" si="99"/>
        <v>0</v>
      </c>
      <c r="AR135" s="218">
        <f t="shared" si="99"/>
        <v>0</v>
      </c>
      <c r="AS135" s="218">
        <f t="shared" si="99"/>
        <v>0</v>
      </c>
      <c r="AT135" s="218">
        <f t="shared" si="99"/>
        <v>0</v>
      </c>
      <c r="AU135" s="218">
        <f t="shared" si="99"/>
        <v>0</v>
      </c>
      <c r="AV135" s="218">
        <f t="shared" si="99"/>
        <v>0</v>
      </c>
      <c r="AW135" s="218">
        <f t="shared" si="99"/>
        <v>0</v>
      </c>
      <c r="AX135" s="218">
        <f t="shared" si="99"/>
        <v>0</v>
      </c>
      <c r="AY135" s="218">
        <f t="shared" si="99"/>
        <v>0</v>
      </c>
      <c r="AZ135" s="218">
        <f t="shared" si="99"/>
        <v>0</v>
      </c>
      <c r="BA135" s="218">
        <f t="shared" si="99"/>
        <v>8044.9481370000003</v>
      </c>
      <c r="BB135" s="218">
        <f t="shared" si="99"/>
        <v>0</v>
      </c>
      <c r="BC135" s="218">
        <f t="shared" si="99"/>
        <v>0</v>
      </c>
      <c r="BD135" s="218">
        <f t="shared" si="99"/>
        <v>0</v>
      </c>
      <c r="BE135" s="244">
        <f t="shared" si="99"/>
        <v>28</v>
      </c>
      <c r="BF135" s="245">
        <f t="shared" si="99"/>
        <v>1181592</v>
      </c>
      <c r="BH135" s="218">
        <f t="shared" ref="BH135:BM135" si="100">BH94</f>
        <v>9511.702900000002</v>
      </c>
      <c r="BI135" s="218">
        <f t="shared" si="100"/>
        <v>1024.0608</v>
      </c>
      <c r="BJ135" s="218">
        <f t="shared" si="100"/>
        <v>0</v>
      </c>
      <c r="BK135" s="218">
        <f t="shared" si="100"/>
        <v>8044.9481370000003</v>
      </c>
      <c r="BL135" s="218">
        <f t="shared" si="100"/>
        <v>0</v>
      </c>
      <c r="BM135" s="218">
        <f t="shared" si="100"/>
        <v>18580.711837000003</v>
      </c>
      <c r="BN135" s="718">
        <f t="shared" si="86"/>
        <v>7.2333229077701192E-2</v>
      </c>
      <c r="BO135" s="714">
        <f t="shared" si="87"/>
        <v>15.72515033700296</v>
      </c>
      <c r="BQ135" s="659">
        <f>'[19]TUOS (t)'!AR137</f>
        <v>15.70517570579875</v>
      </c>
      <c r="BR135" s="718">
        <f t="shared" si="91"/>
        <v>1.2718502217605732E-3</v>
      </c>
    </row>
    <row r="136" spans="1:70"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01">SUM(X131:X135)</f>
        <v>329884445</v>
      </c>
      <c r="Y136" s="221">
        <f t="shared" si="101"/>
        <v>4039092</v>
      </c>
      <c r="Z136" s="221">
        <f t="shared" si="101"/>
        <v>2519148</v>
      </c>
      <c r="AA136" s="221">
        <f t="shared" si="101"/>
        <v>386650</v>
      </c>
      <c r="AB136" s="221">
        <f t="shared" si="101"/>
        <v>2089509</v>
      </c>
      <c r="AC136" s="221">
        <f t="shared" si="101"/>
        <v>367300</v>
      </c>
      <c r="AD136" s="221">
        <f t="shared" si="101"/>
        <v>0</v>
      </c>
      <c r="AE136" s="221">
        <f t="shared" si="101"/>
        <v>92600</v>
      </c>
      <c r="AF136" s="221">
        <f t="shared" si="101"/>
        <v>23100</v>
      </c>
      <c r="AG136" s="221">
        <f t="shared" si="101"/>
        <v>5043249</v>
      </c>
      <c r="AH136" s="221">
        <f t="shared" si="101"/>
        <v>1828610</v>
      </c>
      <c r="AI136" s="221">
        <f t="shared" si="101"/>
        <v>4349340</v>
      </c>
      <c r="AJ136" s="221">
        <f t="shared" si="101"/>
        <v>374575045</v>
      </c>
      <c r="AK136" s="221">
        <f t="shared" si="101"/>
        <v>585726450</v>
      </c>
      <c r="AL136" s="221">
        <f t="shared" si="101"/>
        <v>446395</v>
      </c>
      <c r="AM136" s="221">
        <f>SUM(AM131:AM135)</f>
        <v>0</v>
      </c>
      <c r="AO136" s="221">
        <f>SUM(AO131:AO135)</f>
        <v>9813.7769000000026</v>
      </c>
      <c r="AP136" s="221">
        <f t="shared" ref="AP136:BD136" si="102">SUM(AP131:AP135)</f>
        <v>97647.050799999997</v>
      </c>
      <c r="AQ136" s="221">
        <f t="shared" si="102"/>
        <v>62031.466800000009</v>
      </c>
      <c r="AR136" s="221">
        <f t="shared" si="102"/>
        <v>12215.119999999997</v>
      </c>
      <c r="AS136" s="221">
        <f t="shared" si="102"/>
        <v>25264.022799999999</v>
      </c>
      <c r="AT136" s="221">
        <f t="shared" si="102"/>
        <v>6244.1</v>
      </c>
      <c r="AU136" s="221">
        <f t="shared" si="102"/>
        <v>0</v>
      </c>
      <c r="AV136" s="221">
        <f t="shared" si="102"/>
        <v>1574.2</v>
      </c>
      <c r="AW136" s="221">
        <f t="shared" si="102"/>
        <v>196.35000000000002</v>
      </c>
      <c r="AX136" s="221">
        <f t="shared" si="102"/>
        <v>1979.9795574000002</v>
      </c>
      <c r="AY136" s="221">
        <f t="shared" si="102"/>
        <v>158.72334800000002</v>
      </c>
      <c r="AZ136" s="221">
        <f t="shared" si="102"/>
        <v>186.58668599999999</v>
      </c>
      <c r="BA136" s="221">
        <f t="shared" si="102"/>
        <v>39459.555670499998</v>
      </c>
      <c r="BB136" s="221">
        <f t="shared" si="102"/>
        <v>0</v>
      </c>
      <c r="BC136" s="221">
        <f t="shared" si="102"/>
        <v>84.234736499999997</v>
      </c>
      <c r="BD136" s="221">
        <f t="shared" si="102"/>
        <v>0</v>
      </c>
      <c r="BE136" s="238">
        <f>SUM(BE131:BE135)</f>
        <v>903793</v>
      </c>
      <c r="BF136" s="239">
        <f>SUM(BF131:BF135)</f>
        <v>9517399</v>
      </c>
      <c r="BH136" s="221">
        <f t="shared" ref="BH136:BM136" si="103">SUM(BH131:BH135)</f>
        <v>9813.7769000000026</v>
      </c>
      <c r="BI136" s="221">
        <f t="shared" si="103"/>
        <v>197179.06385499999</v>
      </c>
      <c r="BJ136" s="221">
        <f t="shared" si="103"/>
        <v>8014.6500000000005</v>
      </c>
      <c r="BK136" s="221">
        <f t="shared" si="103"/>
        <v>41784.845261900002</v>
      </c>
      <c r="BL136" s="221">
        <f t="shared" si="103"/>
        <v>84.234736499999997</v>
      </c>
      <c r="BM136" s="221">
        <f t="shared" si="103"/>
        <v>256876.57075340001</v>
      </c>
      <c r="BN136" s="718">
        <f t="shared" si="86"/>
        <v>1</v>
      </c>
      <c r="BO136" s="715">
        <f t="shared" si="87"/>
        <v>26.990207172505848</v>
      </c>
      <c r="BQ136" s="659">
        <f>'[19]TUOS (t)'!AR138</f>
        <v>25.442574921469358</v>
      </c>
      <c r="BR136" s="718">
        <f t="shared" si="91"/>
        <v>6.0828444283386629E-2</v>
      </c>
    </row>
    <row r="137" spans="1:70"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R137" s="718"/>
    </row>
    <row r="138" spans="1:70"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0</v>
      </c>
      <c r="BI138" s="218">
        <f>BI131</f>
        <v>108566.378455</v>
      </c>
      <c r="BJ138" s="218"/>
      <c r="BK138" s="218">
        <f>BK131</f>
        <v>0</v>
      </c>
      <c r="BL138" s="218">
        <f>BL131</f>
        <v>84.234736499999997</v>
      </c>
      <c r="BM138" s="218">
        <f>SUM(BH138:BL138)</f>
        <v>108650.6131915</v>
      </c>
      <c r="BN138" s="718">
        <f>BM138/$BM$136</f>
        <v>0.42296817056080971</v>
      </c>
      <c r="BO138" s="714">
        <f>BM138*1000/BF138</f>
        <v>33.83226056500957</v>
      </c>
      <c r="BQ138" s="659">
        <f>'[19]TUOS (t)'!AR131</f>
        <v>32.500056930511271</v>
      </c>
      <c r="BR138" s="718">
        <f t="shared" si="91"/>
        <v>4.0990809257555938E-2</v>
      </c>
    </row>
    <row r="139" spans="1:70"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7912.6500000000005</v>
      </c>
      <c r="BK139" s="218"/>
      <c r="BL139" s="218"/>
      <c r="BM139" s="218">
        <f>SUM(BH139:BL139)</f>
        <v>7912.6500000000005</v>
      </c>
      <c r="BN139" s="718">
        <f>BM139/$BM$136</f>
        <v>3.0803315291825884E-2</v>
      </c>
      <c r="BO139" s="714">
        <f>BM139*1000/BF139</f>
        <v>16.588364779874215</v>
      </c>
      <c r="BQ139" s="659">
        <f>'[19]TUOS (t)'!AR132</f>
        <v>16.599999999999998</v>
      </c>
      <c r="BR139" s="718">
        <f t="shared" si="91"/>
        <v>-7.0091687504714173E-4</v>
      </c>
    </row>
    <row r="140" spans="1:70"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716"/>
      <c r="BH140" s="218"/>
      <c r="BI140" s="218"/>
      <c r="BJ140" s="218"/>
      <c r="BK140" s="218"/>
      <c r="BL140" s="218"/>
      <c r="BM140" s="218"/>
      <c r="BN140" s="718"/>
      <c r="BO140" s="714"/>
    </row>
    <row r="141" spans="1:70"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row>
    <row r="142" spans="1:70"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(t-1)'!BM131</f>
        <v>0.19086359354648297</v>
      </c>
    </row>
    <row r="143" spans="1:70"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(t-1)'!BM132</f>
        <v>0.2221248045554976</v>
      </c>
    </row>
    <row r="144" spans="1:70" x14ac:dyDescent="0.25">
      <c r="E144" s="224" t="s">
        <v>45</v>
      </c>
      <c r="F144" s="224"/>
      <c r="G144" s="225">
        <f>SUM(AO18:AO19,AX18:BD19)</f>
        <v>0</v>
      </c>
      <c r="H144" s="225">
        <f>SUM(AP18:AS19)</f>
        <v>81363.39</v>
      </c>
      <c r="I144" s="225">
        <f>SUM(G144:H144)</f>
        <v>81363.39</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0</v>
      </c>
      <c r="H145" s="225">
        <f>SUM(AP22:AS23)</f>
        <v>27164.29</v>
      </c>
      <c r="I145" s="225">
        <f t="shared" ref="I145:I164" si="104">SUM(G145:H145)</f>
        <v>27164.29</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84.234736499999997</v>
      </c>
      <c r="H146" s="225">
        <f>SUM(AP24:AS25)</f>
        <v>17.294999999999998</v>
      </c>
      <c r="I146" s="225">
        <f t="shared" si="104"/>
        <v>101.5297365</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0</v>
      </c>
      <c r="H147" s="225">
        <f>SUM(AP26:AS27)</f>
        <v>21.403455000000001</v>
      </c>
      <c r="I147" s="225">
        <f t="shared" si="104"/>
        <v>21.403455000000001</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6244.1</v>
      </c>
      <c r="I148" s="225">
        <f t="shared" si="104"/>
        <v>6244.1</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1770.5500000000002</v>
      </c>
      <c r="I149" s="225">
        <f t="shared" si="104"/>
        <v>1770.5500000000002</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2721.6</v>
      </c>
      <c r="I150" s="225">
        <f t="shared" si="104"/>
        <v>2721.6</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0</v>
      </c>
      <c r="H151" s="225">
        <f>SUM(AP33:AS37,AP44:AS47)</f>
        <v>21944.039999999997</v>
      </c>
      <c r="I151" s="225">
        <f t="shared" si="104"/>
        <v>21944.039999999997</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0</v>
      </c>
      <c r="H152" s="225">
        <f>SUM(AP39:AS39)</f>
        <v>15108.91</v>
      </c>
      <c r="I152" s="225">
        <f t="shared" si="104"/>
        <v>15108.91</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0</v>
      </c>
      <c r="H153" s="225">
        <f>SUM(AP40:AS40)</f>
        <v>1942.6499999999996</v>
      </c>
      <c r="I153" s="225">
        <f t="shared" si="104"/>
        <v>1942.6499999999996</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209.51785130000002</v>
      </c>
      <c r="H154" s="225">
        <f>SUM(AP41:AS41)</f>
        <v>349.15999999999997</v>
      </c>
      <c r="I154" s="225">
        <f t="shared" si="104"/>
        <v>558.67785129999993</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SUM(AO49:AO49,AO55:AO68,AX49:BD49,AX55:BD68)</f>
        <v>25149.2608425</v>
      </c>
      <c r="H155" s="225">
        <f>SUM(AP49:AS49,AP55:AS68)</f>
        <v>36015.379399999991</v>
      </c>
      <c r="I155" s="225">
        <f t="shared" si="104"/>
        <v>61164.640242499991</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SUM(AO50:AO51,AO69,AX50:BD51,AX69:BD69)</f>
        <v>1395.7495344000001</v>
      </c>
      <c r="H156" s="225">
        <f>SUM(AP50:AS51,AP69:AS69)</f>
        <v>1886.5</v>
      </c>
      <c r="I156" s="225">
        <f t="shared" si="104"/>
        <v>3282.2495343999999</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135.79218270000001</v>
      </c>
      <c r="H157" s="225">
        <f>SUM(AP52:AS53)</f>
        <v>203</v>
      </c>
      <c r="I157" s="225">
        <f t="shared" si="104"/>
        <v>338.79218270000001</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6567.4206909999994</v>
      </c>
      <c r="H158" s="225">
        <f>SUM(AP72:AS72,AP76:AS76,AP79:AS87)</f>
        <v>6873.0952000000007</v>
      </c>
      <c r="I158" s="225">
        <f t="shared" si="104"/>
        <v>13440.515890999999</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584.23002300000007</v>
      </c>
      <c r="H159" s="225">
        <f>SUM(AP73:AS74)</f>
        <v>544.29000000000008</v>
      </c>
      <c r="I159" s="225">
        <f t="shared" si="104"/>
        <v>1128.520023</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0</v>
      </c>
      <c r="H160" s="225">
        <f>SUM(AP75:AS75,AP77:AS77)</f>
        <v>0</v>
      </c>
      <c r="I160" s="225">
        <f t="shared" si="104"/>
        <v>0</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1322.2676879999999</v>
      </c>
      <c r="H161" s="225">
        <f>SUM(AP96:AS103)</f>
        <v>698.8488000000001</v>
      </c>
      <c r="I161" s="225">
        <f t="shared" si="104"/>
        <v>2021.1164880000001</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5288.5792794999998</v>
      </c>
      <c r="H162" s="225">
        <f>SUM(AP105:AS114)</f>
        <v>178.596</v>
      </c>
      <c r="I162" s="225">
        <f t="shared" si="104"/>
        <v>5467.1752794999993</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246.30831449999999</v>
      </c>
      <c r="H163" s="225">
        <f>SUM(AP116:AS119)</f>
        <v>146.61600000000001</v>
      </c>
      <c r="I163" s="225">
        <f t="shared" si="104"/>
        <v>392.92431450000004</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10699.495755000004</v>
      </c>
      <c r="H164" s="225">
        <f>SUM(AP121:AS129)</f>
        <v>0</v>
      </c>
      <c r="I164" s="225">
        <f t="shared" si="104"/>
        <v>10699.495755000004</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51682.856898400001</v>
      </c>
      <c r="H165" s="226">
        <f>SUM(H144:H164)</f>
        <v>205193.71385500001</v>
      </c>
      <c r="I165" s="226">
        <f>SUM(I144:I164)</f>
        <v>256876.57075340001</v>
      </c>
    </row>
    <row r="166" spans="3:57" x14ac:dyDescent="0.25">
      <c r="E166" s="222" t="s">
        <v>176</v>
      </c>
      <c r="F166" s="222"/>
      <c r="G166" s="227"/>
      <c r="H166" s="227"/>
      <c r="I166" s="228">
        <f>SUM(BM136)</f>
        <v>256876.57075340001</v>
      </c>
    </row>
    <row r="167" spans="3:57" x14ac:dyDescent="0.25">
      <c r="E167" s="222" t="s">
        <v>177</v>
      </c>
      <c r="F167" s="222"/>
      <c r="G167" s="228"/>
      <c r="H167" s="228"/>
      <c r="I167" s="228">
        <f>I166-I165</f>
        <v>0</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5433070866141736" bottom="0.39370078740157483" header="0.23622047244094491" footer="0.19685039370078741"/>
  <pageSetup paperSize="8" scale="23" pageOrder="overThenDown" orientation="landscape" r:id="rId1"/>
  <headerFooter alignWithMargins="0">
    <oddFooter>&amp;L&amp;D&amp;T&amp;C&amp;F&amp;R&amp;A&amp;P</oddFooter>
  </headerFooter>
  <rowBreaks count="1" manualBreakCount="1">
    <brk id="69" min="1" max="64" man="1"/>
  </rowBreaks>
  <colBreaks count="2" manualBreakCount="2">
    <brk id="23" max="131" man="1"/>
    <brk id="40" max="131"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5446-2244-4563-9C6A-3B4ABB030A61}">
  <sheetPr>
    <tabColor rgb="FFFF0000"/>
  </sheetPr>
  <dimension ref="A1:BW454"/>
  <sheetViews>
    <sheetView showGridLines="0" zoomScale="90" zoomScaleNormal="90" workbookViewId="0">
      <pane xSplit="4" ySplit="15" topLeftCell="E93" activePane="bottomRight" state="frozenSplit"/>
      <selection activeCell="N80" sqref="N80"/>
      <selection pane="topRight" activeCell="N80" sqref="N80"/>
      <selection pane="bottomLeft" activeCell="N80" sqref="N80"/>
      <selection pane="bottomRight" activeCell="H101" sqref="H101"/>
    </sheetView>
  </sheetViews>
  <sheetFormatPr defaultRowHeight="15" x14ac:dyDescent="0.25"/>
  <cols>
    <col min="1" max="1" width="1.5703125" style="128" customWidth="1"/>
    <col min="2" max="2" width="6.85546875" style="128" customWidth="1"/>
    <col min="3" max="3" width="12.7109375" style="128" bestFit="1" customWidth="1"/>
    <col min="4" max="4" width="14" style="128" bestFit="1" customWidth="1"/>
    <col min="5" max="5" width="51.42578125" style="128" bestFit="1" customWidth="1"/>
    <col min="6" max="6" width="3.7109375" style="128" customWidth="1"/>
    <col min="7"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73" width="9.140625" style="128"/>
    <col min="74" max="74" width="9.7109375" style="128" customWidth="1"/>
    <col min="75" max="16384" width="9.140625" style="128"/>
  </cols>
  <sheetData>
    <row r="1" spans="2:69" ht="24" customHeight="1" x14ac:dyDescent="0.35">
      <c r="B1" s="1" t="str">
        <f>'Model Update'!D5</f>
        <v>SA Power Networks</v>
      </c>
      <c r="C1" s="141"/>
      <c r="D1" s="141"/>
      <c r="G1" s="1" t="s">
        <v>11</v>
      </c>
      <c r="X1" s="140"/>
      <c r="AO1" s="140"/>
    </row>
    <row r="2" spans="2:69" ht="21.75" customHeight="1" x14ac:dyDescent="0.3">
      <c r="B2" s="123" t="s">
        <v>214</v>
      </c>
      <c r="C2" s="141"/>
      <c r="D2" s="141"/>
      <c r="H2" s="142" t="s">
        <v>13</v>
      </c>
      <c r="I2" s="142"/>
      <c r="J2" s="142"/>
      <c r="K2" s="142"/>
      <c r="Y2" s="142"/>
      <c r="Z2" s="142"/>
      <c r="AA2" s="142"/>
      <c r="AB2" s="142"/>
      <c r="AP2" s="142"/>
      <c r="AQ2" s="142"/>
      <c r="AR2" s="142"/>
      <c r="AS2" s="142"/>
    </row>
    <row r="3" spans="2:69" ht="18" hidden="1" customHeight="1" x14ac:dyDescent="0.25">
      <c r="B3" s="143"/>
      <c r="C3" s="141"/>
      <c r="D3" s="141"/>
      <c r="H3" s="142"/>
      <c r="I3" s="142"/>
      <c r="J3" s="142"/>
      <c r="K3" s="142"/>
      <c r="Y3" s="142"/>
      <c r="Z3" s="142"/>
      <c r="AA3" s="142"/>
      <c r="AB3" s="142"/>
      <c r="AP3" s="142"/>
      <c r="AQ3" s="142"/>
      <c r="AR3" s="142"/>
      <c r="AS3" s="142"/>
    </row>
    <row r="4" spans="2:69" ht="18" hidden="1" customHeight="1" x14ac:dyDescent="0.25">
      <c r="B4" s="143"/>
      <c r="C4" s="141"/>
      <c r="D4" s="141"/>
      <c r="H4" s="142"/>
      <c r="I4" s="142"/>
      <c r="J4" s="142"/>
      <c r="K4" s="142"/>
      <c r="Y4" s="142"/>
      <c r="Z4" s="142"/>
      <c r="AA4" s="142"/>
      <c r="AB4" s="142"/>
      <c r="AP4" s="142"/>
      <c r="AQ4" s="142"/>
      <c r="AR4" s="142"/>
      <c r="AS4" s="142"/>
    </row>
    <row r="5" spans="2:69" ht="12.75" customHeight="1" x14ac:dyDescent="0.25">
      <c r="B5" s="143"/>
      <c r="C5" s="141"/>
      <c r="D5" s="141"/>
      <c r="H5" s="142"/>
      <c r="I5" s="142"/>
      <c r="J5" s="142"/>
      <c r="K5" s="142"/>
      <c r="Y5" s="142"/>
      <c r="Z5" s="142"/>
      <c r="AA5" s="142"/>
      <c r="AB5" s="142"/>
      <c r="AP5" s="142"/>
      <c r="AQ5" s="142"/>
      <c r="AR5" s="142"/>
      <c r="AS5" s="142"/>
    </row>
    <row r="6" spans="2:69" ht="12.75" customHeight="1" x14ac:dyDescent="0.25">
      <c r="B6" s="143"/>
      <c r="C6" s="141"/>
      <c r="D6" s="141"/>
      <c r="I6" s="142"/>
      <c r="J6" s="142"/>
      <c r="K6" s="142"/>
      <c r="Z6" s="142"/>
      <c r="AA6" s="142"/>
      <c r="AB6" s="142"/>
      <c r="AQ6" s="142"/>
      <c r="AR6" s="142"/>
      <c r="AS6" s="142"/>
    </row>
    <row r="7" spans="2:69" ht="18.75" x14ac:dyDescent="0.3">
      <c r="B7" s="7" t="str">
        <f>"Information for financial year ending 30 June "&amp;'Model Update'!C12</f>
        <v>Information for financial year ending 30 June 2022</v>
      </c>
      <c r="C7" s="141"/>
      <c r="D7" s="141"/>
      <c r="H7" s="804"/>
      <c r="I7" s="142"/>
      <c r="J7" s="142"/>
      <c r="K7" s="142"/>
      <c r="Y7" s="142"/>
      <c r="Z7" s="142"/>
      <c r="AA7" s="142"/>
      <c r="AB7" s="142"/>
      <c r="AP7" s="142"/>
      <c r="AQ7" s="142"/>
      <c r="AR7" s="142"/>
      <c r="AS7" s="142"/>
      <c r="BE7" s="251">
        <f>Days_Year</f>
        <v>365</v>
      </c>
    </row>
    <row r="8" spans="2:69" x14ac:dyDescent="0.25">
      <c r="B8" s="143"/>
      <c r="C8" s="141"/>
      <c r="D8" s="141"/>
    </row>
    <row r="9" spans="2:69" x14ac:dyDescent="0.25">
      <c r="B9" s="143"/>
      <c r="C9" s="141"/>
      <c r="D9" s="141"/>
      <c r="G9" s="898" t="s">
        <v>723</v>
      </c>
      <c r="H9" s="898"/>
      <c r="I9" s="898"/>
      <c r="J9" s="898"/>
      <c r="K9" s="898"/>
      <c r="L9" s="898"/>
      <c r="M9" s="898"/>
      <c r="N9" s="898"/>
      <c r="O9" s="898"/>
      <c r="P9" s="898"/>
      <c r="Q9" s="898"/>
      <c r="R9" s="898"/>
      <c r="S9" s="898"/>
      <c r="T9" s="898"/>
      <c r="U9" s="898"/>
      <c r="V9" s="909"/>
      <c r="X9" s="910" t="s">
        <v>724</v>
      </c>
      <c r="Y9" s="910"/>
      <c r="Z9" s="910"/>
      <c r="AA9" s="910"/>
      <c r="AB9" s="910"/>
      <c r="AC9" s="910"/>
      <c r="AD9" s="910"/>
      <c r="AE9" s="910"/>
      <c r="AF9" s="910"/>
      <c r="AG9" s="910"/>
      <c r="AH9" s="910"/>
      <c r="AI9" s="910"/>
      <c r="AJ9" s="910"/>
      <c r="AK9" s="910"/>
      <c r="AL9" s="910"/>
      <c r="AM9" s="911"/>
      <c r="AO9" s="898" t="s">
        <v>725</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x14ac:dyDescent="0.25">
      <c r="B11" s="146" t="s">
        <v>16</v>
      </c>
      <c r="C11" s="147"/>
      <c r="D11" s="147"/>
      <c r="E11" s="148"/>
      <c r="G11" s="149">
        <f>'Model Update'!C12-1</f>
        <v>2021</v>
      </c>
      <c r="H11" s="150">
        <f>$G$11</f>
        <v>2021</v>
      </c>
      <c r="I11" s="147"/>
      <c r="J11" s="151"/>
      <c r="K11" s="152"/>
      <c r="L11" s="150">
        <f>$G$11</f>
        <v>2021</v>
      </c>
      <c r="M11" s="153"/>
      <c r="N11" s="153"/>
      <c r="O11" s="152"/>
      <c r="P11" s="150">
        <f>$G$11</f>
        <v>2021</v>
      </c>
      <c r="Q11" s="147"/>
      <c r="R11" s="151"/>
      <c r="S11" s="150">
        <f>$G$11</f>
        <v>2021</v>
      </c>
      <c r="T11" s="154"/>
      <c r="U11" s="150">
        <f>$G$11</f>
        <v>2021</v>
      </c>
      <c r="V11" s="148"/>
      <c r="X11" s="150">
        <f>$G$11</f>
        <v>2021</v>
      </c>
      <c r="Y11" s="150">
        <f>$G$11</f>
        <v>2021</v>
      </c>
      <c r="Z11" s="147"/>
      <c r="AA11" s="151"/>
      <c r="AB11" s="152"/>
      <c r="AC11" s="150">
        <f>$G$11</f>
        <v>2021</v>
      </c>
      <c r="AD11" s="153"/>
      <c r="AE11" s="153"/>
      <c r="AF11" s="152"/>
      <c r="AG11" s="150">
        <f>$G$11</f>
        <v>2021</v>
      </c>
      <c r="AH11" s="147"/>
      <c r="AI11" s="151"/>
      <c r="AJ11" s="150">
        <f>$G$11</f>
        <v>2021</v>
      </c>
      <c r="AK11" s="154"/>
      <c r="AL11" s="150">
        <f>$G$11</f>
        <v>2021</v>
      </c>
      <c r="AM11" s="148"/>
      <c r="AO11" s="150">
        <f>$G$11</f>
        <v>2021</v>
      </c>
      <c r="AP11" s="150">
        <f>$G$11</f>
        <v>2021</v>
      </c>
      <c r="AQ11" s="147"/>
      <c r="AR11" s="151"/>
      <c r="AS11" s="152"/>
      <c r="AT11" s="150">
        <f>$G$11</f>
        <v>2021</v>
      </c>
      <c r="AU11" s="153"/>
      <c r="AV11" s="153"/>
      <c r="AW11" s="152"/>
      <c r="AX11" s="150">
        <f>$G$11</f>
        <v>2021</v>
      </c>
      <c r="AY11" s="147"/>
      <c r="AZ11" s="151"/>
      <c r="BA11" s="150">
        <f>$G$11</f>
        <v>2021</v>
      </c>
      <c r="BB11" s="154"/>
      <c r="BC11" s="150">
        <f>$G$11</f>
        <v>2021</v>
      </c>
      <c r="BD11" s="147"/>
      <c r="BE11" s="912" t="s">
        <v>17</v>
      </c>
      <c r="BF11" s="900"/>
      <c r="BH11" s="912" t="s">
        <v>205</v>
      </c>
      <c r="BI11" s="899"/>
      <c r="BJ11" s="899"/>
      <c r="BK11" s="899"/>
      <c r="BL11" s="899"/>
      <c r="BM11" s="900"/>
    </row>
    <row r="12" spans="2:69"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825" t="s">
        <v>204</v>
      </c>
      <c r="BF12" s="827" t="s">
        <v>23</v>
      </c>
      <c r="BH12" s="232"/>
      <c r="BI12" s="233"/>
      <c r="BJ12" s="233"/>
      <c r="BK12" s="233"/>
      <c r="BL12" s="233"/>
      <c r="BM12" s="145"/>
    </row>
    <row r="13" spans="2:69"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827"/>
      <c r="BH13" s="825" t="s">
        <v>206</v>
      </c>
      <c r="BI13" s="826" t="s">
        <v>23</v>
      </c>
      <c r="BJ13" s="826" t="s">
        <v>23</v>
      </c>
      <c r="BK13" s="826" t="s">
        <v>210</v>
      </c>
      <c r="BL13" s="826" t="s">
        <v>211</v>
      </c>
      <c r="BM13" s="827" t="s">
        <v>212</v>
      </c>
      <c r="BO13" s="826" t="s">
        <v>600</v>
      </c>
      <c r="BQ13" s="126" t="s">
        <v>255</v>
      </c>
    </row>
    <row r="14" spans="2:69"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825" t="s">
        <v>22</v>
      </c>
      <c r="BF14" s="827" t="s">
        <v>35</v>
      </c>
      <c r="BH14" s="825" t="s">
        <v>207</v>
      </c>
      <c r="BI14" s="826" t="s">
        <v>208</v>
      </c>
      <c r="BJ14" s="826" t="s">
        <v>209</v>
      </c>
      <c r="BK14" s="826"/>
      <c r="BL14" s="826"/>
      <c r="BM14" s="827"/>
    </row>
    <row r="15" spans="2:69"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69"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c r="Y16" s="169"/>
      <c r="Z16" s="170"/>
      <c r="AA16" s="170"/>
      <c r="AB16" s="171"/>
      <c r="AC16" s="170"/>
      <c r="AD16" s="170"/>
      <c r="AE16" s="170"/>
      <c r="AF16" s="171"/>
      <c r="AG16" s="169"/>
      <c r="AH16" s="170"/>
      <c r="AI16" s="171"/>
      <c r="AJ16" s="169"/>
      <c r="AK16" s="170"/>
      <c r="AL16" s="169"/>
      <c r="AM16" s="171"/>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2"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12083.0031795</v>
      </c>
      <c r="BI16" s="253">
        <f>SUBTOTAL(9,BI17:BI27)</f>
        <v>37141.631985000007</v>
      </c>
      <c r="BJ16" s="253">
        <f>SUBTOTAL(9,BJ17:BJ27)</f>
        <v>2699.6099999999997</v>
      </c>
      <c r="BK16" s="253">
        <f>SUBTOTAL(9,BK17:BK27)</f>
        <v>0</v>
      </c>
      <c r="BL16" s="253">
        <f>SUBTOTAL(9,BL17:BL27)</f>
        <v>28.658558999999997</v>
      </c>
      <c r="BM16" s="254">
        <f>SUM(BH16:BL16)</f>
        <v>51952.903723500014</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c r="Y17" s="175"/>
      <c r="Z17" s="176"/>
      <c r="AA17" s="176"/>
      <c r="AB17" s="177"/>
      <c r="AC17" s="178"/>
      <c r="AD17" s="178"/>
      <c r="AE17" s="178"/>
      <c r="AF17" s="179"/>
      <c r="AG17" s="175"/>
      <c r="AH17" s="176"/>
      <c r="AI17" s="177"/>
      <c r="AJ17" s="175"/>
      <c r="AK17" s="176"/>
      <c r="AL17" s="175"/>
      <c r="AM17" s="177"/>
      <c r="AO17" s="174">
        <f t="shared" ref="AO17:AO80"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80" si="3">X17/$BE$7</f>
        <v>0</v>
      </c>
      <c r="BF17" s="245">
        <f t="shared" ref="BF17:BF51" si="4">SUM(Y17:AF17)</f>
        <v>0</v>
      </c>
      <c r="BH17" s="252">
        <f>SUBTOTAL(9,BH18:BH19)</f>
        <v>9533.753279999999</v>
      </c>
      <c r="BI17" s="252">
        <f>SUBTOTAL(9,BI18:BI19)</f>
        <v>27841.16</v>
      </c>
      <c r="BJ17" s="252">
        <f>SUBTOTAL(9,BJ18:BJ19)</f>
        <v>2095.54</v>
      </c>
      <c r="BK17" s="260">
        <f>SUBTOTAL(9,BK18:BK19)</f>
        <v>0</v>
      </c>
      <c r="BL17" s="261">
        <f>SUBTOTAL(9,BL18:BL19)</f>
        <v>0</v>
      </c>
      <c r="BM17" s="257">
        <f t="shared" ref="BM17:BM79" si="5">SUM(BH17:BL17)</f>
        <v>39470.453280000002</v>
      </c>
      <c r="BO17" s="714" t="str">
        <f t="shared" ref="BO17:BO80" si="6">IF(BF17=0,"",BM17*1000/BF17)</f>
        <v/>
      </c>
    </row>
    <row r="18" spans="2:67" ht="15" customHeight="1" x14ac:dyDescent="0.25">
      <c r="B18" s="156">
        <v>1</v>
      </c>
      <c r="C18" s="180" t="s">
        <v>44</v>
      </c>
      <c r="D18" s="181" t="s">
        <v>44</v>
      </c>
      <c r="E18" s="182" t="s">
        <v>641</v>
      </c>
      <c r="G18" s="463">
        <f>'[15]JSO (t)'!G18</f>
        <v>4.1099999999999998E-2</v>
      </c>
      <c r="H18" s="464">
        <f>'[15]JSO (t)'!H18</f>
        <v>1.1599999999999999E-2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9533.753279999999</v>
      </c>
      <c r="AP18" s="184">
        <f t="shared" si="0"/>
        <v>27841.16</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9533.753279999999</v>
      </c>
      <c r="BI18" s="255">
        <f>SUM(AP18:AS18)</f>
        <v>27841.16</v>
      </c>
      <c r="BJ18" s="255">
        <f>SUM(AT18:AW18)</f>
        <v>0</v>
      </c>
      <c r="BK18" s="256">
        <f>SUM(AX18:BB18)</f>
        <v>0</v>
      </c>
      <c r="BL18" s="262">
        <f>SUM(BC18:BD18)</f>
        <v>0</v>
      </c>
      <c r="BM18" s="257">
        <f t="shared" si="5"/>
        <v>37374.913280000001</v>
      </c>
      <c r="BO18" s="714">
        <f t="shared" si="6"/>
        <v>15.572231690346236</v>
      </c>
    </row>
    <row r="19" spans="2:67" ht="15" customHeight="1" x14ac:dyDescent="0.25">
      <c r="B19" s="156">
        <f>B18+1</f>
        <v>2</v>
      </c>
      <c r="C19" s="180" t="s">
        <v>643</v>
      </c>
      <c r="D19" s="181" t="s">
        <v>643</v>
      </c>
      <c r="E19" s="182" t="s">
        <v>47</v>
      </c>
      <c r="G19" s="463">
        <f>'[15]JSO (t)'!G19</f>
        <v>4.1099999999999998E-2</v>
      </c>
      <c r="H19" s="464">
        <f>'[15]JSO (t)'!H19</f>
        <v>1.1599999999999999E-2</v>
      </c>
      <c r="I19" s="459"/>
      <c r="J19" s="459"/>
      <c r="K19" s="460"/>
      <c r="L19" s="465">
        <f>'[15]JSO (t)'!L19</f>
        <v>5.7999999999999996E-3</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2095.54</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2095.54</v>
      </c>
      <c r="BK19" s="256">
        <f>SUM(AX19:BB19)</f>
        <v>0</v>
      </c>
      <c r="BL19" s="262">
        <f>SUM(BC19:BD19)</f>
        <v>0</v>
      </c>
      <c r="BM19" s="257">
        <f t="shared" si="5"/>
        <v>2095.54</v>
      </c>
      <c r="BO19" s="714">
        <f t="shared" si="6"/>
        <v>5.8</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2549.2498994999996</v>
      </c>
      <c r="BI20" s="252">
        <f>SUBTOTAL(9,BI21:BI27)</f>
        <v>9300.471985000002</v>
      </c>
      <c r="BJ20" s="252">
        <f>SUBTOTAL(9,BJ21:BJ27)</f>
        <v>604.06999999999994</v>
      </c>
      <c r="BK20" s="252">
        <f>SUBTOTAL(9,BK21:BK27)</f>
        <v>0</v>
      </c>
      <c r="BL20" s="252">
        <f>SUBTOTAL(9,BL21:BL27)</f>
        <v>28.658558999999997</v>
      </c>
      <c r="BM20" s="257">
        <f t="shared" si="5"/>
        <v>12482.450443500002</v>
      </c>
      <c r="BO20" s="714" t="str">
        <f t="shared" si="6"/>
        <v/>
      </c>
    </row>
    <row r="21" spans="2:67" ht="15" customHeight="1" x14ac:dyDescent="0.25">
      <c r="B21" s="156">
        <f>B19+1</f>
        <v>3</v>
      </c>
      <c r="C21" s="180" t="s">
        <v>46</v>
      </c>
      <c r="D21" s="181" t="s">
        <v>46</v>
      </c>
      <c r="E21" s="182" t="s">
        <v>642</v>
      </c>
      <c r="G21" s="463">
        <f>'[15]JSO (t)'!G21</f>
        <v>4.1099999999999998E-2</v>
      </c>
      <c r="H21" s="758">
        <f>'[15]JSO (t)'!H21</f>
        <v>1.1599999999999999E-2</v>
      </c>
      <c r="I21" s="459"/>
      <c r="J21" s="459"/>
      <c r="K21" s="460"/>
      <c r="L21" s="414"/>
      <c r="M21" s="759">
        <f>'[15]JSO (t)'!M21</f>
        <v>1.4500000000000001E-2</v>
      </c>
      <c r="N21" s="759">
        <f>'[15]JSO (t)'!N21</f>
        <v>5.7999999999999996E-3</v>
      </c>
      <c r="O21" s="760">
        <f>'[15]JSO (t)'!O21</f>
        <v>2.8999999999999998E-3</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 t="shared" si="2"/>
        <v>0</v>
      </c>
      <c r="AP21" s="175">
        <f t="shared" si="0"/>
        <v>0</v>
      </c>
      <c r="AQ21" s="178">
        <f t="shared" si="0"/>
        <v>0</v>
      </c>
      <c r="AR21" s="178">
        <f t="shared" si="0"/>
        <v>0</v>
      </c>
      <c r="AS21" s="179">
        <f t="shared" si="0"/>
        <v>0</v>
      </c>
      <c r="AT21" s="185">
        <f t="shared" si="0"/>
        <v>0</v>
      </c>
      <c r="AU21" s="185">
        <f t="shared" si="0"/>
        <v>0</v>
      </c>
      <c r="AV21" s="185">
        <f t="shared" si="0"/>
        <v>0</v>
      </c>
      <c r="AW21" s="186">
        <f t="shared" si="0"/>
        <v>0</v>
      </c>
      <c r="AX21" s="175">
        <f t="shared" si="1"/>
        <v>0</v>
      </c>
      <c r="AY21" s="176">
        <f t="shared" si="1"/>
        <v>0</v>
      </c>
      <c r="AZ21" s="177">
        <f t="shared" si="1"/>
        <v>0</v>
      </c>
      <c r="BA21" s="175">
        <f t="shared" si="1"/>
        <v>0</v>
      </c>
      <c r="BB21" s="176">
        <f t="shared" si="1"/>
        <v>0</v>
      </c>
      <c r="BC21" s="175">
        <f t="shared" si="1"/>
        <v>0</v>
      </c>
      <c r="BD21" s="176">
        <f t="shared" si="1"/>
        <v>0</v>
      </c>
      <c r="BE21" s="244">
        <f t="shared" si="3"/>
        <v>0</v>
      </c>
      <c r="BF21" s="245">
        <f t="shared" si="4"/>
        <v>0</v>
      </c>
      <c r="BH21" s="255">
        <f t="shared" ref="BH21:BH27" si="7">SUM(AO21)</f>
        <v>0</v>
      </c>
      <c r="BI21" s="255">
        <f t="shared" ref="BI21:BI27" si="8">SUM(AP21:AS21)</f>
        <v>0</v>
      </c>
      <c r="BJ21" s="255">
        <f t="shared" ref="BJ21:BJ27" si="9">SUM(AT21:AW21)</f>
        <v>0</v>
      </c>
      <c r="BK21" s="256">
        <f t="shared" ref="BK21:BK27" si="10">SUM(AX21:BB21)</f>
        <v>0</v>
      </c>
      <c r="BL21" s="262">
        <f t="shared" ref="BL21:BL27" si="11">SUM(BC21:BD21)</f>
        <v>0</v>
      </c>
      <c r="BM21" s="257">
        <f>SUM(BH21:BL21)</f>
        <v>0</v>
      </c>
      <c r="BO21" s="714" t="str">
        <f t="shared" si="6"/>
        <v/>
      </c>
    </row>
    <row r="22" spans="2:67" ht="15" customHeight="1" x14ac:dyDescent="0.25">
      <c r="B22" s="156">
        <f t="shared" ref="B22:B27" si="12">B21+1</f>
        <v>4</v>
      </c>
      <c r="C22" s="180" t="s">
        <v>49</v>
      </c>
      <c r="D22" s="181" t="s">
        <v>49</v>
      </c>
      <c r="E22" s="182" t="s">
        <v>50</v>
      </c>
      <c r="G22" s="463">
        <f>'[15]JSO (t)'!G22</f>
        <v>4.1099999999999998E-2</v>
      </c>
      <c r="H22" s="458"/>
      <c r="I22" s="465">
        <f>'[15]JSO (t)'!I22</f>
        <v>1.4500000000000001E-2</v>
      </c>
      <c r="J22" s="465">
        <f>'[15]JSO (t)'!J22</f>
        <v>5.7999999999999996E-3</v>
      </c>
      <c r="K22" s="466">
        <f>'[15]JSO (t)'!K22</f>
        <v>2.8999999999999998E-3</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2518.6768425</v>
      </c>
      <c r="AP22" s="175">
        <f t="shared" si="0"/>
        <v>0</v>
      </c>
      <c r="AQ22" s="178">
        <f t="shared" si="0"/>
        <v>8259.2000000000007</v>
      </c>
      <c r="AR22" s="178">
        <f t="shared" si="0"/>
        <v>660.62</v>
      </c>
      <c r="AS22" s="179">
        <f t="shared" si="0"/>
        <v>367.42999999999995</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7"/>
        <v>2518.6768425</v>
      </c>
      <c r="BI22" s="255">
        <f t="shared" si="8"/>
        <v>9287.2500000000018</v>
      </c>
      <c r="BJ22" s="255">
        <f t="shared" si="9"/>
        <v>0</v>
      </c>
      <c r="BK22" s="256">
        <f t="shared" si="10"/>
        <v>0</v>
      </c>
      <c r="BL22" s="262">
        <f t="shared" si="11"/>
        <v>0</v>
      </c>
      <c r="BM22" s="257">
        <f t="shared" si="5"/>
        <v>11805.926842500001</v>
      </c>
      <c r="BO22" s="714">
        <f t="shared" si="6"/>
        <v>14.571620393112813</v>
      </c>
    </row>
    <row r="23" spans="2:67" ht="15" customHeight="1" x14ac:dyDescent="0.25">
      <c r="B23" s="156">
        <f t="shared" si="12"/>
        <v>5</v>
      </c>
      <c r="C23" s="180" t="s">
        <v>51</v>
      </c>
      <c r="D23" s="181" t="s">
        <v>51</v>
      </c>
      <c r="E23" s="182" t="s">
        <v>52</v>
      </c>
      <c r="G23" s="463">
        <f>'[15]JSO (t)'!G23</f>
        <v>4.1099999999999998E-2</v>
      </c>
      <c r="H23" s="458"/>
      <c r="I23" s="465">
        <f>'[15]JSO (t)'!I23</f>
        <v>1.4500000000000001E-2</v>
      </c>
      <c r="J23" s="465">
        <f>'[15]JSO (t)'!J23</f>
        <v>5.7999999999999996E-3</v>
      </c>
      <c r="K23" s="466">
        <f>'[15]JSO (t)'!K23</f>
        <v>2.8999999999999998E-3</v>
      </c>
      <c r="L23" s="414"/>
      <c r="M23" s="465">
        <f>'[15]JSO (t)'!M23</f>
        <v>1.4500000000000001E-2</v>
      </c>
      <c r="N23" s="465">
        <f>'[15]JSO (t)'!N23</f>
        <v>5.7999999999999996E-3</v>
      </c>
      <c r="O23" s="465">
        <f>'[15]JSO (t)'!O23</f>
        <v>2.8999999999999998E-3</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537.07999999999993</v>
      </c>
      <c r="AW23" s="178">
        <f t="shared" si="0"/>
        <v>66.989999999999995</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7"/>
        <v>0</v>
      </c>
      <c r="BI23" s="255">
        <f t="shared" si="8"/>
        <v>0</v>
      </c>
      <c r="BJ23" s="255">
        <f t="shared" si="9"/>
        <v>604.06999999999994</v>
      </c>
      <c r="BK23" s="256">
        <f t="shared" si="10"/>
        <v>0</v>
      </c>
      <c r="BL23" s="262">
        <f t="shared" si="11"/>
        <v>0</v>
      </c>
      <c r="BM23" s="257">
        <f t="shared" si="5"/>
        <v>604.06999999999994</v>
      </c>
      <c r="BO23" s="714">
        <f t="shared" si="6"/>
        <v>5.2210025929127042</v>
      </c>
    </row>
    <row r="24" spans="2:67" ht="15" customHeight="1" x14ac:dyDescent="0.25">
      <c r="B24" s="156">
        <f t="shared" si="12"/>
        <v>6</v>
      </c>
      <c r="C24" s="180" t="s">
        <v>53</v>
      </c>
      <c r="D24" s="181" t="s">
        <v>53</v>
      </c>
      <c r="E24" s="182" t="s">
        <v>54</v>
      </c>
      <c r="G24" s="463">
        <f>'[15]JSO (t)'!G24</f>
        <v>4.1099999999999998E-2</v>
      </c>
      <c r="H24" s="458"/>
      <c r="I24" s="465">
        <f>'[15]JSO (t)'!I24</f>
        <v>8.6999999999999994E-3</v>
      </c>
      <c r="J24" s="465">
        <f>'[15]JSO (t)'!J24</f>
        <v>3.5000000000000001E-3</v>
      </c>
      <c r="K24" s="466">
        <f>'[15]JSO (t)'!K24</f>
        <v>1.6999999999999999E-3</v>
      </c>
      <c r="L24" s="414"/>
      <c r="M24" s="414"/>
      <c r="N24" s="414"/>
      <c r="O24" s="415"/>
      <c r="P24" s="458"/>
      <c r="Q24" s="459"/>
      <c r="R24" s="460"/>
      <c r="S24" s="458"/>
      <c r="T24" s="459"/>
      <c r="U24" s="464">
        <f>'[15]JSO (t)'!U24</f>
        <v>6.4199999999999993E-2</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15.286528499999999</v>
      </c>
      <c r="AP24" s="175">
        <f t="shared" si="0"/>
        <v>0</v>
      </c>
      <c r="AQ24" s="178">
        <f t="shared" si="0"/>
        <v>3.9149999999999996</v>
      </c>
      <c r="AR24" s="178">
        <f t="shared" si="0"/>
        <v>1.575</v>
      </c>
      <c r="AS24" s="179">
        <f t="shared" si="0"/>
        <v>0.42499999999999999</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28.658558999999997</v>
      </c>
      <c r="BD24" s="176">
        <f t="shared" si="1"/>
        <v>0</v>
      </c>
      <c r="BE24" s="244">
        <f t="shared" si="3"/>
        <v>1019</v>
      </c>
      <c r="BF24" s="245">
        <f t="shared" si="4"/>
        <v>1150</v>
      </c>
      <c r="BH24" s="255">
        <f t="shared" si="7"/>
        <v>15.286528499999999</v>
      </c>
      <c r="BI24" s="255">
        <f t="shared" si="8"/>
        <v>5.9149999999999991</v>
      </c>
      <c r="BJ24" s="255">
        <f t="shared" si="9"/>
        <v>0</v>
      </c>
      <c r="BK24" s="256">
        <f t="shared" si="10"/>
        <v>0</v>
      </c>
      <c r="BL24" s="262">
        <f t="shared" si="11"/>
        <v>28.658558999999997</v>
      </c>
      <c r="BM24" s="257">
        <f t="shared" si="5"/>
        <v>49.860087499999992</v>
      </c>
      <c r="BO24" s="714"/>
    </row>
    <row r="25" spans="2:67" ht="15" customHeight="1" x14ac:dyDescent="0.25">
      <c r="B25" s="156">
        <f t="shared" si="12"/>
        <v>7</v>
      </c>
      <c r="C25" s="180" t="s">
        <v>55</v>
      </c>
      <c r="D25" s="181" t="s">
        <v>55</v>
      </c>
      <c r="E25" s="182" t="s">
        <v>56</v>
      </c>
      <c r="G25" s="463">
        <f>'[15]JSO (t)'!G25</f>
        <v>4.1099999999999998E-2</v>
      </c>
      <c r="H25" s="458"/>
      <c r="I25" s="465">
        <f>'[15]JSO (t)'!I25</f>
        <v>8.6999999999999994E-3</v>
      </c>
      <c r="J25" s="465">
        <f>'[15]JSO (t)'!J25</f>
        <v>3.5000000000000001E-3</v>
      </c>
      <c r="K25" s="466">
        <f>'[15]JSO (t)'!K25</f>
        <v>1.6999999999999999E-3</v>
      </c>
      <c r="L25" s="414"/>
      <c r="M25" s="465">
        <f>'[15]JSO (t)'!M25</f>
        <v>1.4500000000000001E-2</v>
      </c>
      <c r="N25" s="465">
        <f>'[15]JSO (t)'!N25</f>
        <v>5.7999999999999996E-3</v>
      </c>
      <c r="O25" s="465">
        <f>'[15]JSO (t)'!O25</f>
        <v>2.8999999999999998E-3</v>
      </c>
      <c r="P25" s="458"/>
      <c r="Q25" s="459"/>
      <c r="R25" s="460"/>
      <c r="S25" s="458"/>
      <c r="T25" s="459"/>
      <c r="U25" s="464">
        <f>'[15]JSO (t)'!U25</f>
        <v>6.4199999999999993E-2</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7"/>
        <v>0</v>
      </c>
      <c r="BI25" s="255">
        <f t="shared" si="8"/>
        <v>0</v>
      </c>
      <c r="BJ25" s="255">
        <f t="shared" si="9"/>
        <v>0</v>
      </c>
      <c r="BK25" s="256">
        <f t="shared" si="10"/>
        <v>0</v>
      </c>
      <c r="BL25" s="262">
        <f t="shared" si="11"/>
        <v>0</v>
      </c>
      <c r="BM25" s="257">
        <f t="shared" si="5"/>
        <v>0</v>
      </c>
      <c r="BO25" s="714"/>
    </row>
    <row r="26" spans="2:67" ht="15" customHeight="1" x14ac:dyDescent="0.25">
      <c r="B26" s="156">
        <f t="shared" si="12"/>
        <v>8</v>
      </c>
      <c r="C26" s="180" t="s">
        <v>699</v>
      </c>
      <c r="D26" s="181" t="str">
        <f>C26</f>
        <v>RTOU+TR</v>
      </c>
      <c r="E26" s="182" t="s">
        <v>701</v>
      </c>
      <c r="G26" s="862">
        <f>G22</f>
        <v>4.1099999999999998E-2</v>
      </c>
      <c r="H26" s="458"/>
      <c r="I26" s="851">
        <f t="shared" ref="I26:K27" si="13">I22</f>
        <v>1.4500000000000001E-2</v>
      </c>
      <c r="J26" s="851">
        <f t="shared" si="13"/>
        <v>5.7999999999999996E-3</v>
      </c>
      <c r="K26" s="852">
        <f t="shared" si="13"/>
        <v>2.8999999999999998E-3</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 t="shared" si="2"/>
        <v>15.286528499999999</v>
      </c>
      <c r="AP26" s="175">
        <f t="shared" si="0"/>
        <v>0</v>
      </c>
      <c r="AQ26" s="178">
        <f t="shared" si="0"/>
        <v>1.9676499999999999</v>
      </c>
      <c r="AR26" s="178">
        <f t="shared" si="0"/>
        <v>4.7957299999999998</v>
      </c>
      <c r="AS26" s="179">
        <f t="shared" si="0"/>
        <v>0.543605</v>
      </c>
      <c r="AT26" s="185">
        <f t="shared" si="0"/>
        <v>0</v>
      </c>
      <c r="AU26" s="185">
        <f t="shared" si="0"/>
        <v>0</v>
      </c>
      <c r="AV26" s="185">
        <f t="shared" si="0"/>
        <v>0</v>
      </c>
      <c r="AW26" s="186">
        <f t="shared" si="0"/>
        <v>0</v>
      </c>
      <c r="AX26" s="175">
        <f t="shared" si="1"/>
        <v>0</v>
      </c>
      <c r="AY26" s="176">
        <f t="shared" si="1"/>
        <v>0</v>
      </c>
      <c r="AZ26" s="177">
        <f t="shared" si="1"/>
        <v>0</v>
      </c>
      <c r="BA26" s="175">
        <f t="shared" si="1"/>
        <v>0</v>
      </c>
      <c r="BB26" s="176">
        <f t="shared" si="1"/>
        <v>0</v>
      </c>
      <c r="BC26" s="184">
        <f t="shared" si="1"/>
        <v>0</v>
      </c>
      <c r="BD26" s="176">
        <f t="shared" si="1"/>
        <v>0</v>
      </c>
      <c r="BE26" s="244">
        <f t="shared" si="3"/>
        <v>1019</v>
      </c>
      <c r="BF26" s="245">
        <f t="shared" si="4"/>
        <v>1150</v>
      </c>
      <c r="BH26" s="255">
        <f t="shared" si="7"/>
        <v>15.286528499999999</v>
      </c>
      <c r="BI26" s="255">
        <f t="shared" si="8"/>
        <v>7.3069850000000001</v>
      </c>
      <c r="BJ26" s="255">
        <f t="shared" si="9"/>
        <v>0</v>
      </c>
      <c r="BK26" s="256">
        <f t="shared" si="10"/>
        <v>0</v>
      </c>
      <c r="BL26" s="262">
        <f t="shared" si="11"/>
        <v>0</v>
      </c>
      <c r="BM26" s="257">
        <f>SUM(BH26:BL26)</f>
        <v>22.5935135</v>
      </c>
      <c r="BO26" s="714"/>
    </row>
    <row r="27" spans="2:67" ht="15" customHeight="1" x14ac:dyDescent="0.25">
      <c r="B27" s="162">
        <f t="shared" si="12"/>
        <v>9</v>
      </c>
      <c r="C27" s="187" t="s">
        <v>700</v>
      </c>
      <c r="D27" s="188" t="str">
        <f>C27</f>
        <v>RTOU+CLTR</v>
      </c>
      <c r="E27" s="189" t="s">
        <v>702</v>
      </c>
      <c r="G27" s="879">
        <f>G23</f>
        <v>4.1099999999999998E-2</v>
      </c>
      <c r="H27" s="468"/>
      <c r="I27" s="853">
        <f t="shared" si="13"/>
        <v>1.4500000000000001E-2</v>
      </c>
      <c r="J27" s="853">
        <f t="shared" si="13"/>
        <v>5.7999999999999996E-3</v>
      </c>
      <c r="K27" s="854">
        <f t="shared" si="13"/>
        <v>2.8999999999999998E-3</v>
      </c>
      <c r="L27" s="416"/>
      <c r="M27" s="853">
        <f>M23</f>
        <v>1.4500000000000001E-2</v>
      </c>
      <c r="N27" s="853">
        <f>N23</f>
        <v>5.7999999999999996E-3</v>
      </c>
      <c r="O27" s="853">
        <f>O23</f>
        <v>2.8999999999999998E-3</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 t="shared" si="2"/>
        <v>0</v>
      </c>
      <c r="AP27" s="191">
        <f t="shared" si="0"/>
        <v>0</v>
      </c>
      <c r="AQ27" s="192">
        <f t="shared" si="0"/>
        <v>0</v>
      </c>
      <c r="AR27" s="192">
        <f t="shared" si="0"/>
        <v>0</v>
      </c>
      <c r="AS27" s="193">
        <f t="shared" si="0"/>
        <v>0</v>
      </c>
      <c r="AT27" s="194">
        <f t="shared" si="0"/>
        <v>0</v>
      </c>
      <c r="AU27" s="192">
        <f t="shared" si="0"/>
        <v>0</v>
      </c>
      <c r="AV27" s="192">
        <f t="shared" si="0"/>
        <v>0</v>
      </c>
      <c r="AW27" s="192">
        <f t="shared" si="0"/>
        <v>0</v>
      </c>
      <c r="AX27" s="191">
        <f t="shared" si="1"/>
        <v>0</v>
      </c>
      <c r="AY27" s="195">
        <f t="shared" si="1"/>
        <v>0</v>
      </c>
      <c r="AZ27" s="196">
        <f t="shared" si="1"/>
        <v>0</v>
      </c>
      <c r="BA27" s="191">
        <f t="shared" si="1"/>
        <v>0</v>
      </c>
      <c r="BB27" s="195">
        <f t="shared" si="1"/>
        <v>0</v>
      </c>
      <c r="BC27" s="197">
        <f t="shared" si="1"/>
        <v>0</v>
      </c>
      <c r="BD27" s="195">
        <f t="shared" si="1"/>
        <v>0</v>
      </c>
      <c r="BE27" s="246">
        <f t="shared" si="3"/>
        <v>0</v>
      </c>
      <c r="BF27" s="247">
        <f t="shared" si="4"/>
        <v>0</v>
      </c>
      <c r="BH27" s="255">
        <f t="shared" si="7"/>
        <v>0</v>
      </c>
      <c r="BI27" s="255">
        <f t="shared" si="8"/>
        <v>0</v>
      </c>
      <c r="BJ27" s="255">
        <f t="shared" si="9"/>
        <v>0</v>
      </c>
      <c r="BK27" s="256">
        <f t="shared" si="10"/>
        <v>0</v>
      </c>
      <c r="BL27" s="262">
        <f t="shared" si="11"/>
        <v>0</v>
      </c>
      <c r="BM27" s="257">
        <f>SUM(BH27:BL27)</f>
        <v>0</v>
      </c>
      <c r="BO27" s="714" t="str">
        <f t="shared" si="6"/>
        <v/>
      </c>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c r="Y28" s="169"/>
      <c r="Z28" s="170"/>
      <c r="AA28" s="170"/>
      <c r="AB28" s="171"/>
      <c r="AC28" s="198"/>
      <c r="AD28" s="198"/>
      <c r="AE28" s="198"/>
      <c r="AF28" s="199"/>
      <c r="AG28" s="170"/>
      <c r="AH28" s="170"/>
      <c r="AI28" s="171"/>
      <c r="AJ28" s="169"/>
      <c r="AK28" s="170"/>
      <c r="AL28" s="169"/>
      <c r="AM28" s="171"/>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1406.8256685000001</v>
      </c>
      <c r="BI28" s="253">
        <f>SUBTOTAL(9,BI29:BI41)</f>
        <v>9479.3600000000024</v>
      </c>
      <c r="BJ28" s="253">
        <f>SUBTOTAL(9,BJ29:BJ41)</f>
        <v>49.8</v>
      </c>
      <c r="BK28" s="253">
        <f>SUBTOTAL(9,BK29:BK41)</f>
        <v>0</v>
      </c>
      <c r="BL28" s="253">
        <f>SUBTOTAL(9,BL29:BL41)</f>
        <v>0</v>
      </c>
      <c r="BM28" s="257">
        <f t="shared" si="5"/>
        <v>10935.985668500001</v>
      </c>
      <c r="BO28" s="714" t="str">
        <f t="shared" si="6"/>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c r="Y29" s="175"/>
      <c r="Z29" s="176"/>
      <c r="AA29" s="176"/>
      <c r="AB29" s="177"/>
      <c r="AC29" s="185"/>
      <c r="AD29" s="185"/>
      <c r="AE29" s="185"/>
      <c r="AF29" s="186"/>
      <c r="AG29" s="176"/>
      <c r="AH29" s="176"/>
      <c r="AI29" s="177"/>
      <c r="AJ29" s="175"/>
      <c r="AK29" s="176"/>
      <c r="AL29" s="175"/>
      <c r="AM29" s="177"/>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561.6</v>
      </c>
      <c r="BJ29" s="252">
        <f>SUBTOTAL(9,BJ30:BJ31)</f>
        <v>0</v>
      </c>
      <c r="BK29" s="260">
        <f>SUBTOTAL(9,BK30:BK31)</f>
        <v>0</v>
      </c>
      <c r="BL29" s="261">
        <f>SUBTOTAL(9,BL30:BL31)</f>
        <v>0</v>
      </c>
      <c r="BM29" s="257">
        <f t="shared" si="5"/>
        <v>561.6</v>
      </c>
      <c r="BO29" s="714" t="str">
        <f t="shared" si="6"/>
        <v/>
      </c>
    </row>
    <row r="30" spans="2:67" ht="15" customHeight="1" x14ac:dyDescent="0.25">
      <c r="B30" s="156">
        <v>1</v>
      </c>
      <c r="C30" s="180" t="s">
        <v>60</v>
      </c>
      <c r="D30" s="181" t="str">
        <f>C30</f>
        <v>LVUU</v>
      </c>
      <c r="E30" s="200" t="s">
        <v>61</v>
      </c>
      <c r="G30" s="477"/>
      <c r="H30" s="478">
        <f>'[15]JSO (t)'!H28</f>
        <v>5.1999999999999998E-3</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473.2</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473.2</v>
      </c>
      <c r="BJ30" s="255">
        <f>SUM(AT30:AW30)</f>
        <v>0</v>
      </c>
      <c r="BK30" s="256">
        <f>SUM(AX30:BB30)</f>
        <v>0</v>
      </c>
      <c r="BL30" s="262">
        <f>SUM(BC30:BD30)</f>
        <v>0</v>
      </c>
      <c r="BM30" s="257">
        <f t="shared" si="5"/>
        <v>473.2</v>
      </c>
      <c r="BO30" s="714">
        <f t="shared" si="6"/>
        <v>5.2</v>
      </c>
    </row>
    <row r="31" spans="2:67" ht="15" customHeight="1" x14ac:dyDescent="0.25">
      <c r="B31" s="156">
        <f t="shared" ref="B31:B41" si="14">B30+1</f>
        <v>2</v>
      </c>
      <c r="C31" s="180" t="s">
        <v>62</v>
      </c>
      <c r="D31" s="181" t="str">
        <f>C31</f>
        <v>LVUU24</v>
      </c>
      <c r="E31" s="200" t="s">
        <v>63</v>
      </c>
      <c r="G31" s="477"/>
      <c r="H31" s="478">
        <f>'[15]JSO (t)'!H29</f>
        <v>5.1999999999999998E-3</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88.399999999999991</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88.399999999999991</v>
      </c>
      <c r="BJ31" s="255">
        <f>SUM(AT31:AW31)</f>
        <v>0</v>
      </c>
      <c r="BK31" s="256">
        <f>SUM(AX31:BB31)</f>
        <v>0</v>
      </c>
      <c r="BL31" s="262">
        <f>SUM(BC31:BD31)</f>
        <v>0</v>
      </c>
      <c r="BM31" s="257">
        <f t="shared" si="5"/>
        <v>88.399999999999991</v>
      </c>
      <c r="BO31" s="714">
        <f t="shared" si="6"/>
        <v>5.1999999999999993</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1036.333623</v>
      </c>
      <c r="BI32" s="252">
        <f>SUBTOTAL(9,BI33:BI37)</f>
        <v>4951.57</v>
      </c>
      <c r="BJ32" s="252">
        <f>SUBTOTAL(9,BJ33:BJ37)</f>
        <v>49.8</v>
      </c>
      <c r="BK32" s="252">
        <f>SUBTOTAL(9,BK33:BK37)</f>
        <v>0</v>
      </c>
      <c r="BL32" s="252">
        <f>SUBTOTAL(9,BL33:BL37)</f>
        <v>0</v>
      </c>
      <c r="BM32" s="257">
        <f t="shared" si="5"/>
        <v>6037.7036230000003</v>
      </c>
      <c r="BO32" s="714" t="str">
        <f t="shared" si="6"/>
        <v/>
      </c>
    </row>
    <row r="33" spans="2:67" ht="15" customHeight="1" x14ac:dyDescent="0.25">
      <c r="B33" s="156">
        <f>B31+1</f>
        <v>3</v>
      </c>
      <c r="C33" s="180" t="s">
        <v>65</v>
      </c>
      <c r="D33" s="181" t="str">
        <f>C33</f>
        <v>BSR</v>
      </c>
      <c r="E33" s="200" t="s">
        <v>66</v>
      </c>
      <c r="G33" s="477">
        <f>'[15]JSO (t)'!G31</f>
        <v>4.1099999999999998E-2</v>
      </c>
      <c r="H33" s="478">
        <f>'[15]JSO (t)'!H31</f>
        <v>8.3999999999999995E-3</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688.94388749999996</v>
      </c>
      <c r="AP33" s="184">
        <f t="shared" si="0"/>
        <v>2706.48</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688.94388749999996</v>
      </c>
      <c r="BI33" s="255">
        <f>SUM(AP33:AS33)</f>
        <v>2706.48</v>
      </c>
      <c r="BJ33" s="255">
        <f>SUM(AT33:AW33)</f>
        <v>0</v>
      </c>
      <c r="BK33" s="256">
        <f>SUM(AX33:BB33)</f>
        <v>0</v>
      </c>
      <c r="BL33" s="262">
        <f>SUM(BC33:BD33)</f>
        <v>0</v>
      </c>
      <c r="BM33" s="257">
        <f t="shared" si="5"/>
        <v>3395.4238875000001</v>
      </c>
      <c r="BO33" s="714">
        <f t="shared" si="6"/>
        <v>10.538249185288642</v>
      </c>
    </row>
    <row r="34" spans="2:67" ht="15" customHeight="1" x14ac:dyDescent="0.25">
      <c r="B34" s="156">
        <f t="shared" si="14"/>
        <v>4</v>
      </c>
      <c r="C34" s="180" t="s">
        <v>67</v>
      </c>
      <c r="D34" s="181" t="str">
        <f>C34</f>
        <v>BSRCL</v>
      </c>
      <c r="E34" s="200" t="s">
        <v>68</v>
      </c>
      <c r="G34" s="477">
        <f>'[15]JSO (t)'!G32</f>
        <v>4.1099999999999998E-2</v>
      </c>
      <c r="H34" s="478">
        <f>'[15]JSO (t)'!H32</f>
        <v>8.3999999999999995E-3</v>
      </c>
      <c r="I34" s="461"/>
      <c r="J34" s="461"/>
      <c r="K34" s="462"/>
      <c r="L34" s="483">
        <f>'[15]JSO (t)'!L32</f>
        <v>8.3000000000000001E-3</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24.9</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24.9</v>
      </c>
      <c r="BK34" s="256">
        <f>SUM(AX34:BB34)</f>
        <v>0</v>
      </c>
      <c r="BL34" s="262">
        <f>SUM(BC34:BD34)</f>
        <v>0</v>
      </c>
      <c r="BM34" s="257">
        <f t="shared" si="5"/>
        <v>24.9</v>
      </c>
      <c r="BO34" s="714">
        <f t="shared" si="6"/>
        <v>8.3000000000000007</v>
      </c>
    </row>
    <row r="35" spans="2:67" ht="15" customHeight="1" x14ac:dyDescent="0.25">
      <c r="B35" s="156">
        <f t="shared" si="14"/>
        <v>5</v>
      </c>
      <c r="C35" s="180" t="s">
        <v>69</v>
      </c>
      <c r="D35" s="181" t="str">
        <f>C35</f>
        <v>B2R</v>
      </c>
      <c r="E35" s="200" t="s">
        <v>70</v>
      </c>
      <c r="G35" s="477">
        <f>'[15]JSO (t)'!G33</f>
        <v>4.1099999999999998E-2</v>
      </c>
      <c r="H35" s="479"/>
      <c r="I35" s="465">
        <f>'[15]JSO (t)'!I33</f>
        <v>9.4999999999999998E-3</v>
      </c>
      <c r="J35" s="461"/>
      <c r="K35" s="466">
        <f>'[15]JSO (t)'!K33</f>
        <v>4.7000000000000002E-3</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347.38973549999997</v>
      </c>
      <c r="AP35" s="184">
        <f t="shared" si="0"/>
        <v>0</v>
      </c>
      <c r="AQ35" s="178">
        <f t="shared" si="0"/>
        <v>1553.25</v>
      </c>
      <c r="AR35" s="178">
        <f t="shared" si="0"/>
        <v>0</v>
      </c>
      <c r="AS35" s="179">
        <f t="shared" si="0"/>
        <v>691.84</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347.38973549999997</v>
      </c>
      <c r="BI35" s="255">
        <f>SUM(AP35:AS35)</f>
        <v>2245.09</v>
      </c>
      <c r="BJ35" s="255">
        <f>SUM(AT35:AW35)</f>
        <v>0</v>
      </c>
      <c r="BK35" s="256">
        <f>SUM(AX35:BB35)</f>
        <v>0</v>
      </c>
      <c r="BL35" s="262">
        <f>SUM(BC35:BD35)</f>
        <v>0</v>
      </c>
      <c r="BM35" s="257">
        <f t="shared" si="5"/>
        <v>2592.4797355000001</v>
      </c>
      <c r="BO35" s="714">
        <f t="shared" si="6"/>
        <v>8.3439965738654642</v>
      </c>
    </row>
    <row r="36" spans="2:67" ht="15" customHeight="1" x14ac:dyDescent="0.25">
      <c r="B36" s="156">
        <f t="shared" si="14"/>
        <v>6</v>
      </c>
      <c r="C36" s="180" t="s">
        <v>71</v>
      </c>
      <c r="D36" s="181" t="str">
        <f>C36</f>
        <v>B2RCL</v>
      </c>
      <c r="E36" s="200" t="s">
        <v>72</v>
      </c>
      <c r="G36" s="477">
        <f>'[15]JSO (t)'!G34</f>
        <v>4.1099999999999998E-2</v>
      </c>
      <c r="H36" s="479"/>
      <c r="I36" s="465">
        <f>'[15]JSO (t)'!I34</f>
        <v>9.4999999999999998E-3</v>
      </c>
      <c r="J36" s="461"/>
      <c r="K36" s="466">
        <f>'[15]JSO (t)'!K34</f>
        <v>4.7000000000000002E-3</v>
      </c>
      <c r="L36" s="483">
        <f>'[15]JSO (t)'!L34</f>
        <v>8.3000000000000001E-3</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60" si="15">H36*Y36</f>
        <v>0</v>
      </c>
      <c r="AQ36" s="178">
        <f t="shared" si="15"/>
        <v>0</v>
      </c>
      <c r="AR36" s="178">
        <f t="shared" si="15"/>
        <v>0</v>
      </c>
      <c r="AS36" s="179">
        <f t="shared" si="15"/>
        <v>0</v>
      </c>
      <c r="AT36" s="178">
        <f t="shared" si="15"/>
        <v>24.9</v>
      </c>
      <c r="AU36" s="178">
        <f t="shared" si="15"/>
        <v>0</v>
      </c>
      <c r="AV36" s="178">
        <f t="shared" si="15"/>
        <v>0</v>
      </c>
      <c r="AW36" s="179">
        <f t="shared" si="15"/>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24.9</v>
      </c>
      <c r="BK36" s="256">
        <f>SUM(AX36:BB36)</f>
        <v>0</v>
      </c>
      <c r="BL36" s="262">
        <f>SUM(BC36:BD36)</f>
        <v>0</v>
      </c>
      <c r="BM36" s="257">
        <f t="shared" si="5"/>
        <v>24.9</v>
      </c>
      <c r="BO36" s="714">
        <f t="shared" si="6"/>
        <v>8.3000000000000007</v>
      </c>
    </row>
    <row r="37" spans="2:67" ht="15" customHeight="1" x14ac:dyDescent="0.25">
      <c r="B37" s="156">
        <f t="shared" si="14"/>
        <v>7</v>
      </c>
      <c r="C37" s="180" t="s">
        <v>73</v>
      </c>
      <c r="D37" s="181" t="str">
        <f>C37</f>
        <v>BCL</v>
      </c>
      <c r="E37" s="200" t="s">
        <v>74</v>
      </c>
      <c r="G37" s="477">
        <f>'[15]JSO (t)'!G35</f>
        <v>0</v>
      </c>
      <c r="H37" s="479"/>
      <c r="I37" s="461"/>
      <c r="J37" s="461"/>
      <c r="K37" s="462"/>
      <c r="L37" s="483">
        <f>'[15]JSO (t)'!L35</f>
        <v>8.3000000000000001E-3</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5"/>
        <v>0</v>
      </c>
      <c r="AQ37" s="178">
        <f t="shared" si="15"/>
        <v>0</v>
      </c>
      <c r="AR37" s="178">
        <f t="shared" si="15"/>
        <v>0</v>
      </c>
      <c r="AS37" s="179">
        <f t="shared" si="15"/>
        <v>0</v>
      </c>
      <c r="AT37" s="178">
        <f t="shared" si="15"/>
        <v>0</v>
      </c>
      <c r="AU37" s="178">
        <f t="shared" si="15"/>
        <v>0</v>
      </c>
      <c r="AV37" s="178">
        <f t="shared" si="15"/>
        <v>0</v>
      </c>
      <c r="AW37" s="179">
        <f t="shared" si="15"/>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5"/>
        <v>0</v>
      </c>
      <c r="AQ38" s="178">
        <f t="shared" si="15"/>
        <v>0</v>
      </c>
      <c r="AR38" s="178">
        <f t="shared" si="15"/>
        <v>0</v>
      </c>
      <c r="AS38" s="179">
        <f t="shared" si="15"/>
        <v>0</v>
      </c>
      <c r="AT38" s="178">
        <f t="shared" si="15"/>
        <v>0</v>
      </c>
      <c r="AU38" s="178">
        <f t="shared" si="15"/>
        <v>0</v>
      </c>
      <c r="AV38" s="178">
        <f t="shared" si="15"/>
        <v>0</v>
      </c>
      <c r="AW38" s="179">
        <f t="shared" si="15"/>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370.49204549999996</v>
      </c>
      <c r="BI38" s="252">
        <f>SUBTOTAL(9,BI39:BI41)</f>
        <v>3966.1899999999996</v>
      </c>
      <c r="BJ38" s="252">
        <f>SUBTOTAL(9,BJ39:BJ41)</f>
        <v>0</v>
      </c>
      <c r="BK38" s="252">
        <f>SUBTOTAL(9,BK39:BK41)</f>
        <v>0</v>
      </c>
      <c r="BL38" s="252">
        <f>SUBTOTAL(9,BL39:BL41)</f>
        <v>0</v>
      </c>
      <c r="BM38" s="257">
        <f t="shared" si="5"/>
        <v>4336.6820454999997</v>
      </c>
      <c r="BO38" s="714" t="str">
        <f t="shared" si="6"/>
        <v/>
      </c>
    </row>
    <row r="39" spans="2:67" ht="15" customHeight="1" x14ac:dyDescent="0.25">
      <c r="B39" s="156">
        <f>B37+1</f>
        <v>8</v>
      </c>
      <c r="C39" s="180" t="s">
        <v>76</v>
      </c>
      <c r="D39" s="181" t="str">
        <f>C39</f>
        <v>SBTOU</v>
      </c>
      <c r="E39" s="200" t="s">
        <v>77</v>
      </c>
      <c r="G39" s="477">
        <f>'[15]JSO (t)'!G37</f>
        <v>4.1099999999999998E-2</v>
      </c>
      <c r="H39" s="479"/>
      <c r="I39" s="483">
        <f>'[15]JSO (t)'!I37</f>
        <v>1.26E-2</v>
      </c>
      <c r="J39" s="483">
        <f>'[15]JSO (t)'!J37</f>
        <v>8.8000000000000005E-3</v>
      </c>
      <c r="K39" s="484">
        <f>'[15]JSO (t)'!K37</f>
        <v>4.7000000000000002E-3</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336.81367799999998</v>
      </c>
      <c r="AP39" s="184">
        <f t="shared" si="15"/>
        <v>0</v>
      </c>
      <c r="AQ39" s="178">
        <f t="shared" si="15"/>
        <v>408.24</v>
      </c>
      <c r="AR39" s="178">
        <f t="shared" si="15"/>
        <v>2037.2</v>
      </c>
      <c r="AS39" s="179">
        <f t="shared" si="15"/>
        <v>960.68000000000006</v>
      </c>
      <c r="AT39" s="178">
        <f t="shared" si="15"/>
        <v>0</v>
      </c>
      <c r="AU39" s="178">
        <f t="shared" si="15"/>
        <v>0</v>
      </c>
      <c r="AV39" s="178">
        <f t="shared" si="15"/>
        <v>0</v>
      </c>
      <c r="AW39" s="179">
        <f t="shared" si="15"/>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336.81367799999998</v>
      </c>
      <c r="BI39" s="255">
        <f>SUM(AP39:AS39)</f>
        <v>3406.12</v>
      </c>
      <c r="BJ39" s="255">
        <f>SUM(AT39:AW39)</f>
        <v>0</v>
      </c>
      <c r="BK39" s="256">
        <f>SUM(AX39:BB39)</f>
        <v>0</v>
      </c>
      <c r="BL39" s="262">
        <f>SUM(BC39:BD39)</f>
        <v>0</v>
      </c>
      <c r="BM39" s="257">
        <f t="shared" si="5"/>
        <v>3742.9336779999999</v>
      </c>
      <c r="BO39" s="714">
        <f t="shared" si="6"/>
        <v>7.9925980738842615</v>
      </c>
    </row>
    <row r="40" spans="2:67" ht="15" customHeight="1" x14ac:dyDescent="0.25">
      <c r="B40" s="156">
        <f t="shared" si="14"/>
        <v>9</v>
      </c>
      <c r="C40" s="180" t="s">
        <v>78</v>
      </c>
      <c r="D40" s="181" t="str">
        <f>C40</f>
        <v>SBTOUD</v>
      </c>
      <c r="E40" s="200" t="s">
        <v>79</v>
      </c>
      <c r="G40" s="477">
        <f>'[15]JSO (t)'!G38</f>
        <v>4.1099999999999998E-2</v>
      </c>
      <c r="H40" s="479"/>
      <c r="I40" s="483">
        <f>'[15]JSO (t)'!I38</f>
        <v>1.01E-2</v>
      </c>
      <c r="J40" s="483">
        <f>'[15]JSO (t)'!J38</f>
        <v>7.0000000000000001E-3</v>
      </c>
      <c r="K40" s="484">
        <f>'[15]JSO (t)'!K38</f>
        <v>3.8E-3</v>
      </c>
      <c r="L40" s="461"/>
      <c r="M40" s="461"/>
      <c r="N40" s="461"/>
      <c r="O40" s="462"/>
      <c r="P40" s="461"/>
      <c r="Q40" s="461"/>
      <c r="R40" s="462"/>
      <c r="S40" s="479"/>
      <c r="T40" s="483">
        <f>'[15]JSO (t)'!T38</f>
        <v>0</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23.357335499999998</v>
      </c>
      <c r="AP40" s="184">
        <f t="shared" si="15"/>
        <v>0</v>
      </c>
      <c r="AQ40" s="178">
        <f t="shared" si="15"/>
        <v>47.47</v>
      </c>
      <c r="AR40" s="178">
        <f t="shared" si="15"/>
        <v>285.60000000000002</v>
      </c>
      <c r="AS40" s="179">
        <f t="shared" si="15"/>
        <v>104.88</v>
      </c>
      <c r="AT40" s="178">
        <f t="shared" si="15"/>
        <v>0</v>
      </c>
      <c r="AU40" s="178">
        <f t="shared" si="15"/>
        <v>0</v>
      </c>
      <c r="AV40" s="178">
        <f t="shared" si="15"/>
        <v>0</v>
      </c>
      <c r="AW40" s="179">
        <f t="shared" si="15"/>
        <v>0</v>
      </c>
      <c r="AX40" s="178">
        <f t="shared" si="1"/>
        <v>0</v>
      </c>
      <c r="AY40" s="178">
        <f t="shared" si="1"/>
        <v>0</v>
      </c>
      <c r="AZ40" s="179">
        <f t="shared" si="1"/>
        <v>0</v>
      </c>
      <c r="BA40" s="184">
        <f t="shared" si="1"/>
        <v>0</v>
      </c>
      <c r="BB40" s="178">
        <f t="shared" si="1"/>
        <v>0</v>
      </c>
      <c r="BC40" s="184">
        <f t="shared" si="1"/>
        <v>0</v>
      </c>
      <c r="BD40" s="178">
        <f t="shared" si="1"/>
        <v>0</v>
      </c>
      <c r="BE40" s="244">
        <f t="shared" si="3"/>
        <v>1557</v>
      </c>
      <c r="BF40" s="245">
        <f t="shared" si="4"/>
        <v>73100</v>
      </c>
      <c r="BH40" s="255">
        <f>SUM(AO40)</f>
        <v>23.357335499999998</v>
      </c>
      <c r="BI40" s="255">
        <f>SUM(AP40:AS40)</f>
        <v>437.95000000000005</v>
      </c>
      <c r="BJ40" s="255">
        <f>SUM(AT40:AW40)</f>
        <v>0</v>
      </c>
      <c r="BK40" s="256">
        <f>SUM(AX40:BB40)</f>
        <v>0</v>
      </c>
      <c r="BL40" s="262">
        <f>SUM(BC40:BD40)</f>
        <v>0</v>
      </c>
      <c r="BM40" s="257">
        <f t="shared" si="5"/>
        <v>461.30733550000002</v>
      </c>
      <c r="BO40" s="714">
        <f t="shared" si="6"/>
        <v>6.310633864569084</v>
      </c>
    </row>
    <row r="41" spans="2:67" ht="15" customHeight="1" x14ac:dyDescent="0.25">
      <c r="B41" s="162">
        <f t="shared" si="14"/>
        <v>10</v>
      </c>
      <c r="C41" s="187" t="s">
        <v>80</v>
      </c>
      <c r="D41" s="188" t="str">
        <f>C41</f>
        <v>SBD</v>
      </c>
      <c r="E41" s="203" t="s">
        <v>81</v>
      </c>
      <c r="G41" s="485">
        <f>'[15]JSO (t)'!G39</f>
        <v>4.1099999999999998E-2</v>
      </c>
      <c r="H41" s="486">
        <f>'[15]JSO (t)'!H39</f>
        <v>7.1000000000000004E-3</v>
      </c>
      <c r="I41" s="487"/>
      <c r="J41" s="487"/>
      <c r="K41" s="488"/>
      <c r="L41" s="487"/>
      <c r="M41" s="487"/>
      <c r="N41" s="487"/>
      <c r="O41" s="488"/>
      <c r="P41" s="487"/>
      <c r="Q41" s="489">
        <f>'[15]JSO (t)'!Q39</f>
        <v>0</v>
      </c>
      <c r="R41" s="490">
        <f>'[15]JSO (t)'!R39</f>
        <v>0</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10.321031999999999</v>
      </c>
      <c r="AP41" s="197">
        <f t="shared" si="15"/>
        <v>122.12</v>
      </c>
      <c r="AQ41" s="192">
        <f t="shared" si="15"/>
        <v>0</v>
      </c>
      <c r="AR41" s="192">
        <f t="shared" si="15"/>
        <v>0</v>
      </c>
      <c r="AS41" s="193">
        <f t="shared" si="15"/>
        <v>0</v>
      </c>
      <c r="AT41" s="192">
        <f t="shared" si="15"/>
        <v>0</v>
      </c>
      <c r="AU41" s="192">
        <f t="shared" si="15"/>
        <v>0</v>
      </c>
      <c r="AV41" s="192">
        <f t="shared" si="15"/>
        <v>0</v>
      </c>
      <c r="AW41" s="193">
        <f t="shared" si="15"/>
        <v>0</v>
      </c>
      <c r="AX41" s="192">
        <f t="shared" si="1"/>
        <v>0</v>
      </c>
      <c r="AY41" s="192">
        <f t="shared" si="1"/>
        <v>0</v>
      </c>
      <c r="AZ41" s="193">
        <f t="shared" si="1"/>
        <v>0</v>
      </c>
      <c r="BA41" s="197">
        <f t="shared" si="1"/>
        <v>0</v>
      </c>
      <c r="BB41" s="192">
        <f t="shared" si="1"/>
        <v>0</v>
      </c>
      <c r="BC41" s="197">
        <f t="shared" si="1"/>
        <v>0</v>
      </c>
      <c r="BD41" s="192">
        <f t="shared" si="1"/>
        <v>0</v>
      </c>
      <c r="BE41" s="246">
        <f t="shared" si="3"/>
        <v>688</v>
      </c>
      <c r="BF41" s="247">
        <f t="shared" si="4"/>
        <v>17200</v>
      </c>
      <c r="BH41" s="255">
        <f>SUM(AO41)</f>
        <v>10.321031999999999</v>
      </c>
      <c r="BI41" s="255">
        <f>SUM(AP41:AS41)</f>
        <v>122.12</v>
      </c>
      <c r="BJ41" s="255">
        <f>SUM(AT41:AW41)</f>
        <v>0</v>
      </c>
      <c r="BK41" s="256">
        <f>SUM(AX41:BB41)</f>
        <v>0</v>
      </c>
      <c r="BL41" s="262">
        <f>SUM(BC41:BD41)</f>
        <v>0</v>
      </c>
      <c r="BM41" s="257">
        <f t="shared" si="5"/>
        <v>132.44103200000001</v>
      </c>
      <c r="BO41" s="714">
        <f t="shared" si="6"/>
        <v>7.7000600000000006</v>
      </c>
    </row>
    <row r="42" spans="2:67" ht="15" customHeight="1" x14ac:dyDescent="0.25">
      <c r="B42" s="30" t="s">
        <v>82</v>
      </c>
      <c r="C42" s="14" t="s">
        <v>83</v>
      </c>
      <c r="D42" s="14"/>
      <c r="E42" s="99"/>
      <c r="G42" s="494"/>
      <c r="H42" s="495"/>
      <c r="I42" s="496"/>
      <c r="J42" s="496"/>
      <c r="K42" s="497"/>
      <c r="L42" s="496"/>
      <c r="M42" s="496"/>
      <c r="N42" s="496"/>
      <c r="O42" s="497"/>
      <c r="P42" s="496"/>
      <c r="Q42" s="496"/>
      <c r="R42" s="497"/>
      <c r="S42" s="495"/>
      <c r="T42" s="496"/>
      <c r="U42" s="495"/>
      <c r="V42" s="497"/>
      <c r="X42" s="205"/>
      <c r="Y42" s="206"/>
      <c r="Z42" s="207"/>
      <c r="AA42" s="207"/>
      <c r="AB42" s="208"/>
      <c r="AC42" s="207"/>
      <c r="AD42" s="207"/>
      <c r="AE42" s="207"/>
      <c r="AF42" s="208"/>
      <c r="AG42" s="207"/>
      <c r="AH42" s="207"/>
      <c r="AI42" s="208"/>
      <c r="AJ42" s="206"/>
      <c r="AK42" s="207"/>
      <c r="AL42" s="206"/>
      <c r="AM42" s="208"/>
      <c r="AO42" s="205">
        <f t="shared" si="2"/>
        <v>0</v>
      </c>
      <c r="AP42" s="206">
        <f t="shared" si="15"/>
        <v>0</v>
      </c>
      <c r="AQ42" s="207">
        <f t="shared" si="15"/>
        <v>0</v>
      </c>
      <c r="AR42" s="207">
        <f t="shared" si="15"/>
        <v>0</v>
      </c>
      <c r="AS42" s="208">
        <f t="shared" si="15"/>
        <v>0</v>
      </c>
      <c r="AT42" s="207">
        <f t="shared" si="15"/>
        <v>0</v>
      </c>
      <c r="AU42" s="207">
        <f t="shared" si="15"/>
        <v>0</v>
      </c>
      <c r="AV42" s="207">
        <f t="shared" si="15"/>
        <v>0</v>
      </c>
      <c r="AW42" s="208">
        <f t="shared" si="15"/>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0</v>
      </c>
      <c r="BI42" s="253">
        <f>SUBTOTAL(9,BI43:BI69)</f>
        <v>14096.066500000001</v>
      </c>
      <c r="BJ42" s="253">
        <f>SUBTOTAL(9,BJ43:BJ69)</f>
        <v>0</v>
      </c>
      <c r="BK42" s="253">
        <f>SUBTOTAL(9,BK43:BK69)</f>
        <v>0</v>
      </c>
      <c r="BL42" s="253">
        <f>SUBTOTAL(9,BL43:BL69)</f>
        <v>0</v>
      </c>
      <c r="BM42" s="257">
        <f t="shared" si="5"/>
        <v>14096.066500000001</v>
      </c>
      <c r="BO42" s="714" t="str">
        <f t="shared" si="6"/>
        <v/>
      </c>
    </row>
    <row r="43" spans="2:67" ht="15" customHeight="1" x14ac:dyDescent="0.25">
      <c r="B43" s="19"/>
      <c r="C43" s="36" t="s">
        <v>84</v>
      </c>
      <c r="D43" s="37"/>
      <c r="E43" s="85"/>
      <c r="G43" s="482"/>
      <c r="H43" s="479"/>
      <c r="I43" s="461"/>
      <c r="J43" s="461"/>
      <c r="K43" s="462"/>
      <c r="L43" s="461"/>
      <c r="M43" s="461"/>
      <c r="N43" s="461"/>
      <c r="O43" s="462"/>
      <c r="P43" s="461"/>
      <c r="Q43" s="461"/>
      <c r="R43" s="462"/>
      <c r="S43" s="479"/>
      <c r="T43" s="461"/>
      <c r="U43" s="479"/>
      <c r="V43" s="462"/>
      <c r="X43" s="183"/>
      <c r="Y43" s="184"/>
      <c r="Z43" s="178"/>
      <c r="AA43" s="178"/>
      <c r="AB43" s="179"/>
      <c r="AC43" s="178"/>
      <c r="AD43" s="178"/>
      <c r="AE43" s="178"/>
      <c r="AF43" s="179"/>
      <c r="AG43" s="178"/>
      <c r="AH43" s="178"/>
      <c r="AI43" s="179"/>
      <c r="AJ43" s="184"/>
      <c r="AK43" s="178"/>
      <c r="AL43" s="184"/>
      <c r="AM43" s="179"/>
      <c r="AO43" s="183">
        <f t="shared" si="2"/>
        <v>0</v>
      </c>
      <c r="AP43" s="184">
        <f t="shared" si="15"/>
        <v>0</v>
      </c>
      <c r="AQ43" s="178">
        <f t="shared" si="15"/>
        <v>0</v>
      </c>
      <c r="AR43" s="178">
        <f t="shared" si="15"/>
        <v>0</v>
      </c>
      <c r="AS43" s="179">
        <f t="shared" si="15"/>
        <v>0</v>
      </c>
      <c r="AT43" s="178">
        <f t="shared" si="15"/>
        <v>0</v>
      </c>
      <c r="AU43" s="178">
        <f t="shared" si="15"/>
        <v>0</v>
      </c>
      <c r="AV43" s="178">
        <f t="shared" si="15"/>
        <v>0</v>
      </c>
      <c r="AW43" s="179">
        <f t="shared" si="15"/>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6">B43+1</f>
        <v>1</v>
      </c>
      <c r="C44" s="44" t="s">
        <v>85</v>
      </c>
      <c r="D44" s="45" t="str">
        <f>C44</f>
        <v>LBSR</v>
      </c>
      <c r="E44" s="76" t="s">
        <v>86</v>
      </c>
      <c r="G44" s="477">
        <f>'[15]JSO (t)'!G42</f>
        <v>4.1099999999999998E-2</v>
      </c>
      <c r="H44" s="478">
        <f>'[15]JSO (t)'!H42</f>
        <v>1.01E-2</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5"/>
        <v>0</v>
      </c>
      <c r="AQ44" s="178">
        <f t="shared" si="15"/>
        <v>0</v>
      </c>
      <c r="AR44" s="178">
        <f t="shared" si="15"/>
        <v>0</v>
      </c>
      <c r="AS44" s="179">
        <f t="shared" si="15"/>
        <v>0</v>
      </c>
      <c r="AT44" s="178">
        <f t="shared" si="15"/>
        <v>0</v>
      </c>
      <c r="AU44" s="178">
        <f t="shared" si="15"/>
        <v>0</v>
      </c>
      <c r="AV44" s="178">
        <f t="shared" si="15"/>
        <v>0</v>
      </c>
      <c r="AW44" s="179">
        <f t="shared" si="15"/>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6"/>
        <v>2</v>
      </c>
      <c r="C45" s="44" t="s">
        <v>87</v>
      </c>
      <c r="D45" s="45" t="str">
        <f>C45</f>
        <v>LBSRCL</v>
      </c>
      <c r="E45" s="76" t="s">
        <v>88</v>
      </c>
      <c r="G45" s="477">
        <f>'[15]JSO (t)'!G43</f>
        <v>4.1099999999999998E-2</v>
      </c>
      <c r="H45" s="478">
        <f>'[15]JSO (t)'!H43</f>
        <v>1.01E-2</v>
      </c>
      <c r="I45" s="461"/>
      <c r="J45" s="461"/>
      <c r="K45" s="462"/>
      <c r="L45" s="483">
        <f>'[15]JSO (t)'!L43</f>
        <v>8.3000000000000001E-3</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5"/>
        <v>0</v>
      </c>
      <c r="AQ45" s="178">
        <f t="shared" si="15"/>
        <v>0</v>
      </c>
      <c r="AR45" s="178">
        <f t="shared" si="15"/>
        <v>0</v>
      </c>
      <c r="AS45" s="179">
        <f t="shared" si="15"/>
        <v>0</v>
      </c>
      <c r="AT45" s="178">
        <f t="shared" si="15"/>
        <v>0</v>
      </c>
      <c r="AU45" s="178">
        <f t="shared" si="15"/>
        <v>0</v>
      </c>
      <c r="AV45" s="178">
        <f t="shared" si="15"/>
        <v>0</v>
      </c>
      <c r="AW45" s="179">
        <f t="shared" si="15"/>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6"/>
        <v>3</v>
      </c>
      <c r="C46" s="44" t="s">
        <v>89</v>
      </c>
      <c r="D46" s="45" t="str">
        <f>C46</f>
        <v>LB2R</v>
      </c>
      <c r="E46" s="76" t="s">
        <v>90</v>
      </c>
      <c r="G46" s="477">
        <f>'[15]JSO (t)'!G44</f>
        <v>4.1099999999999998E-2</v>
      </c>
      <c r="H46" s="479"/>
      <c r="I46" s="483">
        <f>'[15]JSO (t)'!I44</f>
        <v>1.14E-2</v>
      </c>
      <c r="J46" s="461"/>
      <c r="K46" s="484">
        <f>'[15]JSO (t)'!K44</f>
        <v>5.7000000000000002E-3</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5"/>
        <v>0</v>
      </c>
      <c r="AQ46" s="178">
        <f t="shared" si="15"/>
        <v>0</v>
      </c>
      <c r="AR46" s="178">
        <f t="shared" si="15"/>
        <v>0</v>
      </c>
      <c r="AS46" s="179">
        <f t="shared" si="15"/>
        <v>0</v>
      </c>
      <c r="AT46" s="178">
        <f t="shared" si="15"/>
        <v>0</v>
      </c>
      <c r="AU46" s="178">
        <f t="shared" si="15"/>
        <v>0</v>
      </c>
      <c r="AV46" s="178">
        <f t="shared" si="15"/>
        <v>0</v>
      </c>
      <c r="AW46" s="179">
        <f t="shared" si="15"/>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6"/>
        <v>4</v>
      </c>
      <c r="C47" s="44" t="s">
        <v>91</v>
      </c>
      <c r="D47" s="45" t="str">
        <f>C47</f>
        <v>LB2RCL</v>
      </c>
      <c r="E47" s="104" t="s">
        <v>92</v>
      </c>
      <c r="G47" s="477">
        <f>'[15]JSO (t)'!G45</f>
        <v>4.1099999999999998E-2</v>
      </c>
      <c r="H47" s="479"/>
      <c r="I47" s="483">
        <f>'[15]JSO (t)'!I45</f>
        <v>1.14E-2</v>
      </c>
      <c r="J47" s="461"/>
      <c r="K47" s="484">
        <f>'[15]JSO (t)'!K45</f>
        <v>5.7000000000000002E-3</v>
      </c>
      <c r="L47" s="483">
        <f>'[15]JSO (t)'!L45</f>
        <v>8.3000000000000001E-3</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5"/>
        <v>0</v>
      </c>
      <c r="AQ47" s="178">
        <f t="shared" si="15"/>
        <v>0</v>
      </c>
      <c r="AR47" s="178">
        <f t="shared" si="15"/>
        <v>0</v>
      </c>
      <c r="AS47" s="179">
        <f t="shared" si="15"/>
        <v>0</v>
      </c>
      <c r="AT47" s="178">
        <f t="shared" si="15"/>
        <v>0</v>
      </c>
      <c r="AU47" s="178">
        <f t="shared" si="15"/>
        <v>0</v>
      </c>
      <c r="AV47" s="178">
        <f t="shared" si="15"/>
        <v>0</v>
      </c>
      <c r="AW47" s="179">
        <f t="shared" si="15"/>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5"/>
        <v>0</v>
      </c>
      <c r="AQ48" s="178">
        <f t="shared" si="15"/>
        <v>0</v>
      </c>
      <c r="AR48" s="178">
        <f t="shared" si="15"/>
        <v>0</v>
      </c>
      <c r="AS48" s="179">
        <f t="shared" si="15"/>
        <v>0</v>
      </c>
      <c r="AT48" s="178">
        <f t="shared" si="15"/>
        <v>0</v>
      </c>
      <c r="AU48" s="178">
        <f t="shared" si="15"/>
        <v>0</v>
      </c>
      <c r="AV48" s="178">
        <f t="shared" si="15"/>
        <v>0</v>
      </c>
      <c r="AW48" s="179">
        <f t="shared" si="15"/>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0</v>
      </c>
      <c r="BI48" s="252">
        <f>SUBTOTAL(9,BI49:BI69)</f>
        <v>14096.066500000001</v>
      </c>
      <c r="BJ48" s="252">
        <f>SUBTOTAL(9,BJ49:BJ69)</f>
        <v>0</v>
      </c>
      <c r="BK48" s="252">
        <f>SUBTOTAL(9,BK49:BK69)</f>
        <v>0</v>
      </c>
      <c r="BL48" s="252">
        <f>SUBTOTAL(9,BL49:BL69)</f>
        <v>0</v>
      </c>
      <c r="BM48" s="257">
        <f t="shared" si="5"/>
        <v>14096.066500000001</v>
      </c>
      <c r="BO48" s="714" t="str">
        <f t="shared" si="6"/>
        <v/>
      </c>
    </row>
    <row r="49" spans="2:67" ht="15" customHeight="1" x14ac:dyDescent="0.25">
      <c r="B49" s="19">
        <f>B47+1</f>
        <v>5</v>
      </c>
      <c r="C49" s="44" t="s">
        <v>579</v>
      </c>
      <c r="D49" s="45" t="s">
        <v>580</v>
      </c>
      <c r="E49" s="105" t="s">
        <v>94</v>
      </c>
      <c r="G49" s="477">
        <f>'[15]JSO (t)'!G47</f>
        <v>0</v>
      </c>
      <c r="H49" s="479"/>
      <c r="I49" s="483">
        <f>'[15]JSO (t)'!I47</f>
        <v>6.4999999999999997E-3</v>
      </c>
      <c r="J49" s="461"/>
      <c r="K49" s="484">
        <f>'[15]JSO (t)'!K47</f>
        <v>4.1000000000000003E-3</v>
      </c>
      <c r="L49" s="461"/>
      <c r="M49" s="461"/>
      <c r="N49" s="461"/>
      <c r="O49" s="462"/>
      <c r="P49" s="461"/>
      <c r="Q49" s="461"/>
      <c r="R49" s="462"/>
      <c r="S49" s="478">
        <f>'[15]JSO (t)'!S47</f>
        <v>0</v>
      </c>
      <c r="T49" s="483">
        <f>'[15]JSO (t)'!T47</f>
        <v>0</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0</v>
      </c>
      <c r="AP49" s="184">
        <f t="shared" si="15"/>
        <v>0</v>
      </c>
      <c r="AQ49" s="178">
        <f t="shared" si="15"/>
        <v>8384.0185000000001</v>
      </c>
      <c r="AR49" s="178">
        <f t="shared" si="15"/>
        <v>0</v>
      </c>
      <c r="AS49" s="179">
        <f t="shared" si="15"/>
        <v>4722.1627000000008</v>
      </c>
      <c r="AT49" s="178">
        <f t="shared" si="15"/>
        <v>0</v>
      </c>
      <c r="AU49" s="178">
        <f t="shared" si="15"/>
        <v>0</v>
      </c>
      <c r="AV49" s="178">
        <f t="shared" si="15"/>
        <v>0</v>
      </c>
      <c r="AW49" s="179">
        <f t="shared" si="15"/>
        <v>0</v>
      </c>
      <c r="AX49" s="178">
        <f t="shared" si="1"/>
        <v>0</v>
      </c>
      <c r="AY49" s="178">
        <f t="shared" si="1"/>
        <v>0</v>
      </c>
      <c r="AZ49" s="179">
        <f t="shared" si="1"/>
        <v>0</v>
      </c>
      <c r="BA49" s="184">
        <f t="shared" si="1"/>
        <v>0</v>
      </c>
      <c r="BB49" s="178">
        <f t="shared" si="1"/>
        <v>0</v>
      </c>
      <c r="BC49" s="184">
        <f t="shared" si="1"/>
        <v>0</v>
      </c>
      <c r="BD49" s="178">
        <f t="shared" si="1"/>
        <v>0</v>
      </c>
      <c r="BE49" s="244">
        <f t="shared" si="3"/>
        <v>5025</v>
      </c>
      <c r="BF49" s="245">
        <f t="shared" si="4"/>
        <v>2441596</v>
      </c>
      <c r="BH49" s="255">
        <f t="shared" ref="BH49:BH69" si="17">SUM(AO49)</f>
        <v>0</v>
      </c>
      <c r="BI49" s="255">
        <f t="shared" ref="BI49:BI69" si="18">SUM(AP49:AS49)</f>
        <v>13106.181200000001</v>
      </c>
      <c r="BJ49" s="255">
        <f t="shared" ref="BJ49:BJ69" si="19">SUM(AT49:AW49)</f>
        <v>0</v>
      </c>
      <c r="BK49" s="256">
        <f t="shared" ref="BK49:BK69" si="20">SUM(AX49:BB49)</f>
        <v>0</v>
      </c>
      <c r="BL49" s="262">
        <f t="shared" ref="BL49:BL69" si="21">SUM(BC49:BD49)</f>
        <v>0</v>
      </c>
      <c r="BM49" s="257">
        <f t="shared" si="5"/>
        <v>13106.181200000001</v>
      </c>
      <c r="BO49" s="714">
        <f t="shared" si="6"/>
        <v>5.3678746197159564</v>
      </c>
    </row>
    <row r="50" spans="2:67" ht="15" customHeight="1" x14ac:dyDescent="0.25">
      <c r="B50" s="19">
        <f t="shared" si="16"/>
        <v>6</v>
      </c>
      <c r="C50" s="44" t="s">
        <v>577</v>
      </c>
      <c r="D50" s="45" t="s">
        <v>581</v>
      </c>
      <c r="E50" s="105" t="s">
        <v>95</v>
      </c>
      <c r="G50" s="477">
        <f>'[15]JSO (t)'!G48</f>
        <v>0</v>
      </c>
      <c r="H50" s="479"/>
      <c r="I50" s="483">
        <f>'[15]JSO (t)'!I48</f>
        <v>6.4999999999999997E-3</v>
      </c>
      <c r="J50" s="461"/>
      <c r="K50" s="484">
        <f>'[15]JSO (t)'!K48</f>
        <v>4.1000000000000003E-3</v>
      </c>
      <c r="L50" s="461"/>
      <c r="M50" s="461"/>
      <c r="N50" s="461"/>
      <c r="O50" s="462"/>
      <c r="P50" s="483">
        <f>'[15]JSO (t)'!P48</f>
        <v>0</v>
      </c>
      <c r="Q50" s="461"/>
      <c r="R50" s="462"/>
      <c r="S50" s="479"/>
      <c r="T50" s="483">
        <f>'[15]JSO (t)'!T48</f>
        <v>0</v>
      </c>
      <c r="U50" s="479"/>
      <c r="V50" s="462"/>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0</v>
      </c>
      <c r="AP50" s="184">
        <f t="shared" si="15"/>
        <v>0</v>
      </c>
      <c r="AQ50" s="178">
        <f>I50*Z50</f>
        <v>470.72999999999996</v>
      </c>
      <c r="AR50" s="178">
        <f t="shared" si="15"/>
        <v>0</v>
      </c>
      <c r="AS50" s="179">
        <f t="shared" si="15"/>
        <v>214.14300000000003</v>
      </c>
      <c r="AT50" s="178">
        <f t="shared" si="15"/>
        <v>0</v>
      </c>
      <c r="AU50" s="178">
        <f t="shared" si="15"/>
        <v>0</v>
      </c>
      <c r="AV50" s="178">
        <f t="shared" si="15"/>
        <v>0</v>
      </c>
      <c r="AW50" s="179">
        <f t="shared" si="15"/>
        <v>0</v>
      </c>
      <c r="AX50" s="178">
        <f t="shared" si="1"/>
        <v>0</v>
      </c>
      <c r="AY50" s="178">
        <f t="shared" si="1"/>
        <v>0</v>
      </c>
      <c r="AZ50" s="179">
        <f t="shared" si="1"/>
        <v>0</v>
      </c>
      <c r="BA50" s="184">
        <f t="shared" si="1"/>
        <v>0</v>
      </c>
      <c r="BB50" s="178">
        <f t="shared" si="1"/>
        <v>0</v>
      </c>
      <c r="BC50" s="184">
        <f t="shared" si="1"/>
        <v>0</v>
      </c>
      <c r="BD50" s="178">
        <f t="shared" si="1"/>
        <v>0</v>
      </c>
      <c r="BE50" s="244">
        <f t="shared" si="3"/>
        <v>277</v>
      </c>
      <c r="BF50" s="245">
        <f t="shared" si="4"/>
        <v>124650</v>
      </c>
      <c r="BH50" s="255">
        <f t="shared" si="17"/>
        <v>0</v>
      </c>
      <c r="BI50" s="255">
        <f t="shared" si="18"/>
        <v>684.87300000000005</v>
      </c>
      <c r="BJ50" s="255">
        <f t="shared" si="19"/>
        <v>0</v>
      </c>
      <c r="BK50" s="256">
        <f t="shared" si="20"/>
        <v>0</v>
      </c>
      <c r="BL50" s="262">
        <f t="shared" si="21"/>
        <v>0</v>
      </c>
      <c r="BM50" s="257">
        <f t="shared" si="5"/>
        <v>684.87300000000005</v>
      </c>
      <c r="BO50" s="714">
        <f t="shared" si="6"/>
        <v>5.4943682310469315</v>
      </c>
    </row>
    <row r="51" spans="2:67" ht="15" customHeight="1" x14ac:dyDescent="0.25">
      <c r="B51" s="19">
        <f t="shared" si="16"/>
        <v>7</v>
      </c>
      <c r="C51" s="833" t="s">
        <v>578</v>
      </c>
      <c r="D51" s="834" t="s">
        <v>582</v>
      </c>
      <c r="E51" s="835" t="s">
        <v>96</v>
      </c>
      <c r="G51" s="477"/>
      <c r="H51" s="479"/>
      <c r="I51" s="483"/>
      <c r="J51" s="461"/>
      <c r="K51" s="484"/>
      <c r="L51" s="461"/>
      <c r="M51" s="461"/>
      <c r="N51" s="461"/>
      <c r="O51" s="462"/>
      <c r="P51" s="461"/>
      <c r="Q51" s="461"/>
      <c r="R51" s="462"/>
      <c r="S51" s="479"/>
      <c r="T51" s="461"/>
      <c r="U51" s="479"/>
      <c r="V51" s="462"/>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5"/>
        <v>0</v>
      </c>
      <c r="AQ51" s="178">
        <f t="shared" si="15"/>
        <v>0</v>
      </c>
      <c r="AR51" s="178">
        <f t="shared" si="15"/>
        <v>0</v>
      </c>
      <c r="AS51" s="179">
        <f t="shared" si="15"/>
        <v>0</v>
      </c>
      <c r="AT51" s="178">
        <f t="shared" si="15"/>
        <v>0</v>
      </c>
      <c r="AU51" s="178">
        <f t="shared" si="15"/>
        <v>0</v>
      </c>
      <c r="AV51" s="178">
        <f t="shared" si="15"/>
        <v>0</v>
      </c>
      <c r="AW51" s="179">
        <f t="shared" si="15"/>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17"/>
        <v>0</v>
      </c>
      <c r="BI51" s="255">
        <f t="shared" si="18"/>
        <v>0</v>
      </c>
      <c r="BJ51" s="255">
        <f t="shared" si="19"/>
        <v>0</v>
      </c>
      <c r="BK51" s="256">
        <f t="shared" si="20"/>
        <v>0</v>
      </c>
      <c r="BL51" s="262">
        <f t="shared" si="21"/>
        <v>0</v>
      </c>
      <c r="BM51" s="257">
        <f t="shared" si="5"/>
        <v>0</v>
      </c>
      <c r="BO51" s="714" t="str">
        <f t="shared" si="6"/>
        <v/>
      </c>
    </row>
    <row r="52" spans="2:67" ht="15" customHeight="1" x14ac:dyDescent="0.25">
      <c r="B52" s="19">
        <f t="shared" si="16"/>
        <v>8</v>
      </c>
      <c r="C52" s="44" t="s">
        <v>97</v>
      </c>
      <c r="D52" s="45" t="s">
        <v>97</v>
      </c>
      <c r="E52" s="105" t="s">
        <v>98</v>
      </c>
      <c r="G52" s="477">
        <f>'[15]JSO (t)'!G50</f>
        <v>0</v>
      </c>
      <c r="H52" s="478">
        <f>'[15]JSO (t)'!H50</f>
        <v>5.1999999999999998E-3</v>
      </c>
      <c r="I52" s="461"/>
      <c r="J52" s="461"/>
      <c r="K52" s="462"/>
      <c r="L52" s="461"/>
      <c r="M52" s="461"/>
      <c r="N52" s="461"/>
      <c r="O52" s="462"/>
      <c r="P52" s="461"/>
      <c r="Q52" s="483">
        <f>'[15]JSO (t)'!Q50</f>
        <v>0</v>
      </c>
      <c r="R52" s="484">
        <f>'[15]JSO (t)'!R50</f>
        <v>0</v>
      </c>
      <c r="S52" s="479"/>
      <c r="T52" s="461"/>
      <c r="U52" s="479"/>
      <c r="V52" s="462"/>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0</v>
      </c>
      <c r="AP52" s="184">
        <f t="shared" si="15"/>
        <v>52</v>
      </c>
      <c r="AQ52" s="178">
        <f t="shared" si="15"/>
        <v>0</v>
      </c>
      <c r="AR52" s="178">
        <f t="shared" si="15"/>
        <v>0</v>
      </c>
      <c r="AS52" s="179">
        <f t="shared" si="15"/>
        <v>0</v>
      </c>
      <c r="AT52" s="178">
        <f t="shared" si="15"/>
        <v>0</v>
      </c>
      <c r="AU52" s="178">
        <f t="shared" si="15"/>
        <v>0</v>
      </c>
      <c r="AV52" s="178">
        <f t="shared" si="15"/>
        <v>0</v>
      </c>
      <c r="AW52" s="179">
        <f t="shared" si="15"/>
        <v>0</v>
      </c>
      <c r="AX52" s="178">
        <f t="shared" si="1"/>
        <v>0</v>
      </c>
      <c r="AY52" s="178">
        <f t="shared" si="1"/>
        <v>0</v>
      </c>
      <c r="AZ52" s="179">
        <f t="shared" si="1"/>
        <v>0</v>
      </c>
      <c r="BA52" s="184">
        <f t="shared" ref="AX52:BD89" si="22">S52*AJ52/1000</f>
        <v>0</v>
      </c>
      <c r="BB52" s="178">
        <f t="shared" si="22"/>
        <v>0</v>
      </c>
      <c r="BC52" s="184">
        <f t="shared" si="22"/>
        <v>0</v>
      </c>
      <c r="BD52" s="178">
        <f t="shared" si="22"/>
        <v>0</v>
      </c>
      <c r="BE52" s="244">
        <f t="shared" si="3"/>
        <v>34</v>
      </c>
      <c r="BF52" s="245">
        <f t="shared" ref="BF52:BF79" si="23">SUM(Y52:AF52)</f>
        <v>10000</v>
      </c>
      <c r="BH52" s="255">
        <f t="shared" si="17"/>
        <v>0</v>
      </c>
      <c r="BI52" s="255">
        <f t="shared" si="18"/>
        <v>52</v>
      </c>
      <c r="BJ52" s="255">
        <f t="shared" si="19"/>
        <v>0</v>
      </c>
      <c r="BK52" s="256">
        <f t="shared" si="20"/>
        <v>0</v>
      </c>
      <c r="BL52" s="262">
        <f t="shared" si="21"/>
        <v>0</v>
      </c>
      <c r="BM52" s="257">
        <f t="shared" si="5"/>
        <v>52</v>
      </c>
      <c r="BO52" s="714">
        <f t="shared" si="6"/>
        <v>5.2</v>
      </c>
    </row>
    <row r="53" spans="2:67" ht="15" customHeight="1" x14ac:dyDescent="0.25">
      <c r="B53" s="19">
        <f t="shared" si="16"/>
        <v>9</v>
      </c>
      <c r="C53" s="44" t="s">
        <v>583</v>
      </c>
      <c r="D53" s="45" t="s">
        <v>584</v>
      </c>
      <c r="E53" s="105" t="s">
        <v>99</v>
      </c>
      <c r="G53" s="477">
        <f>'[15]JSO (t)'!G51</f>
        <v>0</v>
      </c>
      <c r="H53" s="479"/>
      <c r="I53" s="483">
        <f>'[15]JSO (t)'!I51</f>
        <v>0</v>
      </c>
      <c r="J53" s="461"/>
      <c r="K53" s="484">
        <f>'[15]JSO (t)'!K51</f>
        <v>0</v>
      </c>
      <c r="L53" s="461"/>
      <c r="M53" s="461"/>
      <c r="N53" s="461"/>
      <c r="O53" s="462"/>
      <c r="P53" s="461"/>
      <c r="Q53" s="461"/>
      <c r="R53" s="462"/>
      <c r="S53" s="478">
        <f>'[15]JSO (t)'!S51</f>
        <v>0</v>
      </c>
      <c r="T53" s="483">
        <f>'[15]JSO (t)'!T51</f>
        <v>0</v>
      </c>
      <c r="U53" s="479"/>
      <c r="V53" s="462"/>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0</v>
      </c>
      <c r="AP53" s="184">
        <f t="shared" si="15"/>
        <v>0</v>
      </c>
      <c r="AQ53" s="178">
        <f t="shared" si="15"/>
        <v>0</v>
      </c>
      <c r="AR53" s="178">
        <f t="shared" si="15"/>
        <v>0</v>
      </c>
      <c r="AS53" s="179">
        <f t="shared" si="15"/>
        <v>0</v>
      </c>
      <c r="AT53" s="178">
        <f t="shared" si="15"/>
        <v>0</v>
      </c>
      <c r="AU53" s="178">
        <f t="shared" si="15"/>
        <v>0</v>
      </c>
      <c r="AV53" s="178">
        <f t="shared" si="15"/>
        <v>0</v>
      </c>
      <c r="AW53" s="179">
        <f t="shared" si="15"/>
        <v>0</v>
      </c>
      <c r="AX53" s="178">
        <f t="shared" si="22"/>
        <v>0</v>
      </c>
      <c r="AY53" s="178">
        <f t="shared" si="22"/>
        <v>0</v>
      </c>
      <c r="AZ53" s="179">
        <f t="shared" si="22"/>
        <v>0</v>
      </c>
      <c r="BA53" s="184">
        <f t="shared" si="22"/>
        <v>0</v>
      </c>
      <c r="BB53" s="178">
        <f t="shared" si="22"/>
        <v>0</v>
      </c>
      <c r="BC53" s="184">
        <f t="shared" si="22"/>
        <v>0</v>
      </c>
      <c r="BD53" s="178">
        <f t="shared" si="22"/>
        <v>0</v>
      </c>
      <c r="BE53" s="244">
        <f t="shared" si="3"/>
        <v>4</v>
      </c>
      <c r="BF53" s="245">
        <f t="shared" si="23"/>
        <v>1300</v>
      </c>
      <c r="BH53" s="255">
        <f t="shared" si="17"/>
        <v>0</v>
      </c>
      <c r="BI53" s="255">
        <f t="shared" si="18"/>
        <v>0</v>
      </c>
      <c r="BJ53" s="255">
        <f t="shared" si="19"/>
        <v>0</v>
      </c>
      <c r="BK53" s="256">
        <f t="shared" si="20"/>
        <v>0</v>
      </c>
      <c r="BL53" s="262">
        <f t="shared" si="21"/>
        <v>0</v>
      </c>
      <c r="BM53" s="257">
        <f t="shared" si="5"/>
        <v>0</v>
      </c>
      <c r="BO53" s="714">
        <f t="shared" si="6"/>
        <v>0</v>
      </c>
    </row>
    <row r="54" spans="2:67" ht="15" customHeight="1" x14ac:dyDescent="0.25">
      <c r="B54" s="19"/>
      <c r="C54" s="785"/>
      <c r="D54" s="772"/>
      <c r="E54" s="836"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si="2"/>
        <v>0</v>
      </c>
      <c r="AP54" s="184">
        <f t="shared" si="15"/>
        <v>0</v>
      </c>
      <c r="AQ54" s="178">
        <f t="shared" si="15"/>
        <v>0</v>
      </c>
      <c r="AR54" s="178">
        <f t="shared" si="15"/>
        <v>0</v>
      </c>
      <c r="AS54" s="179">
        <f t="shared" si="15"/>
        <v>0</v>
      </c>
      <c r="AT54" s="178">
        <f t="shared" si="15"/>
        <v>0</v>
      </c>
      <c r="AU54" s="178">
        <f t="shared" si="15"/>
        <v>0</v>
      </c>
      <c r="AV54" s="178">
        <f t="shared" si="15"/>
        <v>0</v>
      </c>
      <c r="AW54" s="179">
        <f t="shared" si="15"/>
        <v>0</v>
      </c>
      <c r="AX54" s="178">
        <f t="shared" si="22"/>
        <v>0</v>
      </c>
      <c r="AY54" s="178">
        <f t="shared" si="22"/>
        <v>0</v>
      </c>
      <c r="AZ54" s="179">
        <f t="shared" si="22"/>
        <v>0</v>
      </c>
      <c r="BA54" s="184">
        <f t="shared" si="22"/>
        <v>0</v>
      </c>
      <c r="BB54" s="178">
        <f t="shared" si="22"/>
        <v>0</v>
      </c>
      <c r="BC54" s="184">
        <f t="shared" si="22"/>
        <v>0</v>
      </c>
      <c r="BD54" s="178">
        <f t="shared" si="22"/>
        <v>0</v>
      </c>
      <c r="BE54" s="244">
        <f t="shared" si="3"/>
        <v>0</v>
      </c>
      <c r="BF54" s="245">
        <f t="shared" si="23"/>
        <v>0</v>
      </c>
      <c r="BH54" s="255">
        <f t="shared" si="17"/>
        <v>0</v>
      </c>
      <c r="BI54" s="255">
        <f t="shared" si="18"/>
        <v>0</v>
      </c>
      <c r="BJ54" s="255">
        <f t="shared" si="19"/>
        <v>0</v>
      </c>
      <c r="BK54" s="256">
        <f t="shared" si="20"/>
        <v>0</v>
      </c>
      <c r="BL54" s="262">
        <f t="shared" si="21"/>
        <v>0</v>
      </c>
      <c r="BM54" s="257">
        <f t="shared" si="5"/>
        <v>0</v>
      </c>
      <c r="BO54" s="714" t="str">
        <f t="shared" si="6"/>
        <v/>
      </c>
    </row>
    <row r="55" spans="2:67" ht="15" customHeight="1" x14ac:dyDescent="0.25">
      <c r="B55" s="19">
        <f>B53+1</f>
        <v>10</v>
      </c>
      <c r="C55" s="44" t="s">
        <v>705</v>
      </c>
      <c r="D55" s="45"/>
      <c r="E55" s="105" t="s">
        <v>94</v>
      </c>
      <c r="G55" s="862">
        <f>G$49</f>
        <v>0</v>
      </c>
      <c r="H55" s="479"/>
      <c r="I55" s="851">
        <f>I$49</f>
        <v>6.4999999999999997E-3</v>
      </c>
      <c r="J55" s="461"/>
      <c r="K55" s="852">
        <f>K$49</f>
        <v>4.1000000000000003E-3</v>
      </c>
      <c r="L55" s="461"/>
      <c r="M55" s="461"/>
      <c r="N55" s="461"/>
      <c r="O55" s="462"/>
      <c r="P55" s="461"/>
      <c r="Q55" s="461"/>
      <c r="R55" s="462"/>
      <c r="S55" s="863">
        <f>S$49</f>
        <v>0</v>
      </c>
      <c r="T55" s="851">
        <f>T$49</f>
        <v>0</v>
      </c>
      <c r="U55" s="479"/>
      <c r="V55" s="462"/>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G55*X55/1000</f>
        <v>0</v>
      </c>
      <c r="AP55" s="184">
        <f t="shared" ref="AP55:AW55" si="24">H55*Y55</f>
        <v>0</v>
      </c>
      <c r="AQ55" s="178">
        <f t="shared" si="24"/>
        <v>5.8109999999999999</v>
      </c>
      <c r="AR55" s="178">
        <f t="shared" si="24"/>
        <v>0</v>
      </c>
      <c r="AS55" s="179">
        <f t="shared" si="24"/>
        <v>4.3255000000000008</v>
      </c>
      <c r="AT55" s="178">
        <f t="shared" si="24"/>
        <v>0</v>
      </c>
      <c r="AU55" s="178">
        <f t="shared" si="24"/>
        <v>0</v>
      </c>
      <c r="AV55" s="178">
        <f t="shared" si="24"/>
        <v>0</v>
      </c>
      <c r="AW55" s="179">
        <f t="shared" si="24"/>
        <v>0</v>
      </c>
      <c r="AX55" s="178">
        <f t="shared" ref="AX55:BD55" si="25">P55*AG55/1000</f>
        <v>0</v>
      </c>
      <c r="AY55" s="178">
        <f t="shared" si="25"/>
        <v>0</v>
      </c>
      <c r="AZ55" s="179">
        <f t="shared" si="25"/>
        <v>0</v>
      </c>
      <c r="BA55" s="184">
        <f t="shared" si="25"/>
        <v>0</v>
      </c>
      <c r="BB55" s="178">
        <f t="shared" si="25"/>
        <v>0</v>
      </c>
      <c r="BC55" s="184">
        <f t="shared" si="25"/>
        <v>0</v>
      </c>
      <c r="BD55" s="178">
        <f t="shared" si="25"/>
        <v>0</v>
      </c>
      <c r="BE55" s="244">
        <f>X55/$BE$7</f>
        <v>1</v>
      </c>
      <c r="BF55" s="245">
        <f>SUM(Y55:AF55)</f>
        <v>1949</v>
      </c>
      <c r="BH55" s="255">
        <f>SUM(AO55)</f>
        <v>0</v>
      </c>
      <c r="BI55" s="255">
        <f>SUM(AP55:AS55)</f>
        <v>10.136500000000002</v>
      </c>
      <c r="BJ55" s="255">
        <f>SUM(AT55:AW55)</f>
        <v>0</v>
      </c>
      <c r="BK55" s="256">
        <f>SUM(AX55:BB55)</f>
        <v>0</v>
      </c>
      <c r="BL55" s="262">
        <f>SUM(BC55:BD55)</f>
        <v>0</v>
      </c>
      <c r="BM55" s="257">
        <f>SUM(BH55:BL55)</f>
        <v>10.136500000000002</v>
      </c>
      <c r="BO55" s="714">
        <f>IF(BF55=0,"",BM55*1000/BF55)</f>
        <v>5.2008722421754756</v>
      </c>
    </row>
    <row r="56" spans="2:67" ht="15" customHeight="1" x14ac:dyDescent="0.25">
      <c r="B56" s="19">
        <f t="shared" ref="B56:B69" si="26">B55+1</f>
        <v>11</v>
      </c>
      <c r="C56" s="44" t="s">
        <v>567</v>
      </c>
      <c r="D56" s="834"/>
      <c r="E56" s="105" t="s">
        <v>94</v>
      </c>
      <c r="G56" s="477">
        <f>'[15]JSO (t)'!G53</f>
        <v>0</v>
      </c>
      <c r="H56" s="479"/>
      <c r="I56" s="483">
        <f>'[15]JSO (t)'!I53</f>
        <v>6.4999999999999997E-3</v>
      </c>
      <c r="J56" s="461"/>
      <c r="K56" s="484">
        <f>'[15]JSO (t)'!K53</f>
        <v>4.1000000000000003E-3</v>
      </c>
      <c r="L56" s="461"/>
      <c r="M56" s="461"/>
      <c r="N56" s="461"/>
      <c r="O56" s="462"/>
      <c r="P56" s="461"/>
      <c r="Q56" s="461"/>
      <c r="R56" s="462"/>
      <c r="S56" s="478">
        <f>'[15]JSO (t)'!S53</f>
        <v>0</v>
      </c>
      <c r="T56" s="483">
        <f>'[15]JSO (t)'!T53</f>
        <v>0</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
        <v>0</v>
      </c>
      <c r="AP56" s="184">
        <f t="shared" si="15"/>
        <v>0</v>
      </c>
      <c r="AQ56" s="178">
        <f t="shared" si="15"/>
        <v>3.8414999999999999</v>
      </c>
      <c r="AR56" s="178">
        <f t="shared" si="15"/>
        <v>0</v>
      </c>
      <c r="AS56" s="179">
        <f t="shared" si="15"/>
        <v>8.0032000000000014</v>
      </c>
      <c r="AT56" s="178">
        <f t="shared" si="15"/>
        <v>0</v>
      </c>
      <c r="AU56" s="178">
        <f t="shared" si="15"/>
        <v>0</v>
      </c>
      <c r="AV56" s="178">
        <f t="shared" si="15"/>
        <v>0</v>
      </c>
      <c r="AW56" s="179">
        <f t="shared" si="15"/>
        <v>0</v>
      </c>
      <c r="AX56" s="178">
        <f t="shared" si="22"/>
        <v>0</v>
      </c>
      <c r="AY56" s="178">
        <f t="shared" si="22"/>
        <v>0</v>
      </c>
      <c r="AZ56" s="179">
        <f t="shared" si="22"/>
        <v>0</v>
      </c>
      <c r="BA56" s="184">
        <f t="shared" si="22"/>
        <v>0</v>
      </c>
      <c r="BB56" s="178">
        <f t="shared" si="22"/>
        <v>0</v>
      </c>
      <c r="BC56" s="184">
        <f t="shared" si="22"/>
        <v>0</v>
      </c>
      <c r="BD56" s="178">
        <f t="shared" si="22"/>
        <v>0</v>
      </c>
      <c r="BE56" s="244">
        <f t="shared" si="3"/>
        <v>1</v>
      </c>
      <c r="BF56" s="245">
        <f t="shared" si="23"/>
        <v>2543</v>
      </c>
      <c r="BH56" s="255">
        <f t="shared" si="17"/>
        <v>0</v>
      </c>
      <c r="BI56" s="255">
        <f t="shared" si="18"/>
        <v>11.844700000000001</v>
      </c>
      <c r="BJ56" s="255">
        <f t="shared" si="19"/>
        <v>0</v>
      </c>
      <c r="BK56" s="256">
        <f t="shared" si="20"/>
        <v>0</v>
      </c>
      <c r="BL56" s="262">
        <f t="shared" si="21"/>
        <v>0</v>
      </c>
      <c r="BM56" s="257">
        <f t="shared" si="5"/>
        <v>11.844700000000001</v>
      </c>
      <c r="BO56" s="714">
        <f t="shared" si="6"/>
        <v>4.6577664176169877</v>
      </c>
    </row>
    <row r="57" spans="2:67" ht="15" customHeight="1" x14ac:dyDescent="0.25">
      <c r="B57" s="19">
        <f t="shared" si="26"/>
        <v>12</v>
      </c>
      <c r="C57" s="833" t="s">
        <v>568</v>
      </c>
      <c r="D57" s="834"/>
      <c r="E57" s="835" t="s">
        <v>94</v>
      </c>
      <c r="G57" s="477">
        <f>'[15]JSO (t)'!G54</f>
        <v>0</v>
      </c>
      <c r="H57" s="479"/>
      <c r="I57" s="483">
        <f>'[15]JSO (t)'!I54</f>
        <v>6.4999999999999997E-3</v>
      </c>
      <c r="J57" s="461"/>
      <c r="K57" s="484">
        <f>'[15]JSO (t)'!K54</f>
        <v>4.1000000000000003E-3</v>
      </c>
      <c r="L57" s="461"/>
      <c r="M57" s="461"/>
      <c r="N57" s="461"/>
      <c r="O57" s="462"/>
      <c r="P57" s="461"/>
      <c r="Q57" s="461"/>
      <c r="R57" s="462"/>
      <c r="S57" s="478">
        <f>'[15]JSO (t)'!S54</f>
        <v>0</v>
      </c>
      <c r="T57" s="483">
        <f>'[15]JSO (t)'!T54</f>
        <v>0</v>
      </c>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
        <v>0</v>
      </c>
      <c r="AP57" s="184">
        <f t="shared" si="15"/>
        <v>0</v>
      </c>
      <c r="AQ57" s="178">
        <f t="shared" si="15"/>
        <v>0</v>
      </c>
      <c r="AR57" s="178">
        <f t="shared" si="15"/>
        <v>0</v>
      </c>
      <c r="AS57" s="179">
        <f t="shared" si="15"/>
        <v>0</v>
      </c>
      <c r="AT57" s="178">
        <f t="shared" si="15"/>
        <v>0</v>
      </c>
      <c r="AU57" s="178">
        <f t="shared" si="15"/>
        <v>0</v>
      </c>
      <c r="AV57" s="178">
        <f t="shared" si="15"/>
        <v>0</v>
      </c>
      <c r="AW57" s="179">
        <f t="shared" si="15"/>
        <v>0</v>
      </c>
      <c r="AX57" s="178">
        <f t="shared" si="22"/>
        <v>0</v>
      </c>
      <c r="AY57" s="178">
        <f t="shared" si="22"/>
        <v>0</v>
      </c>
      <c r="AZ57" s="179">
        <f t="shared" si="22"/>
        <v>0</v>
      </c>
      <c r="BA57" s="184">
        <f t="shared" si="22"/>
        <v>0</v>
      </c>
      <c r="BB57" s="178">
        <f t="shared" si="22"/>
        <v>0</v>
      </c>
      <c r="BC57" s="184">
        <f t="shared" si="22"/>
        <v>0</v>
      </c>
      <c r="BD57" s="178">
        <f t="shared" si="22"/>
        <v>0</v>
      </c>
      <c r="BE57" s="244">
        <f t="shared" si="3"/>
        <v>0</v>
      </c>
      <c r="BF57" s="245">
        <f t="shared" si="23"/>
        <v>0</v>
      </c>
      <c r="BH57" s="255">
        <f t="shared" si="17"/>
        <v>0</v>
      </c>
      <c r="BI57" s="255">
        <f t="shared" si="18"/>
        <v>0</v>
      </c>
      <c r="BJ57" s="255">
        <f t="shared" si="19"/>
        <v>0</v>
      </c>
      <c r="BK57" s="256">
        <f t="shared" si="20"/>
        <v>0</v>
      </c>
      <c r="BL57" s="262">
        <f t="shared" si="21"/>
        <v>0</v>
      </c>
      <c r="BM57" s="257">
        <f t="shared" si="5"/>
        <v>0</v>
      </c>
      <c r="BO57" s="714" t="str">
        <f t="shared" si="6"/>
        <v/>
      </c>
    </row>
    <row r="58" spans="2:67" ht="15" customHeight="1" x14ac:dyDescent="0.25">
      <c r="B58" s="19">
        <f t="shared" si="26"/>
        <v>13</v>
      </c>
      <c r="C58" s="44" t="s">
        <v>569</v>
      </c>
      <c r="D58" s="834"/>
      <c r="E58" s="105" t="s">
        <v>94</v>
      </c>
      <c r="G58" s="477">
        <f>'[15]JSO (t)'!G55</f>
        <v>0</v>
      </c>
      <c r="H58" s="479"/>
      <c r="I58" s="483">
        <f>'[15]JSO (t)'!I55</f>
        <v>6.4999999999999997E-3</v>
      </c>
      <c r="J58" s="461"/>
      <c r="K58" s="484">
        <f>'[15]JSO (t)'!K55</f>
        <v>4.1000000000000003E-3</v>
      </c>
      <c r="L58" s="461"/>
      <c r="M58" s="461"/>
      <c r="N58" s="461"/>
      <c r="O58" s="462"/>
      <c r="P58" s="461"/>
      <c r="Q58" s="461"/>
      <c r="R58" s="462"/>
      <c r="S58" s="478">
        <f>'[15]JSO (t)'!S55</f>
        <v>0</v>
      </c>
      <c r="T58" s="483">
        <f>'[15]JSO (t)'!T55</f>
        <v>0</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
        <v>0</v>
      </c>
      <c r="AP58" s="184">
        <f t="shared" si="15"/>
        <v>0</v>
      </c>
      <c r="AQ58" s="178">
        <f t="shared" si="15"/>
        <v>6.3895</v>
      </c>
      <c r="AR58" s="178">
        <f t="shared" si="15"/>
        <v>0</v>
      </c>
      <c r="AS58" s="179">
        <f t="shared" si="15"/>
        <v>4.7150000000000007</v>
      </c>
      <c r="AT58" s="178">
        <f t="shared" si="15"/>
        <v>0</v>
      </c>
      <c r="AU58" s="178">
        <f t="shared" si="15"/>
        <v>0</v>
      </c>
      <c r="AV58" s="178">
        <f t="shared" si="15"/>
        <v>0</v>
      </c>
      <c r="AW58" s="179">
        <f t="shared" si="15"/>
        <v>0</v>
      </c>
      <c r="AX58" s="178">
        <f t="shared" si="22"/>
        <v>0</v>
      </c>
      <c r="AY58" s="178">
        <f t="shared" si="22"/>
        <v>0</v>
      </c>
      <c r="AZ58" s="179">
        <f t="shared" si="22"/>
        <v>0</v>
      </c>
      <c r="BA58" s="184">
        <f t="shared" si="22"/>
        <v>0</v>
      </c>
      <c r="BB58" s="178">
        <f t="shared" si="22"/>
        <v>0</v>
      </c>
      <c r="BC58" s="184">
        <f t="shared" si="22"/>
        <v>0</v>
      </c>
      <c r="BD58" s="178">
        <f t="shared" si="22"/>
        <v>0</v>
      </c>
      <c r="BE58" s="244">
        <f t="shared" si="3"/>
        <v>1</v>
      </c>
      <c r="BF58" s="245">
        <f t="shared" si="23"/>
        <v>2133</v>
      </c>
      <c r="BH58" s="255">
        <f t="shared" si="17"/>
        <v>0</v>
      </c>
      <c r="BI58" s="255">
        <f t="shared" si="18"/>
        <v>11.104500000000002</v>
      </c>
      <c r="BJ58" s="255">
        <f t="shared" si="19"/>
        <v>0</v>
      </c>
      <c r="BK58" s="256">
        <f t="shared" si="20"/>
        <v>0</v>
      </c>
      <c r="BL58" s="262">
        <f t="shared" si="21"/>
        <v>0</v>
      </c>
      <c r="BM58" s="257">
        <f t="shared" si="5"/>
        <v>11.104500000000002</v>
      </c>
      <c r="BO58" s="714">
        <f t="shared" si="6"/>
        <v>5.2060478199718716</v>
      </c>
    </row>
    <row r="59" spans="2:67" ht="15" customHeight="1" x14ac:dyDescent="0.25">
      <c r="B59" s="19">
        <f t="shared" si="26"/>
        <v>14</v>
      </c>
      <c r="C59" s="44" t="s">
        <v>570</v>
      </c>
      <c r="D59" s="834"/>
      <c r="E59" s="105" t="s">
        <v>94</v>
      </c>
      <c r="G59" s="477">
        <f>'[15]JSO (t)'!G56</f>
        <v>0</v>
      </c>
      <c r="H59" s="479"/>
      <c r="I59" s="483">
        <f>'[15]JSO (t)'!I56</f>
        <v>6.4999999999999997E-3</v>
      </c>
      <c r="J59" s="461"/>
      <c r="K59" s="484">
        <f>'[15]JSO (t)'!K56</f>
        <v>4.1000000000000003E-3</v>
      </c>
      <c r="L59" s="461"/>
      <c r="M59" s="461"/>
      <c r="N59" s="461"/>
      <c r="O59" s="462"/>
      <c r="P59" s="461"/>
      <c r="Q59" s="461"/>
      <c r="R59" s="462"/>
      <c r="S59" s="478">
        <f>'[15]JSO (t)'!S56</f>
        <v>0</v>
      </c>
      <c r="T59" s="483">
        <f>'[15]JSO (t)'!T56</f>
        <v>0</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
        <v>0</v>
      </c>
      <c r="AP59" s="184">
        <f t="shared" si="15"/>
        <v>0</v>
      </c>
      <c r="AQ59" s="178">
        <f t="shared" si="15"/>
        <v>6.4870000000000001</v>
      </c>
      <c r="AR59" s="178">
        <f t="shared" si="15"/>
        <v>0</v>
      </c>
      <c r="AS59" s="179">
        <f t="shared" si="15"/>
        <v>8.3599000000000014</v>
      </c>
      <c r="AT59" s="178">
        <f t="shared" si="15"/>
        <v>0</v>
      </c>
      <c r="AU59" s="178">
        <f t="shared" si="15"/>
        <v>0</v>
      </c>
      <c r="AV59" s="178">
        <f t="shared" si="15"/>
        <v>0</v>
      </c>
      <c r="AW59" s="179">
        <f t="shared" si="15"/>
        <v>0</v>
      </c>
      <c r="AX59" s="178">
        <f t="shared" si="22"/>
        <v>0</v>
      </c>
      <c r="AY59" s="178">
        <f t="shared" si="22"/>
        <v>0</v>
      </c>
      <c r="AZ59" s="179">
        <f t="shared" si="22"/>
        <v>0</v>
      </c>
      <c r="BA59" s="184">
        <f t="shared" si="22"/>
        <v>0</v>
      </c>
      <c r="BB59" s="178">
        <f t="shared" si="22"/>
        <v>0</v>
      </c>
      <c r="BC59" s="184">
        <f t="shared" si="22"/>
        <v>0</v>
      </c>
      <c r="BD59" s="178">
        <f t="shared" si="22"/>
        <v>0</v>
      </c>
      <c r="BE59" s="244">
        <f t="shared" si="3"/>
        <v>1</v>
      </c>
      <c r="BF59" s="245">
        <f t="shared" si="23"/>
        <v>3037</v>
      </c>
      <c r="BH59" s="255">
        <f t="shared" si="17"/>
        <v>0</v>
      </c>
      <c r="BI59" s="255">
        <f t="shared" si="18"/>
        <v>14.846900000000002</v>
      </c>
      <c r="BJ59" s="255">
        <f t="shared" si="19"/>
        <v>0</v>
      </c>
      <c r="BK59" s="256">
        <f t="shared" si="20"/>
        <v>0</v>
      </c>
      <c r="BL59" s="262">
        <f t="shared" si="21"/>
        <v>0</v>
      </c>
      <c r="BM59" s="257">
        <f t="shared" si="5"/>
        <v>14.846900000000002</v>
      </c>
      <c r="BO59" s="714">
        <f t="shared" si="6"/>
        <v>4.8886730325979588</v>
      </c>
    </row>
    <row r="60" spans="2:67" ht="15" customHeight="1" x14ac:dyDescent="0.25">
      <c r="B60" s="19">
        <f t="shared" si="26"/>
        <v>15</v>
      </c>
      <c r="C60" s="44" t="s">
        <v>572</v>
      </c>
      <c r="D60" s="45"/>
      <c r="E60" s="105" t="s">
        <v>94</v>
      </c>
      <c r="G60" s="477">
        <f>'[15]JSO (t)'!G57</f>
        <v>0</v>
      </c>
      <c r="H60" s="479"/>
      <c r="I60" s="483">
        <f>'[15]JSO (t)'!I57</f>
        <v>6.4999999999999997E-3</v>
      </c>
      <c r="J60" s="461"/>
      <c r="K60" s="484">
        <f>'[15]JSO (t)'!K57</f>
        <v>4.1000000000000003E-3</v>
      </c>
      <c r="L60" s="461"/>
      <c r="M60" s="461"/>
      <c r="N60" s="461"/>
      <c r="O60" s="462"/>
      <c r="P60" s="461"/>
      <c r="Q60" s="461"/>
      <c r="R60" s="462"/>
      <c r="S60" s="478">
        <f>'[15]JSO (t)'!S57</f>
        <v>0</v>
      </c>
      <c r="T60" s="483">
        <f>'[15]JSO (t)'!T57</f>
        <v>0</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
        <v>0</v>
      </c>
      <c r="AP60" s="184">
        <f t="shared" si="15"/>
        <v>0</v>
      </c>
      <c r="AQ60" s="178">
        <f t="shared" si="15"/>
        <v>23.055499999999999</v>
      </c>
      <c r="AR60" s="178">
        <f t="shared" si="15"/>
        <v>0</v>
      </c>
      <c r="AS60" s="179">
        <f t="shared" si="15"/>
        <v>13.070800000000002</v>
      </c>
      <c r="AT60" s="178">
        <f t="shared" si="15"/>
        <v>0</v>
      </c>
      <c r="AU60" s="178">
        <f t="shared" si="15"/>
        <v>0</v>
      </c>
      <c r="AV60" s="178">
        <f t="shared" si="15"/>
        <v>0</v>
      </c>
      <c r="AW60" s="179">
        <f t="shared" si="15"/>
        <v>0</v>
      </c>
      <c r="AX60" s="178">
        <f t="shared" si="22"/>
        <v>0</v>
      </c>
      <c r="AY60" s="178">
        <f t="shared" si="22"/>
        <v>0</v>
      </c>
      <c r="AZ60" s="179">
        <f t="shared" si="22"/>
        <v>0</v>
      </c>
      <c r="BA60" s="184">
        <f t="shared" si="22"/>
        <v>0</v>
      </c>
      <c r="BB60" s="178">
        <f t="shared" si="22"/>
        <v>0</v>
      </c>
      <c r="BC60" s="184">
        <f t="shared" si="22"/>
        <v>0</v>
      </c>
      <c r="BD60" s="178">
        <f t="shared" si="22"/>
        <v>0</v>
      </c>
      <c r="BE60" s="244">
        <f t="shared" si="3"/>
        <v>1</v>
      </c>
      <c r="BF60" s="245">
        <f t="shared" si="23"/>
        <v>6735</v>
      </c>
      <c r="BH60" s="255">
        <f t="shared" si="17"/>
        <v>0</v>
      </c>
      <c r="BI60" s="255">
        <f t="shared" si="18"/>
        <v>36.126300000000001</v>
      </c>
      <c r="BJ60" s="255">
        <f t="shared" si="19"/>
        <v>0</v>
      </c>
      <c r="BK60" s="256">
        <f t="shared" si="20"/>
        <v>0</v>
      </c>
      <c r="BL60" s="262">
        <f t="shared" si="21"/>
        <v>0</v>
      </c>
      <c r="BM60" s="257">
        <f t="shared" si="5"/>
        <v>36.126300000000001</v>
      </c>
      <c r="BO60" s="714">
        <f t="shared" si="6"/>
        <v>5.3639643652561251</v>
      </c>
    </row>
    <row r="61" spans="2:67" ht="15" customHeight="1" x14ac:dyDescent="0.25">
      <c r="B61" s="19">
        <f t="shared" si="26"/>
        <v>16</v>
      </c>
      <c r="C61" s="44" t="s">
        <v>651</v>
      </c>
      <c r="D61" s="45"/>
      <c r="E61" s="105" t="s">
        <v>94</v>
      </c>
      <c r="G61" s="477">
        <f>'[15]JSO (t)'!G58</f>
        <v>0</v>
      </c>
      <c r="H61" s="479"/>
      <c r="I61" s="483">
        <f>'[15]JSO (t)'!I58</f>
        <v>6.4999999999999997E-3</v>
      </c>
      <c r="J61" s="461"/>
      <c r="K61" s="484">
        <f>'[15]JSO (t)'!K58</f>
        <v>4.1000000000000003E-3</v>
      </c>
      <c r="L61" s="461"/>
      <c r="M61" s="461"/>
      <c r="N61" s="461"/>
      <c r="O61" s="462"/>
      <c r="P61" s="461"/>
      <c r="Q61" s="461"/>
      <c r="R61" s="462"/>
      <c r="S61" s="478">
        <f>'[15]JSO (t)'!S58</f>
        <v>0</v>
      </c>
      <c r="T61" s="483">
        <f>'[15]JSO (t)'!T58</f>
        <v>0</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ref="AO61:AO67" si="27">G61*X61/1000</f>
        <v>0</v>
      </c>
      <c r="AP61" s="184">
        <f t="shared" ref="AP61:AP67" si="28">H61*Y61</f>
        <v>0</v>
      </c>
      <c r="AQ61" s="178">
        <f t="shared" ref="AQ61:AQ67" si="29">I61*Z61</f>
        <v>2.4375</v>
      </c>
      <c r="AR61" s="178">
        <f t="shared" ref="AR61:AR67" si="30">J61*AA61</f>
        <v>0</v>
      </c>
      <c r="AS61" s="179">
        <f t="shared" ref="AS61:AS67" si="31">K61*AB61</f>
        <v>4.4649000000000001</v>
      </c>
      <c r="AT61" s="178">
        <f t="shared" ref="AT61:AT67" si="32">L61*AC61</f>
        <v>0</v>
      </c>
      <c r="AU61" s="178">
        <f t="shared" ref="AU61:AU67" si="33">M61*AD61</f>
        <v>0</v>
      </c>
      <c r="AV61" s="178">
        <f t="shared" ref="AV61:AV67" si="34">N61*AE61</f>
        <v>0</v>
      </c>
      <c r="AW61" s="179">
        <f t="shared" ref="AW61:AW67" si="35">O61*AF61</f>
        <v>0</v>
      </c>
      <c r="AX61" s="178">
        <f t="shared" ref="AX61:AX67" si="36">P61*AG61/1000</f>
        <v>0</v>
      </c>
      <c r="AY61" s="178">
        <f t="shared" ref="AY61:AY67" si="37">Q61*AH61/1000</f>
        <v>0</v>
      </c>
      <c r="AZ61" s="179">
        <f t="shared" ref="AZ61:AZ67" si="38">R61*AI61/1000</f>
        <v>0</v>
      </c>
      <c r="BA61" s="184">
        <f t="shared" ref="BA61:BA67" si="39">S61*AJ61/1000</f>
        <v>0</v>
      </c>
      <c r="BB61" s="178">
        <f t="shared" ref="BB61:BB67" si="40">T61*AK61/1000</f>
        <v>0</v>
      </c>
      <c r="BC61" s="184">
        <f t="shared" ref="BC61:BC67" si="41">U61*AL61/1000</f>
        <v>0</v>
      </c>
      <c r="BD61" s="178">
        <f t="shared" ref="BD61:BD67" si="42">V61*AM61/1000</f>
        <v>0</v>
      </c>
      <c r="BE61" s="244">
        <f t="shared" ref="BE61:BE67" si="43">X61/$BE$7</f>
        <v>1</v>
      </c>
      <c r="BF61" s="245">
        <f t="shared" ref="BF61:BF67" si="44">SUM(Y61:AF61)</f>
        <v>1464</v>
      </c>
      <c r="BH61" s="255">
        <f t="shared" ref="BH61:BH67" si="45">SUM(AO61)</f>
        <v>0</v>
      </c>
      <c r="BI61" s="255">
        <f t="shared" ref="BI61:BI67" si="46">SUM(AP61:AS61)</f>
        <v>6.9024000000000001</v>
      </c>
      <c r="BJ61" s="255">
        <f t="shared" ref="BJ61:BJ67" si="47">SUM(AT61:AW61)</f>
        <v>0</v>
      </c>
      <c r="BK61" s="256">
        <f t="shared" ref="BK61:BK67" si="48">SUM(AX61:BB61)</f>
        <v>0</v>
      </c>
      <c r="BL61" s="262">
        <f t="shared" ref="BL61:BL67" si="49">SUM(BC61:BD61)</f>
        <v>0</v>
      </c>
      <c r="BM61" s="257">
        <f t="shared" ref="BM61:BM67" si="50">SUM(BH61:BL61)</f>
        <v>6.9024000000000001</v>
      </c>
      <c r="BO61" s="714">
        <f t="shared" ref="BO61:BO67" si="51">IF(BF61=0,"",BM61*1000/BF61)</f>
        <v>4.7147540983606557</v>
      </c>
    </row>
    <row r="62" spans="2:67" ht="15" customHeight="1" x14ac:dyDescent="0.25">
      <c r="B62" s="19">
        <f t="shared" si="26"/>
        <v>17</v>
      </c>
      <c r="C62" s="44" t="s">
        <v>707</v>
      </c>
      <c r="D62" s="45"/>
      <c r="E62" s="105" t="s">
        <v>94</v>
      </c>
      <c r="G62" s="862">
        <f>G$49</f>
        <v>0</v>
      </c>
      <c r="H62" s="479"/>
      <c r="I62" s="851">
        <f>I$49</f>
        <v>6.4999999999999997E-3</v>
      </c>
      <c r="J62" s="461"/>
      <c r="K62" s="852">
        <f>K$49</f>
        <v>4.1000000000000003E-3</v>
      </c>
      <c r="L62" s="461"/>
      <c r="M62" s="461"/>
      <c r="N62" s="461"/>
      <c r="O62" s="462"/>
      <c r="P62" s="461"/>
      <c r="Q62" s="461"/>
      <c r="R62" s="462"/>
      <c r="S62" s="863">
        <f>S$49</f>
        <v>0</v>
      </c>
      <c r="T62" s="851">
        <f>T$49</f>
        <v>0</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7"/>
        <v>0</v>
      </c>
      <c r="AP62" s="184">
        <f t="shared" si="28"/>
        <v>0</v>
      </c>
      <c r="AQ62" s="178">
        <f t="shared" si="29"/>
        <v>7.6439999999999992</v>
      </c>
      <c r="AR62" s="178">
        <f t="shared" si="30"/>
        <v>0</v>
      </c>
      <c r="AS62" s="179">
        <f t="shared" si="31"/>
        <v>8.4419000000000004</v>
      </c>
      <c r="AT62" s="178">
        <f t="shared" si="32"/>
        <v>0</v>
      </c>
      <c r="AU62" s="178">
        <f t="shared" si="33"/>
        <v>0</v>
      </c>
      <c r="AV62" s="178">
        <f t="shared" si="34"/>
        <v>0</v>
      </c>
      <c r="AW62" s="179">
        <f t="shared" si="35"/>
        <v>0</v>
      </c>
      <c r="AX62" s="178">
        <f t="shared" si="36"/>
        <v>0</v>
      </c>
      <c r="AY62" s="178">
        <f t="shared" si="37"/>
        <v>0</v>
      </c>
      <c r="AZ62" s="179">
        <f t="shared" si="38"/>
        <v>0</v>
      </c>
      <c r="BA62" s="184">
        <f t="shared" si="39"/>
        <v>0</v>
      </c>
      <c r="BB62" s="178">
        <f t="shared" si="40"/>
        <v>0</v>
      </c>
      <c r="BC62" s="184">
        <f t="shared" si="41"/>
        <v>0</v>
      </c>
      <c r="BD62" s="178">
        <f t="shared" si="42"/>
        <v>0</v>
      </c>
      <c r="BE62" s="244">
        <f t="shared" si="43"/>
        <v>1</v>
      </c>
      <c r="BF62" s="245">
        <f t="shared" si="44"/>
        <v>3235</v>
      </c>
      <c r="BH62" s="255">
        <f t="shared" si="45"/>
        <v>0</v>
      </c>
      <c r="BI62" s="255">
        <f t="shared" si="46"/>
        <v>16.085899999999999</v>
      </c>
      <c r="BJ62" s="255">
        <f t="shared" si="47"/>
        <v>0</v>
      </c>
      <c r="BK62" s="256">
        <f t="shared" si="48"/>
        <v>0</v>
      </c>
      <c r="BL62" s="262">
        <f t="shared" si="49"/>
        <v>0</v>
      </c>
      <c r="BM62" s="257">
        <f t="shared" si="50"/>
        <v>16.085899999999999</v>
      </c>
      <c r="BO62" s="714">
        <f t="shared" si="51"/>
        <v>4.9724574961360126</v>
      </c>
    </row>
    <row r="63" spans="2:67" ht="15" customHeight="1" x14ac:dyDescent="0.25">
      <c r="B63" s="19">
        <f t="shared" si="26"/>
        <v>18</v>
      </c>
      <c r="C63" s="44" t="s">
        <v>571</v>
      </c>
      <c r="D63" s="45"/>
      <c r="E63" s="105" t="s">
        <v>94</v>
      </c>
      <c r="G63" s="477">
        <f>'[15]JSO (t)'!G59</f>
        <v>0</v>
      </c>
      <c r="H63" s="479"/>
      <c r="I63" s="483">
        <f>'[15]JSO (t)'!I59</f>
        <v>6.4999999999999997E-3</v>
      </c>
      <c r="J63" s="461"/>
      <c r="K63" s="484">
        <f>'[15]JSO (t)'!K59</f>
        <v>4.1000000000000003E-3</v>
      </c>
      <c r="L63" s="461"/>
      <c r="M63" s="461"/>
      <c r="N63" s="461"/>
      <c r="O63" s="462"/>
      <c r="P63" s="461"/>
      <c r="Q63" s="461"/>
      <c r="R63" s="462"/>
      <c r="S63" s="478">
        <f>'[15]JSO (t)'!S59</f>
        <v>0</v>
      </c>
      <c r="T63" s="483">
        <f>'[15]JSO (t)'!T59</f>
        <v>0</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7"/>
        <v>0</v>
      </c>
      <c r="AP63" s="184">
        <f t="shared" si="28"/>
        <v>0</v>
      </c>
      <c r="AQ63" s="178">
        <f t="shared" si="29"/>
        <v>2.7949999999999999</v>
      </c>
      <c r="AR63" s="178">
        <f t="shared" si="30"/>
        <v>0</v>
      </c>
      <c r="AS63" s="179">
        <f t="shared" si="31"/>
        <v>2.3206000000000002</v>
      </c>
      <c r="AT63" s="178">
        <f t="shared" si="32"/>
        <v>0</v>
      </c>
      <c r="AU63" s="178">
        <f t="shared" si="33"/>
        <v>0</v>
      </c>
      <c r="AV63" s="178">
        <f t="shared" si="34"/>
        <v>0</v>
      </c>
      <c r="AW63" s="179">
        <f t="shared" si="35"/>
        <v>0</v>
      </c>
      <c r="AX63" s="178">
        <f t="shared" si="36"/>
        <v>0</v>
      </c>
      <c r="AY63" s="178">
        <f t="shared" si="37"/>
        <v>0</v>
      </c>
      <c r="AZ63" s="179">
        <f t="shared" si="38"/>
        <v>0</v>
      </c>
      <c r="BA63" s="184">
        <f t="shared" si="39"/>
        <v>0</v>
      </c>
      <c r="BB63" s="178">
        <f t="shared" si="40"/>
        <v>0</v>
      </c>
      <c r="BC63" s="184">
        <f t="shared" si="41"/>
        <v>0</v>
      </c>
      <c r="BD63" s="178">
        <f t="shared" si="42"/>
        <v>0</v>
      </c>
      <c r="BE63" s="244">
        <f t="shared" si="43"/>
        <v>1</v>
      </c>
      <c r="BF63" s="245">
        <f t="shared" si="44"/>
        <v>996</v>
      </c>
      <c r="BH63" s="255">
        <f t="shared" si="45"/>
        <v>0</v>
      </c>
      <c r="BI63" s="255">
        <f t="shared" si="46"/>
        <v>5.1156000000000006</v>
      </c>
      <c r="BJ63" s="255">
        <f t="shared" si="47"/>
        <v>0</v>
      </c>
      <c r="BK63" s="256">
        <f t="shared" si="48"/>
        <v>0</v>
      </c>
      <c r="BL63" s="262">
        <f t="shared" si="49"/>
        <v>0</v>
      </c>
      <c r="BM63" s="257">
        <f t="shared" si="50"/>
        <v>5.1156000000000006</v>
      </c>
      <c r="BO63" s="714">
        <f t="shared" si="51"/>
        <v>5.1361445783132531</v>
      </c>
    </row>
    <row r="64" spans="2:67" ht="15" customHeight="1" x14ac:dyDescent="0.25">
      <c r="B64" s="19">
        <f t="shared" si="26"/>
        <v>19</v>
      </c>
      <c r="C64" s="44" t="s">
        <v>573</v>
      </c>
      <c r="D64" s="45"/>
      <c r="E64" s="105" t="s">
        <v>94</v>
      </c>
      <c r="G64" s="477">
        <f>'[15]JSO (t)'!G60</f>
        <v>0</v>
      </c>
      <c r="H64" s="479"/>
      <c r="I64" s="483">
        <f>'[15]JSO (t)'!I60</f>
        <v>6.4999999999999997E-3</v>
      </c>
      <c r="J64" s="461"/>
      <c r="K64" s="484">
        <f>'[15]JSO (t)'!K60</f>
        <v>4.1000000000000003E-3</v>
      </c>
      <c r="L64" s="461"/>
      <c r="M64" s="461"/>
      <c r="N64" s="461"/>
      <c r="O64" s="462"/>
      <c r="P64" s="461"/>
      <c r="Q64" s="461"/>
      <c r="R64" s="462"/>
      <c r="S64" s="478">
        <f>'[15]JSO (t)'!S60</f>
        <v>0</v>
      </c>
      <c r="T64" s="483">
        <f>'[15]JSO (t)'!T60</f>
        <v>0</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7"/>
        <v>0</v>
      </c>
      <c r="AP64" s="184">
        <f t="shared" si="28"/>
        <v>0</v>
      </c>
      <c r="AQ64" s="178">
        <f t="shared" si="29"/>
        <v>2.4569999999999999</v>
      </c>
      <c r="AR64" s="178">
        <f t="shared" si="30"/>
        <v>0</v>
      </c>
      <c r="AS64" s="179">
        <f t="shared" si="31"/>
        <v>2.4641000000000002</v>
      </c>
      <c r="AT64" s="178">
        <f t="shared" si="32"/>
        <v>0</v>
      </c>
      <c r="AU64" s="178">
        <f t="shared" si="33"/>
        <v>0</v>
      </c>
      <c r="AV64" s="178">
        <f t="shared" si="34"/>
        <v>0</v>
      </c>
      <c r="AW64" s="179">
        <f t="shared" si="35"/>
        <v>0</v>
      </c>
      <c r="AX64" s="178">
        <f t="shared" si="36"/>
        <v>0</v>
      </c>
      <c r="AY64" s="178">
        <f t="shared" si="37"/>
        <v>0</v>
      </c>
      <c r="AZ64" s="179">
        <f t="shared" si="38"/>
        <v>0</v>
      </c>
      <c r="BA64" s="184">
        <f t="shared" si="39"/>
        <v>0</v>
      </c>
      <c r="BB64" s="178">
        <f t="shared" si="40"/>
        <v>0</v>
      </c>
      <c r="BC64" s="184">
        <f t="shared" si="41"/>
        <v>0</v>
      </c>
      <c r="BD64" s="178">
        <f t="shared" si="42"/>
        <v>0</v>
      </c>
      <c r="BE64" s="244">
        <f t="shared" si="43"/>
        <v>1</v>
      </c>
      <c r="BF64" s="245">
        <f t="shared" si="44"/>
        <v>979</v>
      </c>
      <c r="BH64" s="255">
        <f t="shared" si="45"/>
        <v>0</v>
      </c>
      <c r="BI64" s="255">
        <f t="shared" si="46"/>
        <v>4.9211</v>
      </c>
      <c r="BJ64" s="255">
        <f t="shared" si="47"/>
        <v>0</v>
      </c>
      <c r="BK64" s="256">
        <f t="shared" si="48"/>
        <v>0</v>
      </c>
      <c r="BL64" s="262">
        <f t="shared" si="49"/>
        <v>0</v>
      </c>
      <c r="BM64" s="257">
        <f t="shared" si="50"/>
        <v>4.9211</v>
      </c>
      <c r="BO64" s="714">
        <f t="shared" si="51"/>
        <v>5.0266598569969361</v>
      </c>
    </row>
    <row r="65" spans="2:67" ht="15" customHeight="1" x14ac:dyDescent="0.25">
      <c r="B65" s="19">
        <f t="shared" si="26"/>
        <v>20</v>
      </c>
      <c r="C65" s="833" t="s">
        <v>574</v>
      </c>
      <c r="D65" s="834"/>
      <c r="E65" s="835" t="s">
        <v>94</v>
      </c>
      <c r="G65" s="477">
        <f>'[15]JSO (t)'!G61</f>
        <v>0</v>
      </c>
      <c r="H65" s="479"/>
      <c r="I65" s="483">
        <f>'[15]JSO (t)'!I61</f>
        <v>6.4999999999999997E-3</v>
      </c>
      <c r="J65" s="461"/>
      <c r="K65" s="484">
        <f>'[15]JSO (t)'!K61</f>
        <v>4.1000000000000003E-3</v>
      </c>
      <c r="L65" s="461"/>
      <c r="M65" s="461"/>
      <c r="N65" s="461"/>
      <c r="O65" s="462"/>
      <c r="P65" s="461"/>
      <c r="Q65" s="461"/>
      <c r="R65" s="462"/>
      <c r="S65" s="478">
        <f>'[15]JSO (t)'!S61</f>
        <v>0</v>
      </c>
      <c r="T65" s="483">
        <f>'[15]JSO (t)'!T61</f>
        <v>0</v>
      </c>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7"/>
        <v>0</v>
      </c>
      <c r="AP65" s="184">
        <f t="shared" si="28"/>
        <v>0</v>
      </c>
      <c r="AQ65" s="178">
        <f t="shared" si="29"/>
        <v>0</v>
      </c>
      <c r="AR65" s="178">
        <f t="shared" si="30"/>
        <v>0</v>
      </c>
      <c r="AS65" s="179">
        <f t="shared" si="31"/>
        <v>0</v>
      </c>
      <c r="AT65" s="178">
        <f t="shared" si="32"/>
        <v>0</v>
      </c>
      <c r="AU65" s="178">
        <f t="shared" si="33"/>
        <v>0</v>
      </c>
      <c r="AV65" s="178">
        <f t="shared" si="34"/>
        <v>0</v>
      </c>
      <c r="AW65" s="179">
        <f t="shared" si="35"/>
        <v>0</v>
      </c>
      <c r="AX65" s="178">
        <f t="shared" si="36"/>
        <v>0</v>
      </c>
      <c r="AY65" s="178">
        <f t="shared" si="37"/>
        <v>0</v>
      </c>
      <c r="AZ65" s="179">
        <f t="shared" si="38"/>
        <v>0</v>
      </c>
      <c r="BA65" s="184">
        <f t="shared" si="39"/>
        <v>0</v>
      </c>
      <c r="BB65" s="178">
        <f t="shared" si="40"/>
        <v>0</v>
      </c>
      <c r="BC65" s="184">
        <f t="shared" si="41"/>
        <v>0</v>
      </c>
      <c r="BD65" s="178">
        <f t="shared" si="42"/>
        <v>0</v>
      </c>
      <c r="BE65" s="244">
        <f t="shared" si="43"/>
        <v>0</v>
      </c>
      <c r="BF65" s="245">
        <f t="shared" si="44"/>
        <v>0</v>
      </c>
      <c r="BH65" s="255">
        <f t="shared" si="45"/>
        <v>0</v>
      </c>
      <c r="BI65" s="255">
        <f t="shared" si="46"/>
        <v>0</v>
      </c>
      <c r="BJ65" s="255">
        <f t="shared" si="47"/>
        <v>0</v>
      </c>
      <c r="BK65" s="256">
        <f t="shared" si="48"/>
        <v>0</v>
      </c>
      <c r="BL65" s="262">
        <f t="shared" si="49"/>
        <v>0</v>
      </c>
      <c r="BM65" s="257">
        <f t="shared" si="50"/>
        <v>0</v>
      </c>
      <c r="BO65" s="714" t="str">
        <f t="shared" si="51"/>
        <v/>
      </c>
    </row>
    <row r="66" spans="2:67" ht="15" customHeight="1" x14ac:dyDescent="0.25">
      <c r="B66" s="19">
        <f t="shared" si="26"/>
        <v>21</v>
      </c>
      <c r="C66" s="44" t="s">
        <v>706</v>
      </c>
      <c r="D66" s="45"/>
      <c r="E66" s="105" t="s">
        <v>94</v>
      </c>
      <c r="G66" s="862">
        <f>G$49</f>
        <v>0</v>
      </c>
      <c r="H66" s="479"/>
      <c r="I66" s="851">
        <f>I$49</f>
        <v>6.4999999999999997E-3</v>
      </c>
      <c r="J66" s="461"/>
      <c r="K66" s="852">
        <f>K$49</f>
        <v>4.1000000000000003E-3</v>
      </c>
      <c r="L66" s="461"/>
      <c r="M66" s="461"/>
      <c r="N66" s="461"/>
      <c r="O66" s="462"/>
      <c r="P66" s="461"/>
      <c r="Q66" s="461"/>
      <c r="R66" s="462"/>
      <c r="S66" s="863">
        <f>S$49</f>
        <v>0</v>
      </c>
      <c r="T66" s="851">
        <f>T$49</f>
        <v>0</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7"/>
        <v>0</v>
      </c>
      <c r="AP66" s="184">
        <f t="shared" si="28"/>
        <v>0</v>
      </c>
      <c r="AQ66" s="178">
        <f t="shared" si="29"/>
        <v>42.490499999999997</v>
      </c>
      <c r="AR66" s="178">
        <f t="shared" si="30"/>
        <v>0</v>
      </c>
      <c r="AS66" s="179">
        <f t="shared" si="31"/>
        <v>28.347400000000004</v>
      </c>
      <c r="AT66" s="178">
        <f t="shared" si="32"/>
        <v>0</v>
      </c>
      <c r="AU66" s="178">
        <f t="shared" si="33"/>
        <v>0</v>
      </c>
      <c r="AV66" s="178">
        <f t="shared" si="34"/>
        <v>0</v>
      </c>
      <c r="AW66" s="179">
        <f t="shared" si="35"/>
        <v>0</v>
      </c>
      <c r="AX66" s="178">
        <f t="shared" si="36"/>
        <v>0</v>
      </c>
      <c r="AY66" s="178">
        <f t="shared" si="37"/>
        <v>0</v>
      </c>
      <c r="AZ66" s="179">
        <f t="shared" si="38"/>
        <v>0</v>
      </c>
      <c r="BA66" s="184">
        <f t="shared" si="39"/>
        <v>0</v>
      </c>
      <c r="BB66" s="178">
        <f t="shared" si="40"/>
        <v>0</v>
      </c>
      <c r="BC66" s="184">
        <f t="shared" si="41"/>
        <v>0</v>
      </c>
      <c r="BD66" s="178">
        <f t="shared" si="42"/>
        <v>0</v>
      </c>
      <c r="BE66" s="244">
        <f t="shared" si="43"/>
        <v>1</v>
      </c>
      <c r="BF66" s="245">
        <f t="shared" si="44"/>
        <v>13451</v>
      </c>
      <c r="BH66" s="255">
        <f t="shared" si="45"/>
        <v>0</v>
      </c>
      <c r="BI66" s="255">
        <f t="shared" si="46"/>
        <v>70.837900000000005</v>
      </c>
      <c r="BJ66" s="255">
        <f t="shared" si="47"/>
        <v>0</v>
      </c>
      <c r="BK66" s="256">
        <f t="shared" si="48"/>
        <v>0</v>
      </c>
      <c r="BL66" s="262">
        <f t="shared" si="49"/>
        <v>0</v>
      </c>
      <c r="BM66" s="257">
        <f t="shared" si="50"/>
        <v>70.837900000000005</v>
      </c>
      <c r="BO66" s="714">
        <f t="shared" si="51"/>
        <v>5.2663668128763668</v>
      </c>
    </row>
    <row r="67" spans="2:67" ht="15" customHeight="1" x14ac:dyDescent="0.25">
      <c r="B67" s="19">
        <f t="shared" si="26"/>
        <v>22</v>
      </c>
      <c r="C67" s="44" t="s">
        <v>575</v>
      </c>
      <c r="D67" s="45"/>
      <c r="E67" s="105" t="s">
        <v>94</v>
      </c>
      <c r="G67" s="477">
        <f>'[15]JSO (t)'!G62</f>
        <v>0</v>
      </c>
      <c r="H67" s="479"/>
      <c r="I67" s="483">
        <f>'[15]JSO (t)'!I62</f>
        <v>6.4999999999999997E-3</v>
      </c>
      <c r="J67" s="461"/>
      <c r="K67" s="484">
        <f>'[15]JSO (t)'!K62</f>
        <v>4.1000000000000003E-3</v>
      </c>
      <c r="L67" s="461"/>
      <c r="M67" s="461"/>
      <c r="N67" s="461"/>
      <c r="O67" s="462"/>
      <c r="P67" s="461"/>
      <c r="Q67" s="461"/>
      <c r="R67" s="462"/>
      <c r="S67" s="478">
        <f>'[15]JSO (t)'!S62</f>
        <v>0</v>
      </c>
      <c r="T67" s="483">
        <f>'[15]JSO (t)'!T62</f>
        <v>0</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7"/>
        <v>0</v>
      </c>
      <c r="AP67" s="184">
        <f t="shared" si="28"/>
        <v>0</v>
      </c>
      <c r="AQ67" s="178">
        <f t="shared" si="29"/>
        <v>2.4830000000000001</v>
      </c>
      <c r="AR67" s="178">
        <f t="shared" si="30"/>
        <v>0</v>
      </c>
      <c r="AS67" s="179">
        <f t="shared" si="31"/>
        <v>1.9844000000000002</v>
      </c>
      <c r="AT67" s="178">
        <f t="shared" si="32"/>
        <v>0</v>
      </c>
      <c r="AU67" s="178">
        <f t="shared" si="33"/>
        <v>0</v>
      </c>
      <c r="AV67" s="178">
        <f t="shared" si="34"/>
        <v>0</v>
      </c>
      <c r="AW67" s="179">
        <f t="shared" si="35"/>
        <v>0</v>
      </c>
      <c r="AX67" s="178">
        <f t="shared" si="36"/>
        <v>0</v>
      </c>
      <c r="AY67" s="178">
        <f t="shared" si="37"/>
        <v>0</v>
      </c>
      <c r="AZ67" s="179">
        <f t="shared" si="38"/>
        <v>0</v>
      </c>
      <c r="BA67" s="184">
        <f t="shared" si="39"/>
        <v>0</v>
      </c>
      <c r="BB67" s="178">
        <f t="shared" si="40"/>
        <v>0</v>
      </c>
      <c r="BC67" s="184">
        <f t="shared" si="41"/>
        <v>0</v>
      </c>
      <c r="BD67" s="178">
        <f t="shared" si="42"/>
        <v>0</v>
      </c>
      <c r="BE67" s="244">
        <f t="shared" si="43"/>
        <v>1</v>
      </c>
      <c r="BF67" s="245">
        <f t="shared" si="44"/>
        <v>866</v>
      </c>
      <c r="BH67" s="255">
        <f t="shared" si="45"/>
        <v>0</v>
      </c>
      <c r="BI67" s="255">
        <f t="shared" si="46"/>
        <v>4.4674000000000005</v>
      </c>
      <c r="BJ67" s="255">
        <f t="shared" si="47"/>
        <v>0</v>
      </c>
      <c r="BK67" s="256">
        <f t="shared" si="48"/>
        <v>0</v>
      </c>
      <c r="BL67" s="262">
        <f t="shared" si="49"/>
        <v>0</v>
      </c>
      <c r="BM67" s="257">
        <f t="shared" si="50"/>
        <v>4.4674000000000005</v>
      </c>
      <c r="BO67" s="714">
        <f t="shared" si="51"/>
        <v>5.1586605080831411</v>
      </c>
    </row>
    <row r="68" spans="2:67" ht="15" customHeight="1" x14ac:dyDescent="0.25">
      <c r="B68" s="19">
        <f t="shared" si="26"/>
        <v>23</v>
      </c>
      <c r="C68" s="44" t="s">
        <v>576</v>
      </c>
      <c r="D68" s="45"/>
      <c r="E68" s="105" t="s">
        <v>94</v>
      </c>
      <c r="G68" s="477">
        <f>'[15]JSO (t)'!G63</f>
        <v>0</v>
      </c>
      <c r="H68" s="479"/>
      <c r="I68" s="483">
        <f>'[15]JSO (t)'!I63</f>
        <v>6.4999999999999997E-3</v>
      </c>
      <c r="J68" s="461"/>
      <c r="K68" s="484">
        <f>'[15]JSO (t)'!K63</f>
        <v>4.1000000000000003E-3</v>
      </c>
      <c r="L68" s="461"/>
      <c r="M68" s="461"/>
      <c r="N68" s="461"/>
      <c r="O68" s="462"/>
      <c r="P68" s="461"/>
      <c r="Q68" s="461"/>
      <c r="R68" s="462"/>
      <c r="S68" s="478">
        <f>'[15]JSO (t)'!S63</f>
        <v>0</v>
      </c>
      <c r="T68" s="483">
        <f>'[15]JSO (t)'!T63</f>
        <v>0</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
        <v>0</v>
      </c>
      <c r="AP68" s="184">
        <f t="shared" ref="AP68:AW83" si="52">H68*Y68</f>
        <v>0</v>
      </c>
      <c r="AQ68" s="178">
        <f t="shared" si="52"/>
        <v>23.750999999999998</v>
      </c>
      <c r="AR68" s="178">
        <f t="shared" si="52"/>
        <v>0</v>
      </c>
      <c r="AS68" s="179">
        <f t="shared" si="52"/>
        <v>23.005100000000002</v>
      </c>
      <c r="AT68" s="178">
        <f t="shared" si="52"/>
        <v>0</v>
      </c>
      <c r="AU68" s="178">
        <f t="shared" si="52"/>
        <v>0</v>
      </c>
      <c r="AV68" s="178">
        <f t="shared" si="52"/>
        <v>0</v>
      </c>
      <c r="AW68" s="179">
        <f t="shared" si="52"/>
        <v>0</v>
      </c>
      <c r="AX68" s="178">
        <f t="shared" si="22"/>
        <v>0</v>
      </c>
      <c r="AY68" s="178">
        <f t="shared" si="22"/>
        <v>0</v>
      </c>
      <c r="AZ68" s="179">
        <f t="shared" si="22"/>
        <v>0</v>
      </c>
      <c r="BA68" s="184">
        <f t="shared" si="22"/>
        <v>0</v>
      </c>
      <c r="BB68" s="178">
        <f t="shared" si="22"/>
        <v>0</v>
      </c>
      <c r="BC68" s="184">
        <f t="shared" si="22"/>
        <v>0</v>
      </c>
      <c r="BD68" s="178">
        <f t="shared" si="22"/>
        <v>0</v>
      </c>
      <c r="BE68" s="244">
        <f t="shared" si="3"/>
        <v>1</v>
      </c>
      <c r="BF68" s="245">
        <f t="shared" si="23"/>
        <v>9265</v>
      </c>
      <c r="BH68" s="255">
        <f t="shared" si="17"/>
        <v>0</v>
      </c>
      <c r="BI68" s="255">
        <f t="shared" si="18"/>
        <v>46.756100000000004</v>
      </c>
      <c r="BJ68" s="255">
        <f t="shared" si="19"/>
        <v>0</v>
      </c>
      <c r="BK68" s="256">
        <f t="shared" si="20"/>
        <v>0</v>
      </c>
      <c r="BL68" s="262">
        <f t="shared" si="21"/>
        <v>0</v>
      </c>
      <c r="BM68" s="257">
        <f t="shared" si="5"/>
        <v>46.756100000000004</v>
      </c>
      <c r="BO68" s="714">
        <f t="shared" si="6"/>
        <v>5.0465299514301138</v>
      </c>
    </row>
    <row r="69" spans="2:67" ht="15" customHeight="1" x14ac:dyDescent="0.25">
      <c r="B69" s="26">
        <f t="shared" si="26"/>
        <v>24</v>
      </c>
      <c r="C69" s="841" t="s">
        <v>632</v>
      </c>
      <c r="D69" s="56"/>
      <c r="E69" s="109" t="s">
        <v>652</v>
      </c>
      <c r="G69" s="477">
        <f>'[15]JSO (t)'!G64</f>
        <v>0</v>
      </c>
      <c r="H69" s="479"/>
      <c r="I69" s="483">
        <f>'[15]JSO (t)'!I64</f>
        <v>6.4999999999999997E-3</v>
      </c>
      <c r="J69" s="461"/>
      <c r="K69" s="484">
        <f>'[15]JSO (t)'!K64</f>
        <v>4.1000000000000003E-3</v>
      </c>
      <c r="L69" s="461"/>
      <c r="M69" s="461"/>
      <c r="N69" s="461"/>
      <c r="O69" s="462"/>
      <c r="P69" s="483">
        <f>'[15]JSO (t)'!P64</f>
        <v>0</v>
      </c>
      <c r="Q69" s="461"/>
      <c r="R69" s="462"/>
      <c r="S69" s="479"/>
      <c r="T69" s="483">
        <f>'[15]JSO (t)'!T64</f>
        <v>0</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0</v>
      </c>
      <c r="AP69" s="184">
        <f t="shared" si="52"/>
        <v>0</v>
      </c>
      <c r="AQ69" s="178">
        <f t="shared" si="52"/>
        <v>7.02</v>
      </c>
      <c r="AR69" s="178">
        <f t="shared" si="52"/>
        <v>0</v>
      </c>
      <c r="AS69" s="179">
        <f t="shared" si="52"/>
        <v>6.8470000000000004</v>
      </c>
      <c r="AT69" s="178">
        <f t="shared" si="52"/>
        <v>0</v>
      </c>
      <c r="AU69" s="178">
        <f t="shared" si="52"/>
        <v>0</v>
      </c>
      <c r="AV69" s="178">
        <f t="shared" si="52"/>
        <v>0</v>
      </c>
      <c r="AW69" s="179">
        <f t="shared" si="52"/>
        <v>0</v>
      </c>
      <c r="AX69" s="178">
        <f t="shared" si="22"/>
        <v>0</v>
      </c>
      <c r="AY69" s="178">
        <f t="shared" si="22"/>
        <v>0</v>
      </c>
      <c r="AZ69" s="179">
        <f t="shared" si="22"/>
        <v>0</v>
      </c>
      <c r="BA69" s="184">
        <f t="shared" si="22"/>
        <v>0</v>
      </c>
      <c r="BB69" s="178">
        <f t="shared" si="22"/>
        <v>0</v>
      </c>
      <c r="BC69" s="184">
        <f t="shared" si="22"/>
        <v>0</v>
      </c>
      <c r="BD69" s="178">
        <f t="shared" si="22"/>
        <v>0</v>
      </c>
      <c r="BE69" s="244">
        <f t="shared" si="3"/>
        <v>1</v>
      </c>
      <c r="BF69" s="245">
        <f t="shared" si="23"/>
        <v>2750</v>
      </c>
      <c r="BH69" s="255">
        <f t="shared" si="17"/>
        <v>0</v>
      </c>
      <c r="BI69" s="255">
        <f t="shared" si="18"/>
        <v>13.867000000000001</v>
      </c>
      <c r="BJ69" s="255">
        <f t="shared" si="19"/>
        <v>0</v>
      </c>
      <c r="BK69" s="256">
        <f t="shared" si="20"/>
        <v>0</v>
      </c>
      <c r="BL69" s="262">
        <f t="shared" si="21"/>
        <v>0</v>
      </c>
      <c r="BM69" s="257">
        <f t="shared" si="5"/>
        <v>13.867000000000001</v>
      </c>
      <c r="BO69" s="714">
        <f t="shared" si="6"/>
        <v>5.0425454545454542</v>
      </c>
    </row>
    <row r="70" spans="2:67" ht="15" customHeight="1" x14ac:dyDescent="0.25">
      <c r="B70" s="30" t="s">
        <v>101</v>
      </c>
      <c r="C70" s="14" t="s">
        <v>102</v>
      </c>
      <c r="D70" s="14"/>
      <c r="E70" s="99"/>
      <c r="G70" s="494"/>
      <c r="H70" s="495"/>
      <c r="I70" s="496"/>
      <c r="J70" s="496"/>
      <c r="K70" s="497"/>
      <c r="L70" s="496"/>
      <c r="M70" s="496"/>
      <c r="N70" s="496"/>
      <c r="O70" s="497"/>
      <c r="P70" s="496"/>
      <c r="Q70" s="496"/>
      <c r="R70" s="497"/>
      <c r="S70" s="495"/>
      <c r="T70" s="496"/>
      <c r="U70" s="495"/>
      <c r="V70" s="497"/>
      <c r="X70" s="205"/>
      <c r="Y70" s="206"/>
      <c r="Z70" s="207"/>
      <c r="AA70" s="207"/>
      <c r="AB70" s="208"/>
      <c r="AC70" s="207"/>
      <c r="AD70" s="207"/>
      <c r="AE70" s="207"/>
      <c r="AF70" s="208"/>
      <c r="AG70" s="207"/>
      <c r="AH70" s="207"/>
      <c r="AI70" s="208"/>
      <c r="AJ70" s="206"/>
      <c r="AK70" s="207"/>
      <c r="AL70" s="206"/>
      <c r="AM70" s="208"/>
      <c r="AO70" s="205">
        <f t="shared" si="2"/>
        <v>0</v>
      </c>
      <c r="AP70" s="206">
        <f t="shared" si="52"/>
        <v>0</v>
      </c>
      <c r="AQ70" s="207">
        <f t="shared" si="52"/>
        <v>0</v>
      </c>
      <c r="AR70" s="207">
        <f t="shared" si="52"/>
        <v>0</v>
      </c>
      <c r="AS70" s="208">
        <f t="shared" si="52"/>
        <v>0</v>
      </c>
      <c r="AT70" s="207">
        <f t="shared" si="52"/>
        <v>0</v>
      </c>
      <c r="AU70" s="207">
        <f t="shared" si="52"/>
        <v>0</v>
      </c>
      <c r="AV70" s="207">
        <f t="shared" si="52"/>
        <v>0</v>
      </c>
      <c r="AW70" s="208">
        <f t="shared" si="52"/>
        <v>0</v>
      </c>
      <c r="AX70" s="207">
        <f t="shared" si="22"/>
        <v>0</v>
      </c>
      <c r="AY70" s="207">
        <f t="shared" si="22"/>
        <v>0</v>
      </c>
      <c r="AZ70" s="208">
        <f t="shared" si="22"/>
        <v>0</v>
      </c>
      <c r="BA70" s="206">
        <f t="shared" si="22"/>
        <v>0</v>
      </c>
      <c r="BB70" s="207">
        <f t="shared" si="22"/>
        <v>0</v>
      </c>
      <c r="BC70" s="206">
        <f t="shared" si="22"/>
        <v>0</v>
      </c>
      <c r="BD70" s="207">
        <f t="shared" si="22"/>
        <v>0</v>
      </c>
      <c r="BE70" s="242">
        <f t="shared" si="3"/>
        <v>0</v>
      </c>
      <c r="BF70" s="243">
        <f t="shared" si="23"/>
        <v>0</v>
      </c>
      <c r="BH70" s="253">
        <f>SUBTOTAL(9,BH71:BH93)</f>
        <v>0</v>
      </c>
      <c r="BI70" s="253">
        <f>SUBTOTAL(9,BI71:BI93)</f>
        <v>2575.1488000000004</v>
      </c>
      <c r="BJ70" s="253">
        <f>SUBTOTAL(9,BJ71:BJ93)</f>
        <v>0</v>
      </c>
      <c r="BK70" s="253">
        <f>SUBTOTAL(9,BK71:BK93)</f>
        <v>0</v>
      </c>
      <c r="BL70" s="253">
        <f>SUBTOTAL(9,BL71:BL93)</f>
        <v>0</v>
      </c>
      <c r="BM70" s="257">
        <f t="shared" si="5"/>
        <v>2575.1488000000004</v>
      </c>
      <c r="BO70" s="714" t="str">
        <f t="shared" si="6"/>
        <v/>
      </c>
    </row>
    <row r="71" spans="2:67" ht="15" customHeight="1" x14ac:dyDescent="0.25">
      <c r="B71" s="19"/>
      <c r="C71" s="36" t="s">
        <v>103</v>
      </c>
      <c r="D71" s="85"/>
      <c r="E71" s="85"/>
      <c r="G71" s="482"/>
      <c r="H71" s="479"/>
      <c r="I71" s="461"/>
      <c r="J71" s="461"/>
      <c r="K71" s="462"/>
      <c r="L71" s="461"/>
      <c r="M71" s="461"/>
      <c r="N71" s="461"/>
      <c r="O71" s="462"/>
      <c r="P71" s="461"/>
      <c r="Q71" s="461"/>
      <c r="R71" s="462"/>
      <c r="S71" s="479"/>
      <c r="T71" s="461"/>
      <c r="U71" s="479"/>
      <c r="V71" s="462"/>
      <c r="X71" s="183"/>
      <c r="Y71" s="184"/>
      <c r="Z71" s="178"/>
      <c r="AA71" s="178"/>
      <c r="AB71" s="179"/>
      <c r="AC71" s="178"/>
      <c r="AD71" s="178"/>
      <c r="AE71" s="178"/>
      <c r="AF71" s="179"/>
      <c r="AG71" s="178"/>
      <c r="AH71" s="178"/>
      <c r="AI71" s="179"/>
      <c r="AJ71" s="184"/>
      <c r="AK71" s="178"/>
      <c r="AL71" s="184"/>
      <c r="AM71" s="179"/>
      <c r="AO71" s="183">
        <f t="shared" si="2"/>
        <v>0</v>
      </c>
      <c r="AP71" s="184">
        <f t="shared" si="52"/>
        <v>0</v>
      </c>
      <c r="AQ71" s="178">
        <f t="shared" si="52"/>
        <v>0</v>
      </c>
      <c r="AR71" s="178">
        <f t="shared" si="52"/>
        <v>0</v>
      </c>
      <c r="AS71" s="179">
        <f t="shared" si="52"/>
        <v>0</v>
      </c>
      <c r="AT71" s="178">
        <f t="shared" si="52"/>
        <v>0</v>
      </c>
      <c r="AU71" s="178">
        <f t="shared" si="52"/>
        <v>0</v>
      </c>
      <c r="AV71" s="178">
        <f t="shared" si="52"/>
        <v>0</v>
      </c>
      <c r="AW71" s="179">
        <f t="shared" si="52"/>
        <v>0</v>
      </c>
      <c r="AX71" s="178">
        <f t="shared" si="22"/>
        <v>0</v>
      </c>
      <c r="AY71" s="178">
        <f t="shared" si="22"/>
        <v>0</v>
      </c>
      <c r="AZ71" s="179">
        <f t="shared" si="22"/>
        <v>0</v>
      </c>
      <c r="BA71" s="184">
        <f t="shared" si="22"/>
        <v>0</v>
      </c>
      <c r="BB71" s="178">
        <f t="shared" si="22"/>
        <v>0</v>
      </c>
      <c r="BC71" s="184">
        <f t="shared" si="22"/>
        <v>0</v>
      </c>
      <c r="BD71" s="178">
        <f t="shared" si="22"/>
        <v>0</v>
      </c>
      <c r="BE71" s="244">
        <f t="shared" si="3"/>
        <v>0</v>
      </c>
      <c r="BF71" s="245">
        <f t="shared" si="23"/>
        <v>0</v>
      </c>
      <c r="BH71" s="252">
        <f>SUBTOTAL(9,BH72:BH77)</f>
        <v>0</v>
      </c>
      <c r="BI71" s="252">
        <f>SUBTOTAL(9,BI72:BI77)</f>
        <v>2353.4872000000005</v>
      </c>
      <c r="BJ71" s="252">
        <f>SUBTOTAL(9,BJ72:BJ77)</f>
        <v>0</v>
      </c>
      <c r="BK71" s="252">
        <f>SUBTOTAL(9,BK72:BK77)</f>
        <v>0</v>
      </c>
      <c r="BL71" s="252">
        <f>SUBTOTAL(9,BL72:BL77)</f>
        <v>0</v>
      </c>
      <c r="BM71" s="257">
        <f t="shared" si="5"/>
        <v>2353.4872000000005</v>
      </c>
      <c r="BO71" s="714" t="str">
        <f t="shared" si="6"/>
        <v/>
      </c>
    </row>
    <row r="72" spans="2:67" ht="15" customHeight="1" x14ac:dyDescent="0.25">
      <c r="B72" s="19">
        <v>1</v>
      </c>
      <c r="C72" s="44" t="s">
        <v>585</v>
      </c>
      <c r="D72" s="45" t="s">
        <v>586</v>
      </c>
      <c r="E72" s="105" t="s">
        <v>104</v>
      </c>
      <c r="G72" s="477">
        <f>'[15]JSO (t)'!G70</f>
        <v>0</v>
      </c>
      <c r="H72" s="479"/>
      <c r="I72" s="483">
        <f>'[15]JSO (t)'!I70</f>
        <v>4.4000000000000003E-3</v>
      </c>
      <c r="J72" s="461"/>
      <c r="K72" s="484">
        <f>'[15]JSO (t)'!K70</f>
        <v>2.8E-3</v>
      </c>
      <c r="L72" s="461"/>
      <c r="M72" s="461"/>
      <c r="N72" s="461"/>
      <c r="O72" s="462"/>
      <c r="P72" s="461"/>
      <c r="Q72" s="461"/>
      <c r="R72" s="462"/>
      <c r="S72" s="478">
        <f>'[15]JSO (t)'!S70</f>
        <v>0</v>
      </c>
      <c r="T72" s="483">
        <f>'[15]JSO (t)'!T70</f>
        <v>0</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0</v>
      </c>
      <c r="AP72" s="184">
        <f t="shared" si="52"/>
        <v>0</v>
      </c>
      <c r="AQ72" s="178">
        <f t="shared" si="52"/>
        <v>1332.8656000000001</v>
      </c>
      <c r="AR72" s="178">
        <f t="shared" si="52"/>
        <v>0</v>
      </c>
      <c r="AS72" s="179">
        <f t="shared" si="52"/>
        <v>796.38160000000005</v>
      </c>
      <c r="AT72" s="178">
        <f t="shared" si="52"/>
        <v>0</v>
      </c>
      <c r="AU72" s="178">
        <f t="shared" si="52"/>
        <v>0</v>
      </c>
      <c r="AV72" s="178">
        <f t="shared" si="52"/>
        <v>0</v>
      </c>
      <c r="AW72" s="179">
        <f t="shared" si="52"/>
        <v>0</v>
      </c>
      <c r="AX72" s="178">
        <f t="shared" si="22"/>
        <v>0</v>
      </c>
      <c r="AY72" s="178">
        <f t="shared" si="22"/>
        <v>0</v>
      </c>
      <c r="AZ72" s="179">
        <f t="shared" si="22"/>
        <v>0</v>
      </c>
      <c r="BA72" s="184">
        <f t="shared" si="22"/>
        <v>0</v>
      </c>
      <c r="BB72" s="178">
        <f t="shared" si="22"/>
        <v>0</v>
      </c>
      <c r="BC72" s="184">
        <f t="shared" si="22"/>
        <v>0</v>
      </c>
      <c r="BD72" s="178">
        <f t="shared" si="22"/>
        <v>0</v>
      </c>
      <c r="BE72" s="244">
        <f t="shared" si="3"/>
        <v>149</v>
      </c>
      <c r="BF72" s="245">
        <f t="shared" si="23"/>
        <v>587346</v>
      </c>
      <c r="BH72" s="255">
        <f t="shared" ref="BH72:BH92" si="53">SUM(AO72)</f>
        <v>0</v>
      </c>
      <c r="BI72" s="255">
        <f t="shared" ref="BI72:BI92" si="54">SUM(AP72:AS72)</f>
        <v>2129.2472000000002</v>
      </c>
      <c r="BJ72" s="255">
        <f t="shared" ref="BJ72:BJ92" si="55">SUM(AT72:AW72)</f>
        <v>0</v>
      </c>
      <c r="BK72" s="256">
        <f t="shared" ref="BK72:BK92" si="56">SUM(AX72:BB72)</f>
        <v>0</v>
      </c>
      <c r="BL72" s="262">
        <f t="shared" ref="BL72:BL92" si="57">SUM(BC72:BD72)</f>
        <v>0</v>
      </c>
      <c r="BM72" s="257">
        <f t="shared" si="5"/>
        <v>2129.2472000000002</v>
      </c>
      <c r="BO72" s="714">
        <f t="shared" si="6"/>
        <v>3.6252008185975559</v>
      </c>
    </row>
    <row r="73" spans="2:67" ht="15" customHeight="1" x14ac:dyDescent="0.25">
      <c r="B73" s="19">
        <f>B72+1</f>
        <v>2</v>
      </c>
      <c r="C73" s="44" t="s">
        <v>587</v>
      </c>
      <c r="D73" s="45" t="s">
        <v>588</v>
      </c>
      <c r="E73" s="105" t="s">
        <v>105</v>
      </c>
      <c r="G73" s="477">
        <f>'[15]JSO (t)'!G71</f>
        <v>0</v>
      </c>
      <c r="H73" s="479"/>
      <c r="I73" s="483">
        <f>'[15]JSO (t)'!I71</f>
        <v>4.4000000000000003E-3</v>
      </c>
      <c r="J73" s="461"/>
      <c r="K73" s="484">
        <f>'[15]JSO (t)'!K71</f>
        <v>2.8E-3</v>
      </c>
      <c r="L73" s="461"/>
      <c r="M73" s="461"/>
      <c r="N73" s="461"/>
      <c r="O73" s="462"/>
      <c r="P73" s="483">
        <f>'[15]JSO (t)'!P71</f>
        <v>0</v>
      </c>
      <c r="Q73" s="461"/>
      <c r="R73" s="462"/>
      <c r="S73" s="479"/>
      <c r="T73" s="483">
        <f>'[15]JSO (t)'!T71</f>
        <v>0</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0</v>
      </c>
      <c r="AP73" s="184">
        <f t="shared" si="52"/>
        <v>0</v>
      </c>
      <c r="AQ73" s="178">
        <f t="shared" si="52"/>
        <v>113.96000000000001</v>
      </c>
      <c r="AR73" s="178">
        <f t="shared" si="52"/>
        <v>0</v>
      </c>
      <c r="AS73" s="179">
        <f t="shared" si="52"/>
        <v>70</v>
      </c>
      <c r="AT73" s="178">
        <f t="shared" si="52"/>
        <v>0</v>
      </c>
      <c r="AU73" s="178">
        <f t="shared" si="52"/>
        <v>0</v>
      </c>
      <c r="AV73" s="178">
        <f t="shared" si="52"/>
        <v>0</v>
      </c>
      <c r="AW73" s="179">
        <f t="shared" si="52"/>
        <v>0</v>
      </c>
      <c r="AX73" s="178">
        <f t="shared" si="22"/>
        <v>0</v>
      </c>
      <c r="AY73" s="178">
        <f t="shared" si="22"/>
        <v>0</v>
      </c>
      <c r="AZ73" s="179">
        <f t="shared" si="22"/>
        <v>0</v>
      </c>
      <c r="BA73" s="184">
        <f t="shared" si="22"/>
        <v>0</v>
      </c>
      <c r="BB73" s="178">
        <f t="shared" si="22"/>
        <v>0</v>
      </c>
      <c r="BC73" s="184">
        <f t="shared" si="22"/>
        <v>0</v>
      </c>
      <c r="BD73" s="178">
        <f t="shared" si="22"/>
        <v>0</v>
      </c>
      <c r="BE73" s="244">
        <f t="shared" si="3"/>
        <v>14</v>
      </c>
      <c r="BF73" s="245">
        <f t="shared" si="23"/>
        <v>50900</v>
      </c>
      <c r="BH73" s="255">
        <f t="shared" si="53"/>
        <v>0</v>
      </c>
      <c r="BI73" s="255">
        <f t="shared" si="54"/>
        <v>183.96</v>
      </c>
      <c r="BJ73" s="255">
        <f t="shared" si="55"/>
        <v>0</v>
      </c>
      <c r="BK73" s="256">
        <f t="shared" si="56"/>
        <v>0</v>
      </c>
      <c r="BL73" s="262">
        <f t="shared" si="57"/>
        <v>0</v>
      </c>
      <c r="BM73" s="257">
        <f t="shared" si="5"/>
        <v>183.96</v>
      </c>
      <c r="BO73" s="714">
        <f t="shared" si="6"/>
        <v>3.6141453831041259</v>
      </c>
    </row>
    <row r="74" spans="2:67" ht="15" customHeight="1" x14ac:dyDescent="0.25">
      <c r="B74" s="19">
        <f>B73+1</f>
        <v>3</v>
      </c>
      <c r="C74" s="833" t="s">
        <v>589</v>
      </c>
      <c r="D74" s="834" t="s">
        <v>590</v>
      </c>
      <c r="E74" s="835" t="s">
        <v>106</v>
      </c>
      <c r="G74" s="477"/>
      <c r="H74" s="479"/>
      <c r="I74" s="483"/>
      <c r="J74" s="461"/>
      <c r="K74" s="484"/>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52"/>
        <v>0</v>
      </c>
      <c r="AQ74" s="178">
        <f t="shared" si="52"/>
        <v>0</v>
      </c>
      <c r="AR74" s="178">
        <f t="shared" si="52"/>
        <v>0</v>
      </c>
      <c r="AS74" s="179">
        <f t="shared" si="52"/>
        <v>0</v>
      </c>
      <c r="AT74" s="178">
        <f t="shared" si="52"/>
        <v>0</v>
      </c>
      <c r="AU74" s="178">
        <f t="shared" si="52"/>
        <v>0</v>
      </c>
      <c r="AV74" s="178">
        <f t="shared" si="52"/>
        <v>0</v>
      </c>
      <c r="AW74" s="179">
        <f t="shared" si="52"/>
        <v>0</v>
      </c>
      <c r="AX74" s="178">
        <f t="shared" si="22"/>
        <v>0</v>
      </c>
      <c r="AY74" s="178">
        <f t="shared" si="22"/>
        <v>0</v>
      </c>
      <c r="AZ74" s="179">
        <f t="shared" si="22"/>
        <v>0</v>
      </c>
      <c r="BA74" s="184">
        <f t="shared" si="22"/>
        <v>0</v>
      </c>
      <c r="BB74" s="178">
        <f t="shared" si="22"/>
        <v>0</v>
      </c>
      <c r="BC74" s="184">
        <f t="shared" si="22"/>
        <v>0</v>
      </c>
      <c r="BD74" s="178">
        <f t="shared" si="22"/>
        <v>0</v>
      </c>
      <c r="BE74" s="244">
        <f t="shared" si="3"/>
        <v>0</v>
      </c>
      <c r="BF74" s="245">
        <f t="shared" si="23"/>
        <v>0</v>
      </c>
      <c r="BH74" s="255">
        <f t="shared" si="53"/>
        <v>0</v>
      </c>
      <c r="BI74" s="255">
        <f t="shared" si="54"/>
        <v>0</v>
      </c>
      <c r="BJ74" s="255">
        <f t="shared" si="55"/>
        <v>0</v>
      </c>
      <c r="BK74" s="256">
        <f t="shared" si="56"/>
        <v>0</v>
      </c>
      <c r="BL74" s="262">
        <f t="shared" si="57"/>
        <v>0</v>
      </c>
      <c r="BM74" s="257">
        <f t="shared" si="5"/>
        <v>0</v>
      </c>
      <c r="BO74" s="714" t="str">
        <f t="shared" si="6"/>
        <v/>
      </c>
    </row>
    <row r="75" spans="2:67" ht="15" customHeight="1" x14ac:dyDescent="0.25">
      <c r="B75" s="19">
        <f>B74+1</f>
        <v>4</v>
      </c>
      <c r="C75" s="44" t="s">
        <v>107</v>
      </c>
      <c r="D75" s="45" t="s">
        <v>107</v>
      </c>
      <c r="E75" s="105" t="s">
        <v>108</v>
      </c>
      <c r="G75" s="477">
        <f>'[15]JSO (t)'!G73</f>
        <v>0</v>
      </c>
      <c r="H75" s="478">
        <f>'[15]JSO (t)'!H73</f>
        <v>3.5999999999999999E-3</v>
      </c>
      <c r="I75" s="461"/>
      <c r="J75" s="461"/>
      <c r="K75" s="462"/>
      <c r="L75" s="461"/>
      <c r="M75" s="461"/>
      <c r="N75" s="461"/>
      <c r="O75" s="462"/>
      <c r="P75" s="461"/>
      <c r="Q75" s="483">
        <f>'[15]JSO (t)'!Q73</f>
        <v>0</v>
      </c>
      <c r="R75" s="484">
        <f>'[15]JSO (t)'!R73</f>
        <v>0</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52"/>
        <v>0</v>
      </c>
      <c r="AQ75" s="178">
        <f t="shared" si="52"/>
        <v>0</v>
      </c>
      <c r="AR75" s="178">
        <f t="shared" si="52"/>
        <v>0</v>
      </c>
      <c r="AS75" s="179">
        <f t="shared" si="52"/>
        <v>0</v>
      </c>
      <c r="AT75" s="178">
        <f t="shared" si="52"/>
        <v>0</v>
      </c>
      <c r="AU75" s="178">
        <f t="shared" si="52"/>
        <v>0</v>
      </c>
      <c r="AV75" s="178">
        <f t="shared" si="52"/>
        <v>0</v>
      </c>
      <c r="AW75" s="179">
        <f t="shared" si="52"/>
        <v>0</v>
      </c>
      <c r="AX75" s="178">
        <f t="shared" si="22"/>
        <v>0</v>
      </c>
      <c r="AY75" s="178">
        <f t="shared" si="22"/>
        <v>0</v>
      </c>
      <c r="AZ75" s="179">
        <f t="shared" si="22"/>
        <v>0</v>
      </c>
      <c r="BA75" s="184">
        <f t="shared" si="22"/>
        <v>0</v>
      </c>
      <c r="BB75" s="178">
        <f t="shared" si="22"/>
        <v>0</v>
      </c>
      <c r="BC75" s="184">
        <f t="shared" si="22"/>
        <v>0</v>
      </c>
      <c r="BD75" s="178">
        <f t="shared" si="22"/>
        <v>0</v>
      </c>
      <c r="BE75" s="244">
        <f t="shared" si="3"/>
        <v>0</v>
      </c>
      <c r="BF75" s="245">
        <f t="shared" si="23"/>
        <v>0</v>
      </c>
      <c r="BH75" s="255">
        <f t="shared" si="53"/>
        <v>0</v>
      </c>
      <c r="BI75" s="255">
        <f t="shared" si="54"/>
        <v>0</v>
      </c>
      <c r="BJ75" s="255">
        <f t="shared" si="55"/>
        <v>0</v>
      </c>
      <c r="BK75" s="256">
        <f t="shared" si="56"/>
        <v>0</v>
      </c>
      <c r="BL75" s="262">
        <f t="shared" si="57"/>
        <v>0</v>
      </c>
      <c r="BM75" s="257">
        <f t="shared" si="5"/>
        <v>0</v>
      </c>
      <c r="BO75" s="714" t="str">
        <f t="shared" si="6"/>
        <v/>
      </c>
    </row>
    <row r="76" spans="2:67" ht="15" customHeight="1" x14ac:dyDescent="0.25">
      <c r="B76" s="19">
        <f>B75+1</f>
        <v>5</v>
      </c>
      <c r="C76" s="845" t="s">
        <v>591</v>
      </c>
      <c r="D76" s="76" t="s">
        <v>592</v>
      </c>
      <c r="E76" s="105" t="s">
        <v>109</v>
      </c>
      <c r="G76" s="477">
        <f>'[15]JSO (t)'!G74</f>
        <v>0</v>
      </c>
      <c r="H76" s="479"/>
      <c r="I76" s="483">
        <f>'[15]JSO (t)'!I74</f>
        <v>4.4000000000000003E-3</v>
      </c>
      <c r="J76" s="461"/>
      <c r="K76" s="484">
        <f>'[15]JSO (t)'!K74</f>
        <v>2.8E-3</v>
      </c>
      <c r="L76" s="461"/>
      <c r="M76" s="461"/>
      <c r="N76" s="461"/>
      <c r="O76" s="462"/>
      <c r="P76" s="461"/>
      <c r="Q76" s="461"/>
      <c r="R76" s="462"/>
      <c r="S76" s="478">
        <f>'[15]JSO (t)'!S74</f>
        <v>0</v>
      </c>
      <c r="T76" s="483">
        <f>'[15]JSO (t)'!T74</f>
        <v>0</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0</v>
      </c>
      <c r="AP76" s="184">
        <f t="shared" si="52"/>
        <v>0</v>
      </c>
      <c r="AQ76" s="178">
        <f t="shared" si="52"/>
        <v>26.84</v>
      </c>
      <c r="AR76" s="178">
        <f t="shared" si="52"/>
        <v>0</v>
      </c>
      <c r="AS76" s="179">
        <f t="shared" si="52"/>
        <v>13.44</v>
      </c>
      <c r="AT76" s="178">
        <f t="shared" si="52"/>
        <v>0</v>
      </c>
      <c r="AU76" s="178">
        <f t="shared" si="52"/>
        <v>0</v>
      </c>
      <c r="AV76" s="178">
        <f t="shared" si="52"/>
        <v>0</v>
      </c>
      <c r="AW76" s="179">
        <f t="shared" si="52"/>
        <v>0</v>
      </c>
      <c r="AX76" s="178">
        <f t="shared" si="22"/>
        <v>0</v>
      </c>
      <c r="AY76" s="178">
        <f t="shared" si="22"/>
        <v>0</v>
      </c>
      <c r="AZ76" s="179">
        <f t="shared" si="22"/>
        <v>0</v>
      </c>
      <c r="BA76" s="184">
        <f t="shared" si="22"/>
        <v>0</v>
      </c>
      <c r="BB76" s="178">
        <f t="shared" si="22"/>
        <v>0</v>
      </c>
      <c r="BC76" s="184">
        <f t="shared" si="22"/>
        <v>0</v>
      </c>
      <c r="BD76" s="178">
        <f t="shared" si="22"/>
        <v>0</v>
      </c>
      <c r="BE76" s="244">
        <f t="shared" si="3"/>
        <v>24</v>
      </c>
      <c r="BF76" s="245">
        <f t="shared" si="23"/>
        <v>10900</v>
      </c>
      <c r="BH76" s="255">
        <f t="shared" si="53"/>
        <v>0</v>
      </c>
      <c r="BI76" s="255">
        <f t="shared" si="54"/>
        <v>40.28</v>
      </c>
      <c r="BJ76" s="255">
        <f t="shared" si="55"/>
        <v>0</v>
      </c>
      <c r="BK76" s="256">
        <f t="shared" si="56"/>
        <v>0</v>
      </c>
      <c r="BL76" s="262">
        <f t="shared" si="57"/>
        <v>0</v>
      </c>
      <c r="BM76" s="257">
        <f t="shared" si="5"/>
        <v>40.28</v>
      </c>
      <c r="BO76" s="714">
        <f t="shared" si="6"/>
        <v>3.6954128440366971</v>
      </c>
    </row>
    <row r="77" spans="2:67" ht="15" customHeight="1" x14ac:dyDescent="0.25">
      <c r="B77" s="19">
        <f>B76+1</f>
        <v>6</v>
      </c>
      <c r="C77" s="44" t="s">
        <v>593</v>
      </c>
      <c r="D77" s="45" t="s">
        <v>594</v>
      </c>
      <c r="E77" s="105" t="s">
        <v>110</v>
      </c>
      <c r="G77" s="477">
        <f>'[15]JSO (t)'!G75</f>
        <v>0</v>
      </c>
      <c r="H77" s="479"/>
      <c r="I77" s="483">
        <f>'[15]JSO (t)'!I75</f>
        <v>0</v>
      </c>
      <c r="J77" s="461"/>
      <c r="K77" s="484">
        <f>'[15]JSO (t)'!K75</f>
        <v>0</v>
      </c>
      <c r="L77" s="461"/>
      <c r="M77" s="461"/>
      <c r="N77" s="461"/>
      <c r="O77" s="462"/>
      <c r="P77" s="461"/>
      <c r="Q77" s="461"/>
      <c r="R77" s="462"/>
      <c r="S77" s="478">
        <f>'[15]JSO (t)'!S75</f>
        <v>0</v>
      </c>
      <c r="T77" s="484">
        <f>'[15]JSO (t)'!T75</f>
        <v>0</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52"/>
        <v>0</v>
      </c>
      <c r="AQ77" s="178">
        <f t="shared" si="52"/>
        <v>0</v>
      </c>
      <c r="AR77" s="178">
        <f t="shared" si="52"/>
        <v>0</v>
      </c>
      <c r="AS77" s="179">
        <f t="shared" si="52"/>
        <v>0</v>
      </c>
      <c r="AT77" s="178">
        <f t="shared" si="52"/>
        <v>0</v>
      </c>
      <c r="AU77" s="178">
        <f t="shared" si="52"/>
        <v>0</v>
      </c>
      <c r="AV77" s="178">
        <f t="shared" si="52"/>
        <v>0</v>
      </c>
      <c r="AW77" s="179">
        <f t="shared" si="52"/>
        <v>0</v>
      </c>
      <c r="AX77" s="178">
        <f t="shared" si="22"/>
        <v>0</v>
      </c>
      <c r="AY77" s="178">
        <f t="shared" si="22"/>
        <v>0</v>
      </c>
      <c r="AZ77" s="179">
        <f t="shared" si="22"/>
        <v>0</v>
      </c>
      <c r="BA77" s="184">
        <f t="shared" si="22"/>
        <v>0</v>
      </c>
      <c r="BB77" s="178">
        <f t="shared" si="22"/>
        <v>0</v>
      </c>
      <c r="BC77" s="184">
        <f t="shared" si="22"/>
        <v>0</v>
      </c>
      <c r="BD77" s="178">
        <f t="shared" si="22"/>
        <v>0</v>
      </c>
      <c r="BE77" s="244">
        <f t="shared" si="3"/>
        <v>9</v>
      </c>
      <c r="BF77" s="245">
        <f t="shared" si="23"/>
        <v>2700</v>
      </c>
      <c r="BH77" s="255">
        <f t="shared" si="53"/>
        <v>0</v>
      </c>
      <c r="BI77" s="255">
        <f t="shared" si="54"/>
        <v>0</v>
      </c>
      <c r="BJ77" s="255">
        <f t="shared" si="55"/>
        <v>0</v>
      </c>
      <c r="BK77" s="256">
        <f t="shared" si="56"/>
        <v>0</v>
      </c>
      <c r="BL77" s="262">
        <f t="shared" si="57"/>
        <v>0</v>
      </c>
      <c r="BM77" s="257">
        <f t="shared" si="5"/>
        <v>0</v>
      </c>
      <c r="BO77" s="714">
        <f t="shared" si="6"/>
        <v>0</v>
      </c>
    </row>
    <row r="78" spans="2:67" ht="15" customHeight="1" x14ac:dyDescent="0.25">
      <c r="B78" s="19"/>
      <c r="C78" s="785"/>
      <c r="D78" s="772"/>
      <c r="E78" s="836"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52"/>
        <v>0</v>
      </c>
      <c r="AQ78" s="178">
        <f t="shared" si="52"/>
        <v>0</v>
      </c>
      <c r="AR78" s="178">
        <f t="shared" si="52"/>
        <v>0</v>
      </c>
      <c r="AS78" s="179">
        <f t="shared" si="52"/>
        <v>0</v>
      </c>
      <c r="AT78" s="178">
        <f t="shared" si="52"/>
        <v>0</v>
      </c>
      <c r="AU78" s="178">
        <f t="shared" si="52"/>
        <v>0</v>
      </c>
      <c r="AV78" s="178">
        <f t="shared" si="52"/>
        <v>0</v>
      </c>
      <c r="AW78" s="179">
        <f t="shared" si="52"/>
        <v>0</v>
      </c>
      <c r="AX78" s="178">
        <f t="shared" si="22"/>
        <v>0</v>
      </c>
      <c r="AY78" s="178">
        <f t="shared" si="22"/>
        <v>0</v>
      </c>
      <c r="AZ78" s="179">
        <f t="shared" si="22"/>
        <v>0</v>
      </c>
      <c r="BA78" s="184">
        <f t="shared" si="22"/>
        <v>0</v>
      </c>
      <c r="BB78" s="178">
        <f t="shared" si="22"/>
        <v>0</v>
      </c>
      <c r="BC78" s="184">
        <f t="shared" si="22"/>
        <v>0</v>
      </c>
      <c r="BD78" s="178">
        <f t="shared" si="22"/>
        <v>0</v>
      </c>
      <c r="BE78" s="244">
        <f t="shared" si="3"/>
        <v>0</v>
      </c>
      <c r="BF78" s="245">
        <f t="shared" si="23"/>
        <v>0</v>
      </c>
      <c r="BH78" s="255">
        <f t="shared" si="53"/>
        <v>0</v>
      </c>
      <c r="BI78" s="255">
        <f t="shared" si="54"/>
        <v>0</v>
      </c>
      <c r="BJ78" s="255">
        <f t="shared" si="55"/>
        <v>0</v>
      </c>
      <c r="BK78" s="256">
        <f t="shared" si="56"/>
        <v>0</v>
      </c>
      <c r="BL78" s="262">
        <f t="shared" si="57"/>
        <v>0</v>
      </c>
      <c r="BM78" s="257">
        <f t="shared" si="5"/>
        <v>0</v>
      </c>
      <c r="BO78" s="714" t="str">
        <f t="shared" si="6"/>
        <v/>
      </c>
    </row>
    <row r="79" spans="2:67" ht="15" customHeight="1" x14ac:dyDescent="0.25">
      <c r="B79" s="19">
        <f>B77+1</f>
        <v>7</v>
      </c>
      <c r="C79" s="833" t="s">
        <v>553</v>
      </c>
      <c r="D79" s="45"/>
      <c r="E79" s="835" t="s">
        <v>104</v>
      </c>
      <c r="G79" s="477">
        <f>'[15]JSO (t)'!G77</f>
        <v>0</v>
      </c>
      <c r="H79" s="479"/>
      <c r="I79" s="483">
        <f>'[15]JSO (t)'!I77</f>
        <v>4.4000000000000003E-3</v>
      </c>
      <c r="J79" s="461"/>
      <c r="K79" s="484">
        <f>'[15]JSO (t)'!K77</f>
        <v>2.8E-3</v>
      </c>
      <c r="L79" s="461"/>
      <c r="M79" s="461"/>
      <c r="N79" s="461"/>
      <c r="O79" s="462"/>
      <c r="P79" s="461"/>
      <c r="Q79" s="461"/>
      <c r="R79" s="462"/>
      <c r="S79" s="478">
        <f>'[15]JSO (t)'!S77</f>
        <v>0</v>
      </c>
      <c r="T79" s="483">
        <f>'[15]JSO (t)'!T77</f>
        <v>0</v>
      </c>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52"/>
        <v>0</v>
      </c>
      <c r="AQ79" s="178">
        <f t="shared" si="52"/>
        <v>0</v>
      </c>
      <c r="AR79" s="178">
        <f t="shared" si="52"/>
        <v>0</v>
      </c>
      <c r="AS79" s="179">
        <f t="shared" si="52"/>
        <v>0</v>
      </c>
      <c r="AT79" s="178">
        <f t="shared" si="52"/>
        <v>0</v>
      </c>
      <c r="AU79" s="178">
        <f t="shared" si="52"/>
        <v>0</v>
      </c>
      <c r="AV79" s="178">
        <f t="shared" si="52"/>
        <v>0</v>
      </c>
      <c r="AW79" s="179">
        <f t="shared" si="52"/>
        <v>0</v>
      </c>
      <c r="AX79" s="178">
        <f t="shared" si="22"/>
        <v>0</v>
      </c>
      <c r="AY79" s="178">
        <f t="shared" si="22"/>
        <v>0</v>
      </c>
      <c r="AZ79" s="179">
        <f t="shared" si="22"/>
        <v>0</v>
      </c>
      <c r="BA79" s="184">
        <f t="shared" si="22"/>
        <v>0</v>
      </c>
      <c r="BB79" s="178">
        <f t="shared" si="22"/>
        <v>0</v>
      </c>
      <c r="BC79" s="184">
        <f t="shared" si="22"/>
        <v>0</v>
      </c>
      <c r="BD79" s="178">
        <f t="shared" si="22"/>
        <v>0</v>
      </c>
      <c r="BE79" s="244">
        <f t="shared" si="3"/>
        <v>0</v>
      </c>
      <c r="BF79" s="245">
        <f t="shared" si="23"/>
        <v>0</v>
      </c>
      <c r="BH79" s="255">
        <f t="shared" si="53"/>
        <v>0</v>
      </c>
      <c r="BI79" s="255">
        <f t="shared" si="54"/>
        <v>0</v>
      </c>
      <c r="BJ79" s="255">
        <f t="shared" si="55"/>
        <v>0</v>
      </c>
      <c r="BK79" s="256">
        <f t="shared" si="56"/>
        <v>0</v>
      </c>
      <c r="BL79" s="262">
        <f t="shared" si="57"/>
        <v>0</v>
      </c>
      <c r="BM79" s="257">
        <f t="shared" si="5"/>
        <v>0</v>
      </c>
      <c r="BO79" s="714" t="str">
        <f t="shared" si="6"/>
        <v/>
      </c>
    </row>
    <row r="80" spans="2:67" ht="15" customHeight="1" x14ac:dyDescent="0.25">
      <c r="B80" s="19">
        <f t="shared" ref="B80:B93" si="58">B79+1</f>
        <v>8</v>
      </c>
      <c r="C80" s="833" t="s">
        <v>554</v>
      </c>
      <c r="D80" s="45"/>
      <c r="E80" s="835" t="s">
        <v>104</v>
      </c>
      <c r="G80" s="477">
        <f>'[15]JSO (t)'!G78</f>
        <v>0</v>
      </c>
      <c r="H80" s="479"/>
      <c r="I80" s="483">
        <f>'[15]JSO (t)'!I78</f>
        <v>4.4000000000000003E-3</v>
      </c>
      <c r="J80" s="461"/>
      <c r="K80" s="484">
        <f>'[15]JSO (t)'!K78</f>
        <v>2.8E-3</v>
      </c>
      <c r="L80" s="461"/>
      <c r="M80" s="461"/>
      <c r="N80" s="461"/>
      <c r="O80" s="462"/>
      <c r="P80" s="461"/>
      <c r="Q80" s="461"/>
      <c r="R80" s="462"/>
      <c r="S80" s="478">
        <f>'[15]JSO (t)'!S78</f>
        <v>0</v>
      </c>
      <c r="T80" s="483">
        <f>'[15]JSO (t)'!T78</f>
        <v>0</v>
      </c>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si="2"/>
        <v>0</v>
      </c>
      <c r="AP80" s="184">
        <f t="shared" si="52"/>
        <v>0</v>
      </c>
      <c r="AQ80" s="178">
        <f t="shared" si="52"/>
        <v>0</v>
      </c>
      <c r="AR80" s="178">
        <f t="shared" si="52"/>
        <v>0</v>
      </c>
      <c r="AS80" s="179">
        <f t="shared" si="52"/>
        <v>0</v>
      </c>
      <c r="AT80" s="178">
        <f t="shared" si="52"/>
        <v>0</v>
      </c>
      <c r="AU80" s="178">
        <f t="shared" si="52"/>
        <v>0</v>
      </c>
      <c r="AV80" s="178">
        <f t="shared" si="52"/>
        <v>0</v>
      </c>
      <c r="AW80" s="179">
        <f t="shared" si="52"/>
        <v>0</v>
      </c>
      <c r="AX80" s="178">
        <f t="shared" si="22"/>
        <v>0</v>
      </c>
      <c r="AY80" s="178">
        <f t="shared" si="22"/>
        <v>0</v>
      </c>
      <c r="AZ80" s="179">
        <f t="shared" si="22"/>
        <v>0</v>
      </c>
      <c r="BA80" s="184">
        <f t="shared" si="22"/>
        <v>0</v>
      </c>
      <c r="BB80" s="178">
        <f t="shared" si="22"/>
        <v>0</v>
      </c>
      <c r="BC80" s="184">
        <f t="shared" si="22"/>
        <v>0</v>
      </c>
      <c r="BD80" s="178">
        <f t="shared" si="22"/>
        <v>0</v>
      </c>
      <c r="BE80" s="244">
        <f t="shared" si="3"/>
        <v>0</v>
      </c>
      <c r="BF80" s="245">
        <f t="shared" ref="BF80:BF111" si="59">SUM(Y80:AF80)</f>
        <v>0</v>
      </c>
      <c r="BH80" s="255">
        <f t="shared" si="53"/>
        <v>0</v>
      </c>
      <c r="BI80" s="255">
        <f t="shared" si="54"/>
        <v>0</v>
      </c>
      <c r="BJ80" s="255">
        <f t="shared" si="55"/>
        <v>0</v>
      </c>
      <c r="BK80" s="256">
        <f t="shared" si="56"/>
        <v>0</v>
      </c>
      <c r="BL80" s="262">
        <f t="shared" si="57"/>
        <v>0</v>
      </c>
      <c r="BM80" s="257">
        <f t="shared" ref="BM80:BM129" si="60">SUM(BH80:BL80)</f>
        <v>0</v>
      </c>
      <c r="BO80" s="714" t="str">
        <f t="shared" si="6"/>
        <v/>
      </c>
    </row>
    <row r="81" spans="2:67" ht="15" customHeight="1" x14ac:dyDescent="0.25">
      <c r="B81" s="19">
        <f t="shared" si="58"/>
        <v>9</v>
      </c>
      <c r="C81" s="44" t="s">
        <v>566</v>
      </c>
      <c r="D81" s="45"/>
      <c r="E81" s="105" t="s">
        <v>104</v>
      </c>
      <c r="G81" s="477">
        <f>'[15]JSO (t)'!G79</f>
        <v>0</v>
      </c>
      <c r="H81" s="479"/>
      <c r="I81" s="483">
        <f>'[15]JSO (t)'!I79</f>
        <v>4.4000000000000003E-3</v>
      </c>
      <c r="J81" s="461"/>
      <c r="K81" s="484">
        <f>'[15]JSO (t)'!K79</f>
        <v>2.8E-3</v>
      </c>
      <c r="L81" s="461"/>
      <c r="M81" s="461"/>
      <c r="N81" s="461"/>
      <c r="O81" s="462"/>
      <c r="P81" s="461"/>
      <c r="Q81" s="461"/>
      <c r="R81" s="462"/>
      <c r="S81" s="478">
        <f>'[15]JSO (t)'!S79</f>
        <v>0</v>
      </c>
      <c r="T81" s="483">
        <f>'[15]JSO (t)'!T79</f>
        <v>0</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ref="AO81:AO129" si="61">G81*X81/1000</f>
        <v>0</v>
      </c>
      <c r="AP81" s="184">
        <f t="shared" si="52"/>
        <v>0</v>
      </c>
      <c r="AQ81" s="178">
        <f t="shared" si="52"/>
        <v>28.072000000000003</v>
      </c>
      <c r="AR81" s="178">
        <f t="shared" si="52"/>
        <v>0</v>
      </c>
      <c r="AS81" s="179">
        <f t="shared" si="52"/>
        <v>38.869599999999998</v>
      </c>
      <c r="AT81" s="178">
        <f t="shared" si="52"/>
        <v>0</v>
      </c>
      <c r="AU81" s="178">
        <f t="shared" si="52"/>
        <v>0</v>
      </c>
      <c r="AV81" s="178">
        <f t="shared" si="52"/>
        <v>0</v>
      </c>
      <c r="AW81" s="179">
        <f t="shared" si="52"/>
        <v>0</v>
      </c>
      <c r="AX81" s="178">
        <f t="shared" si="22"/>
        <v>0</v>
      </c>
      <c r="AY81" s="178">
        <f t="shared" si="22"/>
        <v>0</v>
      </c>
      <c r="AZ81" s="179">
        <f t="shared" si="22"/>
        <v>0</v>
      </c>
      <c r="BA81" s="184">
        <f t="shared" si="22"/>
        <v>0</v>
      </c>
      <c r="BB81" s="178">
        <f t="shared" si="22"/>
        <v>0</v>
      </c>
      <c r="BC81" s="184">
        <f t="shared" si="22"/>
        <v>0</v>
      </c>
      <c r="BD81" s="178">
        <f t="shared" si="22"/>
        <v>0</v>
      </c>
      <c r="BE81" s="244">
        <f t="shared" ref="BE81:BE129" si="62">X81/$BE$7</f>
        <v>1</v>
      </c>
      <c r="BF81" s="245">
        <f t="shared" si="59"/>
        <v>20262</v>
      </c>
      <c r="BH81" s="255">
        <f t="shared" si="53"/>
        <v>0</v>
      </c>
      <c r="BI81" s="255">
        <f t="shared" si="54"/>
        <v>66.941599999999994</v>
      </c>
      <c r="BJ81" s="255">
        <f t="shared" si="55"/>
        <v>0</v>
      </c>
      <c r="BK81" s="256">
        <f t="shared" si="56"/>
        <v>0</v>
      </c>
      <c r="BL81" s="262">
        <f t="shared" si="57"/>
        <v>0</v>
      </c>
      <c r="BM81" s="257">
        <f t="shared" si="60"/>
        <v>66.941599999999994</v>
      </c>
      <c r="BO81" s="714">
        <f t="shared" ref="BO81:BO129" si="63">IF(BF81=0,"",BM81*1000/BF81)</f>
        <v>3.3038002171552656</v>
      </c>
    </row>
    <row r="82" spans="2:67" ht="15" customHeight="1" x14ac:dyDescent="0.25">
      <c r="B82" s="19">
        <f t="shared" si="58"/>
        <v>10</v>
      </c>
      <c r="C82" s="833" t="s">
        <v>555</v>
      </c>
      <c r="D82" s="45"/>
      <c r="E82" s="835" t="s">
        <v>104</v>
      </c>
      <c r="G82" s="477">
        <f>'[15]JSO (t)'!G80</f>
        <v>0</v>
      </c>
      <c r="H82" s="479"/>
      <c r="I82" s="483">
        <f>'[15]JSO (t)'!I80</f>
        <v>4.4000000000000003E-3</v>
      </c>
      <c r="J82" s="461"/>
      <c r="K82" s="484">
        <f>'[15]JSO (t)'!K80</f>
        <v>2.8E-3</v>
      </c>
      <c r="L82" s="461"/>
      <c r="M82" s="461"/>
      <c r="N82" s="461"/>
      <c r="O82" s="462"/>
      <c r="P82" s="461"/>
      <c r="Q82" s="461"/>
      <c r="R82" s="462"/>
      <c r="S82" s="478">
        <f>'[15]JSO (t)'!S80</f>
        <v>0</v>
      </c>
      <c r="T82" s="483">
        <f>'[15]JSO (t)'!T80</f>
        <v>0</v>
      </c>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61"/>
        <v>0</v>
      </c>
      <c r="AP82" s="184">
        <f t="shared" si="52"/>
        <v>0</v>
      </c>
      <c r="AQ82" s="178">
        <f t="shared" si="52"/>
        <v>0</v>
      </c>
      <c r="AR82" s="178">
        <f t="shared" si="52"/>
        <v>0</v>
      </c>
      <c r="AS82" s="179">
        <f t="shared" si="52"/>
        <v>0</v>
      </c>
      <c r="AT82" s="178">
        <f t="shared" si="52"/>
        <v>0</v>
      </c>
      <c r="AU82" s="178">
        <f t="shared" si="52"/>
        <v>0</v>
      </c>
      <c r="AV82" s="178">
        <f t="shared" si="52"/>
        <v>0</v>
      </c>
      <c r="AW82" s="179">
        <f t="shared" si="52"/>
        <v>0</v>
      </c>
      <c r="AX82" s="178">
        <f t="shared" si="22"/>
        <v>0</v>
      </c>
      <c r="AY82" s="178">
        <f t="shared" si="22"/>
        <v>0</v>
      </c>
      <c r="AZ82" s="179">
        <f t="shared" si="22"/>
        <v>0</v>
      </c>
      <c r="BA82" s="184">
        <f t="shared" si="22"/>
        <v>0</v>
      </c>
      <c r="BB82" s="178">
        <f t="shared" si="22"/>
        <v>0</v>
      </c>
      <c r="BC82" s="184">
        <f t="shared" si="22"/>
        <v>0</v>
      </c>
      <c r="BD82" s="178">
        <f t="shared" si="22"/>
        <v>0</v>
      </c>
      <c r="BE82" s="244">
        <f t="shared" si="62"/>
        <v>0</v>
      </c>
      <c r="BF82" s="245">
        <f t="shared" si="59"/>
        <v>0</v>
      </c>
      <c r="BH82" s="255">
        <f t="shared" si="53"/>
        <v>0</v>
      </c>
      <c r="BI82" s="255">
        <f t="shared" si="54"/>
        <v>0</v>
      </c>
      <c r="BJ82" s="255">
        <f t="shared" si="55"/>
        <v>0</v>
      </c>
      <c r="BK82" s="256">
        <f t="shared" si="56"/>
        <v>0</v>
      </c>
      <c r="BL82" s="262">
        <f t="shared" si="57"/>
        <v>0</v>
      </c>
      <c r="BM82" s="257">
        <f t="shared" si="60"/>
        <v>0</v>
      </c>
      <c r="BO82" s="714" t="str">
        <f t="shared" si="63"/>
        <v/>
      </c>
    </row>
    <row r="83" spans="2:67" ht="15" customHeight="1" x14ac:dyDescent="0.25">
      <c r="B83" s="19">
        <f t="shared" si="58"/>
        <v>11</v>
      </c>
      <c r="C83" s="833" t="s">
        <v>556</v>
      </c>
      <c r="D83" s="45"/>
      <c r="E83" s="835" t="s">
        <v>104</v>
      </c>
      <c r="G83" s="477">
        <f>'[15]JSO (t)'!G81</f>
        <v>0</v>
      </c>
      <c r="H83" s="479"/>
      <c r="I83" s="483">
        <f>'[15]JSO (t)'!I81</f>
        <v>4.4000000000000003E-3</v>
      </c>
      <c r="J83" s="461"/>
      <c r="K83" s="484">
        <f>'[15]JSO (t)'!K81</f>
        <v>2.8E-3</v>
      </c>
      <c r="L83" s="461"/>
      <c r="M83" s="461"/>
      <c r="N83" s="461"/>
      <c r="O83" s="462"/>
      <c r="P83" s="461"/>
      <c r="Q83" s="461"/>
      <c r="R83" s="462"/>
      <c r="S83" s="478">
        <f>'[15]JSO (t)'!S81</f>
        <v>0</v>
      </c>
      <c r="T83" s="483">
        <f>'[15]JSO (t)'!T81</f>
        <v>0</v>
      </c>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61"/>
        <v>0</v>
      </c>
      <c r="AP83" s="184">
        <f t="shared" si="52"/>
        <v>0</v>
      </c>
      <c r="AQ83" s="178">
        <f t="shared" si="52"/>
        <v>0</v>
      </c>
      <c r="AR83" s="178">
        <f t="shared" si="52"/>
        <v>0</v>
      </c>
      <c r="AS83" s="179">
        <f t="shared" si="52"/>
        <v>0</v>
      </c>
      <c r="AT83" s="178">
        <f t="shared" si="52"/>
        <v>0</v>
      </c>
      <c r="AU83" s="178">
        <f t="shared" si="52"/>
        <v>0</v>
      </c>
      <c r="AV83" s="178">
        <f t="shared" si="52"/>
        <v>0</v>
      </c>
      <c r="AW83" s="179">
        <f t="shared" si="52"/>
        <v>0</v>
      </c>
      <c r="AX83" s="178">
        <f t="shared" si="22"/>
        <v>0</v>
      </c>
      <c r="AY83" s="178">
        <f t="shared" si="22"/>
        <v>0</v>
      </c>
      <c r="AZ83" s="179">
        <f t="shared" si="22"/>
        <v>0</v>
      </c>
      <c r="BA83" s="184">
        <f t="shared" si="22"/>
        <v>0</v>
      </c>
      <c r="BB83" s="178">
        <f t="shared" si="22"/>
        <v>0</v>
      </c>
      <c r="BC83" s="184">
        <f t="shared" si="22"/>
        <v>0</v>
      </c>
      <c r="BD83" s="178">
        <f t="shared" si="22"/>
        <v>0</v>
      </c>
      <c r="BE83" s="244">
        <f t="shared" si="62"/>
        <v>0</v>
      </c>
      <c r="BF83" s="245">
        <f t="shared" si="59"/>
        <v>0</v>
      </c>
      <c r="BH83" s="255">
        <f t="shared" si="53"/>
        <v>0</v>
      </c>
      <c r="BI83" s="255">
        <f t="shared" si="54"/>
        <v>0</v>
      </c>
      <c r="BJ83" s="255">
        <f t="shared" si="55"/>
        <v>0</v>
      </c>
      <c r="BK83" s="256">
        <f t="shared" si="56"/>
        <v>0</v>
      </c>
      <c r="BL83" s="262">
        <f t="shared" si="57"/>
        <v>0</v>
      </c>
      <c r="BM83" s="257">
        <f t="shared" si="60"/>
        <v>0</v>
      </c>
      <c r="BO83" s="714" t="str">
        <f t="shared" si="63"/>
        <v/>
      </c>
    </row>
    <row r="84" spans="2:67" ht="15" customHeight="1" x14ac:dyDescent="0.25">
      <c r="B84" s="19">
        <f t="shared" si="58"/>
        <v>12</v>
      </c>
      <c r="C84" s="833" t="s">
        <v>557</v>
      </c>
      <c r="D84" s="45"/>
      <c r="E84" s="835" t="s">
        <v>104</v>
      </c>
      <c r="G84" s="477">
        <f>'[15]JSO (t)'!G82</f>
        <v>0</v>
      </c>
      <c r="H84" s="479"/>
      <c r="I84" s="483">
        <f>'[15]JSO (t)'!I82</f>
        <v>4.4000000000000003E-3</v>
      </c>
      <c r="J84" s="461"/>
      <c r="K84" s="484">
        <f>'[15]JSO (t)'!K82</f>
        <v>2.8E-3</v>
      </c>
      <c r="L84" s="461"/>
      <c r="M84" s="461"/>
      <c r="N84" s="461"/>
      <c r="O84" s="462"/>
      <c r="P84" s="461"/>
      <c r="Q84" s="461"/>
      <c r="R84" s="462"/>
      <c r="S84" s="478">
        <f>'[15]JSO (t)'!S82</f>
        <v>0</v>
      </c>
      <c r="T84" s="483">
        <f>'[15]JSO (t)'!T82</f>
        <v>0</v>
      </c>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61"/>
        <v>0</v>
      </c>
      <c r="AP84" s="184">
        <f t="shared" ref="AP84:AW100" si="64">H84*Y84</f>
        <v>0</v>
      </c>
      <c r="AQ84" s="178">
        <f t="shared" si="64"/>
        <v>0</v>
      </c>
      <c r="AR84" s="178">
        <f t="shared" si="64"/>
        <v>0</v>
      </c>
      <c r="AS84" s="179">
        <f t="shared" si="64"/>
        <v>0</v>
      </c>
      <c r="AT84" s="178">
        <f t="shared" si="64"/>
        <v>0</v>
      </c>
      <c r="AU84" s="178">
        <f t="shared" si="64"/>
        <v>0</v>
      </c>
      <c r="AV84" s="178">
        <f t="shared" si="64"/>
        <v>0</v>
      </c>
      <c r="AW84" s="179">
        <f t="shared" si="64"/>
        <v>0</v>
      </c>
      <c r="AX84" s="178">
        <f t="shared" si="22"/>
        <v>0</v>
      </c>
      <c r="AY84" s="178">
        <f t="shared" si="22"/>
        <v>0</v>
      </c>
      <c r="AZ84" s="179">
        <f t="shared" si="22"/>
        <v>0</v>
      </c>
      <c r="BA84" s="184">
        <f t="shared" si="22"/>
        <v>0</v>
      </c>
      <c r="BB84" s="178">
        <f t="shared" si="22"/>
        <v>0</v>
      </c>
      <c r="BC84" s="184">
        <f t="shared" si="22"/>
        <v>0</v>
      </c>
      <c r="BD84" s="178">
        <f t="shared" si="22"/>
        <v>0</v>
      </c>
      <c r="BE84" s="244">
        <f t="shared" si="62"/>
        <v>0</v>
      </c>
      <c r="BF84" s="245">
        <f t="shared" si="59"/>
        <v>0</v>
      </c>
      <c r="BH84" s="255">
        <f t="shared" si="53"/>
        <v>0</v>
      </c>
      <c r="BI84" s="255">
        <f t="shared" si="54"/>
        <v>0</v>
      </c>
      <c r="BJ84" s="255">
        <f t="shared" si="55"/>
        <v>0</v>
      </c>
      <c r="BK84" s="256">
        <f t="shared" si="56"/>
        <v>0</v>
      </c>
      <c r="BL84" s="262">
        <f t="shared" si="57"/>
        <v>0</v>
      </c>
      <c r="BM84" s="257">
        <f t="shared" si="60"/>
        <v>0</v>
      </c>
      <c r="BO84" s="714" t="str">
        <f t="shared" si="63"/>
        <v/>
      </c>
    </row>
    <row r="85" spans="2:67" ht="15" customHeight="1" x14ac:dyDescent="0.25">
      <c r="B85" s="19">
        <f t="shared" si="58"/>
        <v>13</v>
      </c>
      <c r="C85" s="44" t="s">
        <v>558</v>
      </c>
      <c r="D85" s="45"/>
      <c r="E85" s="105" t="s">
        <v>104</v>
      </c>
      <c r="G85" s="477">
        <f>'[15]JSO (t)'!G83</f>
        <v>0</v>
      </c>
      <c r="H85" s="479"/>
      <c r="I85" s="483">
        <f>'[15]JSO (t)'!I83</f>
        <v>4.4000000000000003E-3</v>
      </c>
      <c r="J85" s="461"/>
      <c r="K85" s="484">
        <f>'[15]JSO (t)'!K83</f>
        <v>2.8E-3</v>
      </c>
      <c r="L85" s="461"/>
      <c r="M85" s="461"/>
      <c r="N85" s="461"/>
      <c r="O85" s="462"/>
      <c r="P85" s="461"/>
      <c r="Q85" s="461"/>
      <c r="R85" s="462"/>
      <c r="S85" s="478">
        <f>'[15]JSO (t)'!S83</f>
        <v>0</v>
      </c>
      <c r="T85" s="483">
        <f>'[15]JSO (t)'!T83</f>
        <v>0</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61"/>
        <v>0</v>
      </c>
      <c r="AP85" s="184">
        <f t="shared" si="64"/>
        <v>0</v>
      </c>
      <c r="AQ85" s="178">
        <f t="shared" si="64"/>
        <v>50.160000000000004</v>
      </c>
      <c r="AR85" s="178">
        <f t="shared" si="64"/>
        <v>0</v>
      </c>
      <c r="AS85" s="179">
        <f t="shared" si="64"/>
        <v>31.919999999999998</v>
      </c>
      <c r="AT85" s="178">
        <f t="shared" si="64"/>
        <v>0</v>
      </c>
      <c r="AU85" s="178">
        <f t="shared" si="64"/>
        <v>0</v>
      </c>
      <c r="AV85" s="178">
        <f t="shared" si="64"/>
        <v>0</v>
      </c>
      <c r="AW85" s="179">
        <f t="shared" si="64"/>
        <v>0</v>
      </c>
      <c r="AX85" s="178">
        <f t="shared" si="22"/>
        <v>0</v>
      </c>
      <c r="AY85" s="178">
        <f t="shared" si="22"/>
        <v>0</v>
      </c>
      <c r="AZ85" s="179">
        <f t="shared" si="22"/>
        <v>0</v>
      </c>
      <c r="BA85" s="184">
        <f t="shared" si="22"/>
        <v>0</v>
      </c>
      <c r="BB85" s="178">
        <f t="shared" si="22"/>
        <v>0</v>
      </c>
      <c r="BC85" s="184">
        <f t="shared" si="22"/>
        <v>0</v>
      </c>
      <c r="BD85" s="178">
        <f t="shared" si="22"/>
        <v>0</v>
      </c>
      <c r="BE85" s="244">
        <f t="shared" si="62"/>
        <v>1</v>
      </c>
      <c r="BF85" s="245">
        <f t="shared" si="59"/>
        <v>22800</v>
      </c>
      <c r="BH85" s="255">
        <f t="shared" si="53"/>
        <v>0</v>
      </c>
      <c r="BI85" s="255">
        <f t="shared" si="54"/>
        <v>82.08</v>
      </c>
      <c r="BJ85" s="255">
        <f t="shared" si="55"/>
        <v>0</v>
      </c>
      <c r="BK85" s="256">
        <f t="shared" si="56"/>
        <v>0</v>
      </c>
      <c r="BL85" s="262">
        <f t="shared" si="57"/>
        <v>0</v>
      </c>
      <c r="BM85" s="257">
        <f t="shared" si="60"/>
        <v>82.08</v>
      </c>
      <c r="BO85" s="714">
        <f t="shared" si="63"/>
        <v>3.6</v>
      </c>
    </row>
    <row r="86" spans="2:67" ht="15" customHeight="1" x14ac:dyDescent="0.25">
      <c r="B86" s="19">
        <f t="shared" si="58"/>
        <v>14</v>
      </c>
      <c r="C86" s="44" t="s">
        <v>631</v>
      </c>
      <c r="D86" s="45"/>
      <c r="E86" s="105" t="s">
        <v>104</v>
      </c>
      <c r="G86" s="477">
        <f>'[15]JSO (t)'!G84</f>
        <v>0</v>
      </c>
      <c r="H86" s="479"/>
      <c r="I86" s="483">
        <f>'[15]JSO (t)'!I84</f>
        <v>4.4000000000000003E-3</v>
      </c>
      <c r="J86" s="461"/>
      <c r="K86" s="484">
        <f>'[15]JSO (t)'!K84</f>
        <v>2.8E-3</v>
      </c>
      <c r="L86" s="461"/>
      <c r="M86" s="461"/>
      <c r="N86" s="461"/>
      <c r="O86" s="462"/>
      <c r="P86" s="461"/>
      <c r="Q86" s="461"/>
      <c r="R86" s="462"/>
      <c r="S86" s="478">
        <f>'[15]JSO (t)'!S84</f>
        <v>0</v>
      </c>
      <c r="T86" s="483">
        <f>'[15]JSO (t)'!T84</f>
        <v>0</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 t="shared" si="61"/>
        <v>0</v>
      </c>
      <c r="AP86" s="184">
        <f t="shared" si="64"/>
        <v>0</v>
      </c>
      <c r="AQ86" s="178">
        <f t="shared" si="64"/>
        <v>45.760000000000005</v>
      </c>
      <c r="AR86" s="178">
        <f t="shared" si="64"/>
        <v>0</v>
      </c>
      <c r="AS86" s="179">
        <f t="shared" si="64"/>
        <v>26.88</v>
      </c>
      <c r="AT86" s="178">
        <f t="shared" si="64"/>
        <v>0</v>
      </c>
      <c r="AU86" s="178">
        <f t="shared" si="64"/>
        <v>0</v>
      </c>
      <c r="AV86" s="178">
        <f t="shared" si="64"/>
        <v>0</v>
      </c>
      <c r="AW86" s="179">
        <f t="shared" si="64"/>
        <v>0</v>
      </c>
      <c r="AX86" s="178">
        <f t="shared" si="22"/>
        <v>0</v>
      </c>
      <c r="AY86" s="178">
        <f t="shared" si="22"/>
        <v>0</v>
      </c>
      <c r="AZ86" s="179">
        <f t="shared" si="22"/>
        <v>0</v>
      </c>
      <c r="BA86" s="184">
        <f t="shared" si="22"/>
        <v>0</v>
      </c>
      <c r="BB86" s="178">
        <f t="shared" si="22"/>
        <v>0</v>
      </c>
      <c r="BC86" s="184">
        <f t="shared" si="22"/>
        <v>0</v>
      </c>
      <c r="BD86" s="178">
        <f t="shared" si="22"/>
        <v>0</v>
      </c>
      <c r="BE86" s="244">
        <f t="shared" si="62"/>
        <v>1</v>
      </c>
      <c r="BF86" s="245">
        <f t="shared" si="59"/>
        <v>20000</v>
      </c>
      <c r="BH86" s="255">
        <f>SUM(AO86)</f>
        <v>0</v>
      </c>
      <c r="BI86" s="255">
        <f>SUM(AP86:AS86)</f>
        <v>72.64</v>
      </c>
      <c r="BJ86" s="255">
        <f>SUM(AT86:AW86)</f>
        <v>0</v>
      </c>
      <c r="BK86" s="256">
        <f>SUM(AX86:BB86)</f>
        <v>0</v>
      </c>
      <c r="BL86" s="262">
        <f>SUM(BC86:BD86)</f>
        <v>0</v>
      </c>
      <c r="BM86" s="257">
        <f t="shared" si="60"/>
        <v>72.64</v>
      </c>
      <c r="BO86" s="714">
        <f t="shared" si="63"/>
        <v>3.6320000000000001</v>
      </c>
    </row>
    <row r="87" spans="2:67" ht="15" customHeight="1" x14ac:dyDescent="0.25">
      <c r="B87" s="19">
        <f t="shared" si="58"/>
        <v>15</v>
      </c>
      <c r="C87" s="833" t="s">
        <v>559</v>
      </c>
      <c r="D87" s="45"/>
      <c r="E87" s="835" t="s">
        <v>104</v>
      </c>
      <c r="G87" s="477">
        <f>'[15]JSO (t)'!G85</f>
        <v>0</v>
      </c>
      <c r="H87" s="479"/>
      <c r="I87" s="483">
        <f>'[15]JSO (t)'!I85</f>
        <v>4.4000000000000003E-3</v>
      </c>
      <c r="J87" s="461"/>
      <c r="K87" s="484">
        <f>'[15]JSO (t)'!K85</f>
        <v>2.8E-3</v>
      </c>
      <c r="L87" s="461"/>
      <c r="M87" s="461"/>
      <c r="N87" s="461"/>
      <c r="O87" s="462"/>
      <c r="P87" s="461"/>
      <c r="Q87" s="461"/>
      <c r="R87" s="462"/>
      <c r="S87" s="478">
        <f>'[15]JSO (t)'!S85</f>
        <v>0</v>
      </c>
      <c r="T87" s="483">
        <f>'[15]JSO (t)'!T85</f>
        <v>0</v>
      </c>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61"/>
        <v>0</v>
      </c>
      <c r="AP87" s="184">
        <f t="shared" si="64"/>
        <v>0</v>
      </c>
      <c r="AQ87" s="178">
        <f t="shared" si="64"/>
        <v>0</v>
      </c>
      <c r="AR87" s="178">
        <f t="shared" si="64"/>
        <v>0</v>
      </c>
      <c r="AS87" s="179">
        <f t="shared" si="64"/>
        <v>0</v>
      </c>
      <c r="AT87" s="178">
        <f t="shared" si="64"/>
        <v>0</v>
      </c>
      <c r="AU87" s="178">
        <f t="shared" si="64"/>
        <v>0</v>
      </c>
      <c r="AV87" s="178">
        <f t="shared" si="64"/>
        <v>0</v>
      </c>
      <c r="AW87" s="179">
        <f t="shared" si="64"/>
        <v>0</v>
      </c>
      <c r="AX87" s="178">
        <f t="shared" si="22"/>
        <v>0</v>
      </c>
      <c r="AY87" s="178">
        <f t="shared" si="22"/>
        <v>0</v>
      </c>
      <c r="AZ87" s="179">
        <f t="shared" si="22"/>
        <v>0</v>
      </c>
      <c r="BA87" s="184">
        <f t="shared" si="22"/>
        <v>0</v>
      </c>
      <c r="BB87" s="178">
        <f t="shared" si="22"/>
        <v>0</v>
      </c>
      <c r="BC87" s="184">
        <f t="shared" si="22"/>
        <v>0</v>
      </c>
      <c r="BD87" s="178">
        <f t="shared" si="22"/>
        <v>0</v>
      </c>
      <c r="BE87" s="244">
        <f t="shared" si="62"/>
        <v>0</v>
      </c>
      <c r="BF87" s="245">
        <f t="shared" si="59"/>
        <v>0</v>
      </c>
      <c r="BH87" s="255">
        <f t="shared" si="53"/>
        <v>0</v>
      </c>
      <c r="BI87" s="255">
        <f t="shared" si="54"/>
        <v>0</v>
      </c>
      <c r="BJ87" s="255">
        <f t="shared" si="55"/>
        <v>0</v>
      </c>
      <c r="BK87" s="256">
        <f t="shared" si="56"/>
        <v>0</v>
      </c>
      <c r="BL87" s="262">
        <f t="shared" si="57"/>
        <v>0</v>
      </c>
      <c r="BM87" s="257">
        <f t="shared" si="60"/>
        <v>0</v>
      </c>
      <c r="BO87" s="714" t="str">
        <f t="shared" si="63"/>
        <v/>
      </c>
    </row>
    <row r="88" spans="2:67" ht="15" customHeight="1" x14ac:dyDescent="0.25">
      <c r="B88" s="19">
        <f t="shared" si="58"/>
        <v>16</v>
      </c>
      <c r="C88" s="785"/>
      <c r="D88" s="772"/>
      <c r="E88" s="836"/>
      <c r="G88" s="482"/>
      <c r="H88" s="479"/>
      <c r="I88" s="461"/>
      <c r="J88" s="461"/>
      <c r="K88" s="462"/>
      <c r="L88" s="461"/>
      <c r="M88" s="461"/>
      <c r="N88" s="461"/>
      <c r="O88" s="462"/>
      <c r="P88" s="461"/>
      <c r="Q88" s="461"/>
      <c r="R88" s="462"/>
      <c r="S88" s="479"/>
      <c r="T88" s="461"/>
      <c r="U88" s="479"/>
      <c r="V88" s="462"/>
      <c r="X88" s="183"/>
      <c r="Y88" s="184"/>
      <c r="Z88" s="178"/>
      <c r="AA88" s="178"/>
      <c r="AB88" s="179"/>
      <c r="AC88" s="178"/>
      <c r="AD88" s="178"/>
      <c r="AE88" s="178"/>
      <c r="AF88" s="179"/>
      <c r="AG88" s="178"/>
      <c r="AH88" s="178"/>
      <c r="AI88" s="179"/>
      <c r="AJ88" s="184"/>
      <c r="AK88" s="178"/>
      <c r="AL88" s="184"/>
      <c r="AM88" s="179"/>
      <c r="AO88" s="183">
        <f t="shared" si="61"/>
        <v>0</v>
      </c>
      <c r="AP88" s="184">
        <f t="shared" si="64"/>
        <v>0</v>
      </c>
      <c r="AQ88" s="178">
        <f t="shared" si="64"/>
        <v>0</v>
      </c>
      <c r="AR88" s="178">
        <f t="shared" si="64"/>
        <v>0</v>
      </c>
      <c r="AS88" s="179">
        <f t="shared" si="64"/>
        <v>0</v>
      </c>
      <c r="AT88" s="178">
        <f t="shared" si="64"/>
        <v>0</v>
      </c>
      <c r="AU88" s="178">
        <f t="shared" si="64"/>
        <v>0</v>
      </c>
      <c r="AV88" s="178">
        <f t="shared" si="64"/>
        <v>0</v>
      </c>
      <c r="AW88" s="179">
        <f t="shared" si="64"/>
        <v>0</v>
      </c>
      <c r="AX88" s="178">
        <f t="shared" si="22"/>
        <v>0</v>
      </c>
      <c r="AY88" s="178">
        <f t="shared" si="22"/>
        <v>0</v>
      </c>
      <c r="AZ88" s="179">
        <f t="shared" si="22"/>
        <v>0</v>
      </c>
      <c r="BA88" s="184">
        <f t="shared" si="22"/>
        <v>0</v>
      </c>
      <c r="BB88" s="178">
        <f t="shared" si="22"/>
        <v>0</v>
      </c>
      <c r="BC88" s="184">
        <f t="shared" si="22"/>
        <v>0</v>
      </c>
      <c r="BD88" s="178">
        <f t="shared" si="22"/>
        <v>0</v>
      </c>
      <c r="BE88" s="244">
        <f t="shared" si="62"/>
        <v>0</v>
      </c>
      <c r="BF88" s="245">
        <f t="shared" si="59"/>
        <v>0</v>
      </c>
      <c r="BH88" s="255">
        <f t="shared" si="53"/>
        <v>0</v>
      </c>
      <c r="BI88" s="255">
        <f t="shared" si="54"/>
        <v>0</v>
      </c>
      <c r="BJ88" s="255">
        <f t="shared" si="55"/>
        <v>0</v>
      </c>
      <c r="BK88" s="256">
        <f t="shared" si="56"/>
        <v>0</v>
      </c>
      <c r="BL88" s="262">
        <f t="shared" si="57"/>
        <v>0</v>
      </c>
      <c r="BM88" s="257">
        <f t="shared" si="60"/>
        <v>0</v>
      </c>
      <c r="BO88" s="714" t="str">
        <f t="shared" si="63"/>
        <v/>
      </c>
    </row>
    <row r="89" spans="2:67" ht="15" customHeight="1" x14ac:dyDescent="0.25">
      <c r="B89" s="19">
        <f t="shared" si="58"/>
        <v>17</v>
      </c>
      <c r="C89" s="785"/>
      <c r="D89" s="772"/>
      <c r="E89" s="836"/>
      <c r="G89" s="482"/>
      <c r="H89" s="479"/>
      <c r="I89" s="461"/>
      <c r="J89" s="461"/>
      <c r="K89" s="462"/>
      <c r="L89" s="461"/>
      <c r="M89" s="461"/>
      <c r="N89" s="461"/>
      <c r="O89" s="462"/>
      <c r="P89" s="461"/>
      <c r="Q89" s="461"/>
      <c r="R89" s="462"/>
      <c r="S89" s="479"/>
      <c r="T89" s="461"/>
      <c r="U89" s="479"/>
      <c r="V89" s="462"/>
      <c r="X89" s="183"/>
      <c r="Y89" s="184"/>
      <c r="Z89" s="178"/>
      <c r="AA89" s="178"/>
      <c r="AB89" s="179"/>
      <c r="AC89" s="178"/>
      <c r="AD89" s="178"/>
      <c r="AE89" s="178"/>
      <c r="AF89" s="179"/>
      <c r="AG89" s="178"/>
      <c r="AH89" s="178"/>
      <c r="AI89" s="179"/>
      <c r="AJ89" s="184"/>
      <c r="AK89" s="178"/>
      <c r="AL89" s="184"/>
      <c r="AM89" s="179"/>
      <c r="AO89" s="183">
        <f t="shared" si="61"/>
        <v>0</v>
      </c>
      <c r="AP89" s="184">
        <f t="shared" si="64"/>
        <v>0</v>
      </c>
      <c r="AQ89" s="178">
        <f t="shared" si="64"/>
        <v>0</v>
      </c>
      <c r="AR89" s="178">
        <f t="shared" si="64"/>
        <v>0</v>
      </c>
      <c r="AS89" s="179">
        <f t="shared" si="64"/>
        <v>0</v>
      </c>
      <c r="AT89" s="178">
        <f t="shared" si="64"/>
        <v>0</v>
      </c>
      <c r="AU89" s="178">
        <f t="shared" si="64"/>
        <v>0</v>
      </c>
      <c r="AV89" s="178">
        <f t="shared" si="64"/>
        <v>0</v>
      </c>
      <c r="AW89" s="179">
        <f t="shared" si="64"/>
        <v>0</v>
      </c>
      <c r="AX89" s="178">
        <f t="shared" si="22"/>
        <v>0</v>
      </c>
      <c r="AY89" s="178">
        <f t="shared" si="22"/>
        <v>0</v>
      </c>
      <c r="AZ89" s="179">
        <f t="shared" si="22"/>
        <v>0</v>
      </c>
      <c r="BA89" s="184">
        <f t="shared" si="22"/>
        <v>0</v>
      </c>
      <c r="BB89" s="178">
        <f t="shared" si="22"/>
        <v>0</v>
      </c>
      <c r="BC89" s="184">
        <f t="shared" si="22"/>
        <v>0</v>
      </c>
      <c r="BD89" s="178">
        <f t="shared" si="22"/>
        <v>0</v>
      </c>
      <c r="BE89" s="244">
        <f t="shared" si="62"/>
        <v>0</v>
      </c>
      <c r="BF89" s="245">
        <f t="shared" si="59"/>
        <v>0</v>
      </c>
      <c r="BH89" s="255">
        <f t="shared" si="53"/>
        <v>0</v>
      </c>
      <c r="BI89" s="255">
        <f t="shared" si="54"/>
        <v>0</v>
      </c>
      <c r="BJ89" s="255">
        <f t="shared" si="55"/>
        <v>0</v>
      </c>
      <c r="BK89" s="256">
        <f t="shared" si="56"/>
        <v>0</v>
      </c>
      <c r="BL89" s="262">
        <f t="shared" si="57"/>
        <v>0</v>
      </c>
      <c r="BM89" s="257">
        <f t="shared" si="60"/>
        <v>0</v>
      </c>
      <c r="BO89" s="714" t="str">
        <f t="shared" si="63"/>
        <v/>
      </c>
    </row>
    <row r="90" spans="2:67" ht="15" customHeight="1" x14ac:dyDescent="0.25">
      <c r="B90" s="19">
        <f t="shared" si="58"/>
        <v>18</v>
      </c>
      <c r="C90" s="785"/>
      <c r="D90" s="772"/>
      <c r="E90" s="836"/>
      <c r="G90" s="482"/>
      <c r="H90" s="479"/>
      <c r="I90" s="461"/>
      <c r="J90" s="461"/>
      <c r="K90" s="462"/>
      <c r="L90" s="461"/>
      <c r="M90" s="461"/>
      <c r="N90" s="461"/>
      <c r="O90" s="462"/>
      <c r="P90" s="461"/>
      <c r="Q90" s="461"/>
      <c r="R90" s="462"/>
      <c r="S90" s="479"/>
      <c r="T90" s="461"/>
      <c r="U90" s="479"/>
      <c r="V90" s="462"/>
      <c r="X90" s="183"/>
      <c r="Y90" s="184"/>
      <c r="Z90" s="178"/>
      <c r="AA90" s="178"/>
      <c r="AB90" s="179"/>
      <c r="AC90" s="178"/>
      <c r="AD90" s="178"/>
      <c r="AE90" s="178"/>
      <c r="AF90" s="179"/>
      <c r="AG90" s="178"/>
      <c r="AH90" s="178"/>
      <c r="AI90" s="179"/>
      <c r="AJ90" s="184"/>
      <c r="AK90" s="178"/>
      <c r="AL90" s="184"/>
      <c r="AM90" s="179"/>
      <c r="AO90" s="183">
        <f t="shared" si="61"/>
        <v>0</v>
      </c>
      <c r="AP90" s="184">
        <f t="shared" si="64"/>
        <v>0</v>
      </c>
      <c r="AQ90" s="178">
        <f t="shared" si="64"/>
        <v>0</v>
      </c>
      <c r="AR90" s="178">
        <f t="shared" si="64"/>
        <v>0</v>
      </c>
      <c r="AS90" s="179">
        <f t="shared" si="64"/>
        <v>0</v>
      </c>
      <c r="AT90" s="178">
        <f t="shared" si="64"/>
        <v>0</v>
      </c>
      <c r="AU90" s="178">
        <f t="shared" si="64"/>
        <v>0</v>
      </c>
      <c r="AV90" s="178">
        <f t="shared" si="64"/>
        <v>0</v>
      </c>
      <c r="AW90" s="179">
        <f t="shared" si="64"/>
        <v>0</v>
      </c>
      <c r="AX90" s="178">
        <f t="shared" ref="AX90:BD126" si="65">P90*AG90/1000</f>
        <v>0</v>
      </c>
      <c r="AY90" s="178">
        <f t="shared" si="65"/>
        <v>0</v>
      </c>
      <c r="AZ90" s="179">
        <f t="shared" si="65"/>
        <v>0</v>
      </c>
      <c r="BA90" s="184">
        <f t="shared" si="65"/>
        <v>0</v>
      </c>
      <c r="BB90" s="178">
        <f t="shared" si="65"/>
        <v>0</v>
      </c>
      <c r="BC90" s="184">
        <f t="shared" si="65"/>
        <v>0</v>
      </c>
      <c r="BD90" s="178">
        <f t="shared" si="65"/>
        <v>0</v>
      </c>
      <c r="BE90" s="244">
        <f t="shared" si="62"/>
        <v>0</v>
      </c>
      <c r="BF90" s="245">
        <f t="shared" si="59"/>
        <v>0</v>
      </c>
      <c r="BH90" s="255">
        <f t="shared" si="53"/>
        <v>0</v>
      </c>
      <c r="BI90" s="255">
        <f t="shared" si="54"/>
        <v>0</v>
      </c>
      <c r="BJ90" s="255">
        <f t="shared" si="55"/>
        <v>0</v>
      </c>
      <c r="BK90" s="256">
        <f t="shared" si="56"/>
        <v>0</v>
      </c>
      <c r="BL90" s="262">
        <f t="shared" si="57"/>
        <v>0</v>
      </c>
      <c r="BM90" s="257">
        <f t="shared" si="60"/>
        <v>0</v>
      </c>
      <c r="BO90" s="714" t="str">
        <f t="shared" si="63"/>
        <v/>
      </c>
    </row>
    <row r="91" spans="2:67" ht="15" customHeight="1" x14ac:dyDescent="0.25">
      <c r="B91" s="19">
        <f t="shared" si="58"/>
        <v>19</v>
      </c>
      <c r="C91" s="785"/>
      <c r="D91" s="772"/>
      <c r="E91" s="836"/>
      <c r="G91" s="482"/>
      <c r="H91" s="479"/>
      <c r="I91" s="461"/>
      <c r="J91" s="461"/>
      <c r="K91" s="462"/>
      <c r="L91" s="461"/>
      <c r="M91" s="461"/>
      <c r="N91" s="461"/>
      <c r="O91" s="462"/>
      <c r="P91" s="461"/>
      <c r="Q91" s="461"/>
      <c r="R91" s="462"/>
      <c r="S91" s="479"/>
      <c r="T91" s="461"/>
      <c r="U91" s="479"/>
      <c r="V91" s="462"/>
      <c r="X91" s="183"/>
      <c r="Y91" s="184"/>
      <c r="Z91" s="178"/>
      <c r="AA91" s="178"/>
      <c r="AB91" s="179"/>
      <c r="AC91" s="178"/>
      <c r="AD91" s="178"/>
      <c r="AE91" s="178"/>
      <c r="AF91" s="179"/>
      <c r="AG91" s="178"/>
      <c r="AH91" s="178"/>
      <c r="AI91" s="179"/>
      <c r="AJ91" s="184"/>
      <c r="AK91" s="178"/>
      <c r="AL91" s="184"/>
      <c r="AM91" s="179"/>
      <c r="AO91" s="183">
        <f t="shared" si="61"/>
        <v>0</v>
      </c>
      <c r="AP91" s="184">
        <f t="shared" si="64"/>
        <v>0</v>
      </c>
      <c r="AQ91" s="178">
        <f t="shared" si="64"/>
        <v>0</v>
      </c>
      <c r="AR91" s="178">
        <f t="shared" si="64"/>
        <v>0</v>
      </c>
      <c r="AS91" s="179">
        <f t="shared" si="64"/>
        <v>0</v>
      </c>
      <c r="AT91" s="178">
        <f t="shared" si="64"/>
        <v>0</v>
      </c>
      <c r="AU91" s="178">
        <f t="shared" si="64"/>
        <v>0</v>
      </c>
      <c r="AV91" s="178">
        <f t="shared" si="64"/>
        <v>0</v>
      </c>
      <c r="AW91" s="179">
        <f t="shared" si="64"/>
        <v>0</v>
      </c>
      <c r="AX91" s="178">
        <f t="shared" si="65"/>
        <v>0</v>
      </c>
      <c r="AY91" s="178">
        <f t="shared" si="65"/>
        <v>0</v>
      </c>
      <c r="AZ91" s="179">
        <f t="shared" si="65"/>
        <v>0</v>
      </c>
      <c r="BA91" s="184">
        <f t="shared" si="65"/>
        <v>0</v>
      </c>
      <c r="BB91" s="178">
        <f t="shared" si="65"/>
        <v>0</v>
      </c>
      <c r="BC91" s="184">
        <f t="shared" si="65"/>
        <v>0</v>
      </c>
      <c r="BD91" s="178">
        <f t="shared" si="65"/>
        <v>0</v>
      </c>
      <c r="BE91" s="244">
        <f t="shared" si="62"/>
        <v>0</v>
      </c>
      <c r="BF91" s="245">
        <f t="shared" si="59"/>
        <v>0</v>
      </c>
      <c r="BH91" s="255">
        <f t="shared" si="53"/>
        <v>0</v>
      </c>
      <c r="BI91" s="255">
        <f t="shared" si="54"/>
        <v>0</v>
      </c>
      <c r="BJ91" s="255">
        <f t="shared" si="55"/>
        <v>0</v>
      </c>
      <c r="BK91" s="256">
        <f t="shared" si="56"/>
        <v>0</v>
      </c>
      <c r="BL91" s="262">
        <f t="shared" si="57"/>
        <v>0</v>
      </c>
      <c r="BM91" s="257">
        <f t="shared" si="60"/>
        <v>0</v>
      </c>
      <c r="BO91" s="714" t="str">
        <f t="shared" si="63"/>
        <v/>
      </c>
    </row>
    <row r="92" spans="2:67" ht="15" customHeight="1" x14ac:dyDescent="0.25">
      <c r="B92" s="19">
        <f t="shared" si="58"/>
        <v>20</v>
      </c>
      <c r="C92" s="785"/>
      <c r="D92" s="772"/>
      <c r="E92" s="836"/>
      <c r="G92" s="482"/>
      <c r="H92" s="479"/>
      <c r="I92" s="461"/>
      <c r="J92" s="461"/>
      <c r="K92" s="462"/>
      <c r="L92" s="461"/>
      <c r="M92" s="461"/>
      <c r="N92" s="461"/>
      <c r="O92" s="462"/>
      <c r="P92" s="461"/>
      <c r="Q92" s="461"/>
      <c r="R92" s="462"/>
      <c r="S92" s="479"/>
      <c r="T92" s="461"/>
      <c r="U92" s="479"/>
      <c r="V92" s="462"/>
      <c r="X92" s="183"/>
      <c r="Y92" s="184"/>
      <c r="Z92" s="178"/>
      <c r="AA92" s="178"/>
      <c r="AB92" s="179"/>
      <c r="AC92" s="178"/>
      <c r="AD92" s="178"/>
      <c r="AE92" s="178"/>
      <c r="AF92" s="179"/>
      <c r="AG92" s="178"/>
      <c r="AH92" s="178"/>
      <c r="AI92" s="179"/>
      <c r="AJ92" s="184"/>
      <c r="AK92" s="178"/>
      <c r="AL92" s="184"/>
      <c r="AM92" s="179"/>
      <c r="AO92" s="183">
        <f t="shared" si="61"/>
        <v>0</v>
      </c>
      <c r="AP92" s="184">
        <f t="shared" si="64"/>
        <v>0</v>
      </c>
      <c r="AQ92" s="178">
        <f t="shared" si="64"/>
        <v>0</v>
      </c>
      <c r="AR92" s="178">
        <f t="shared" si="64"/>
        <v>0</v>
      </c>
      <c r="AS92" s="179">
        <f t="shared" si="64"/>
        <v>0</v>
      </c>
      <c r="AT92" s="178">
        <f t="shared" si="64"/>
        <v>0</v>
      </c>
      <c r="AU92" s="178">
        <f t="shared" si="64"/>
        <v>0</v>
      </c>
      <c r="AV92" s="178">
        <f t="shared" si="64"/>
        <v>0</v>
      </c>
      <c r="AW92" s="179">
        <f t="shared" si="64"/>
        <v>0</v>
      </c>
      <c r="AX92" s="178">
        <f t="shared" si="65"/>
        <v>0</v>
      </c>
      <c r="AY92" s="178">
        <f t="shared" si="65"/>
        <v>0</v>
      </c>
      <c r="AZ92" s="179">
        <f t="shared" si="65"/>
        <v>0</v>
      </c>
      <c r="BA92" s="184">
        <f t="shared" si="65"/>
        <v>0</v>
      </c>
      <c r="BB92" s="178">
        <f t="shared" si="65"/>
        <v>0</v>
      </c>
      <c r="BC92" s="184">
        <f t="shared" si="65"/>
        <v>0</v>
      </c>
      <c r="BD92" s="178">
        <f t="shared" si="65"/>
        <v>0</v>
      </c>
      <c r="BE92" s="244">
        <f t="shared" si="62"/>
        <v>0</v>
      </c>
      <c r="BF92" s="245">
        <f t="shared" si="59"/>
        <v>0</v>
      </c>
      <c r="BH92" s="255">
        <f t="shared" si="53"/>
        <v>0</v>
      </c>
      <c r="BI92" s="255">
        <f t="shared" si="54"/>
        <v>0</v>
      </c>
      <c r="BJ92" s="255">
        <f t="shared" si="55"/>
        <v>0</v>
      </c>
      <c r="BK92" s="256">
        <f t="shared" si="56"/>
        <v>0</v>
      </c>
      <c r="BL92" s="262">
        <f t="shared" si="57"/>
        <v>0</v>
      </c>
      <c r="BM92" s="257">
        <f t="shared" si="60"/>
        <v>0</v>
      </c>
      <c r="BO92" s="714" t="str">
        <f t="shared" si="63"/>
        <v/>
      </c>
    </row>
    <row r="93" spans="2:67" ht="15" customHeight="1" x14ac:dyDescent="0.25">
      <c r="B93" s="26">
        <f t="shared" si="58"/>
        <v>21</v>
      </c>
      <c r="C93" s="837"/>
      <c r="D93" s="778"/>
      <c r="E93" s="838"/>
      <c r="G93" s="498"/>
      <c r="H93" s="491"/>
      <c r="I93" s="487"/>
      <c r="J93" s="487"/>
      <c r="K93" s="488"/>
      <c r="L93" s="487"/>
      <c r="M93" s="487"/>
      <c r="N93" s="487"/>
      <c r="O93" s="488"/>
      <c r="P93" s="487"/>
      <c r="Q93" s="487"/>
      <c r="R93" s="488"/>
      <c r="S93" s="491"/>
      <c r="T93" s="487"/>
      <c r="U93" s="491"/>
      <c r="V93" s="488"/>
      <c r="X93" s="190"/>
      <c r="Y93" s="197"/>
      <c r="Z93" s="192"/>
      <c r="AA93" s="192"/>
      <c r="AB93" s="193"/>
      <c r="AC93" s="192"/>
      <c r="AD93" s="192"/>
      <c r="AE93" s="192"/>
      <c r="AF93" s="193"/>
      <c r="AG93" s="192"/>
      <c r="AH93" s="192"/>
      <c r="AI93" s="193"/>
      <c r="AJ93" s="197"/>
      <c r="AK93" s="192"/>
      <c r="AL93" s="197"/>
      <c r="AM93" s="193"/>
      <c r="AO93" s="190">
        <f t="shared" si="61"/>
        <v>0</v>
      </c>
      <c r="AP93" s="197">
        <f t="shared" si="64"/>
        <v>0</v>
      </c>
      <c r="AQ93" s="192">
        <f t="shared" si="64"/>
        <v>0</v>
      </c>
      <c r="AR93" s="192">
        <f t="shared" si="64"/>
        <v>0</v>
      </c>
      <c r="AS93" s="193">
        <f t="shared" si="64"/>
        <v>0</v>
      </c>
      <c r="AT93" s="192">
        <f t="shared" si="64"/>
        <v>0</v>
      </c>
      <c r="AU93" s="192">
        <f t="shared" si="64"/>
        <v>0</v>
      </c>
      <c r="AV93" s="192">
        <f t="shared" si="64"/>
        <v>0</v>
      </c>
      <c r="AW93" s="193">
        <f t="shared" si="64"/>
        <v>0</v>
      </c>
      <c r="AX93" s="192">
        <f t="shared" si="65"/>
        <v>0</v>
      </c>
      <c r="AY93" s="192">
        <f t="shared" si="65"/>
        <v>0</v>
      </c>
      <c r="AZ93" s="193">
        <f t="shared" si="65"/>
        <v>0</v>
      </c>
      <c r="BA93" s="197">
        <f t="shared" si="65"/>
        <v>0</v>
      </c>
      <c r="BB93" s="192">
        <f t="shared" si="65"/>
        <v>0</v>
      </c>
      <c r="BC93" s="197">
        <f t="shared" si="65"/>
        <v>0</v>
      </c>
      <c r="BD93" s="192">
        <f t="shared" si="65"/>
        <v>0</v>
      </c>
      <c r="BE93" s="246">
        <f t="shared" si="62"/>
        <v>0</v>
      </c>
      <c r="BF93" s="247">
        <f t="shared" si="59"/>
        <v>0</v>
      </c>
      <c r="BH93" s="255">
        <f>SUM(AO93)</f>
        <v>0</v>
      </c>
      <c r="BI93" s="255">
        <f>SUM(AP93:AS93)</f>
        <v>0</v>
      </c>
      <c r="BJ93" s="255">
        <f>SUM(AT93:AW93)</f>
        <v>0</v>
      </c>
      <c r="BK93" s="256">
        <f>SUM(AX93:BB93)</f>
        <v>0</v>
      </c>
      <c r="BL93" s="262">
        <f>SUM(BC93:BD93)</f>
        <v>0</v>
      </c>
      <c r="BM93" s="257">
        <f t="shared" si="60"/>
        <v>0</v>
      </c>
      <c r="BO93" s="714" t="str">
        <f t="shared" si="63"/>
        <v/>
      </c>
    </row>
    <row r="94" spans="2:67"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c r="Y94" s="184"/>
      <c r="Z94" s="178"/>
      <c r="AA94" s="178"/>
      <c r="AB94" s="179"/>
      <c r="AC94" s="178"/>
      <c r="AD94" s="178"/>
      <c r="AE94" s="178"/>
      <c r="AF94" s="179"/>
      <c r="AG94" s="178"/>
      <c r="AH94" s="178"/>
      <c r="AI94" s="179"/>
      <c r="AJ94" s="184"/>
      <c r="AK94" s="178"/>
      <c r="AL94" s="184"/>
      <c r="AM94" s="179"/>
      <c r="AO94" s="183">
        <f t="shared" si="61"/>
        <v>0</v>
      </c>
      <c r="AP94" s="184">
        <f t="shared" si="64"/>
        <v>0</v>
      </c>
      <c r="AQ94" s="178">
        <f t="shared" si="64"/>
        <v>0</v>
      </c>
      <c r="AR94" s="178">
        <f t="shared" si="64"/>
        <v>0</v>
      </c>
      <c r="AS94" s="179">
        <f t="shared" si="64"/>
        <v>0</v>
      </c>
      <c r="AT94" s="178">
        <f t="shared" si="64"/>
        <v>0</v>
      </c>
      <c r="AU94" s="178">
        <f t="shared" si="64"/>
        <v>0</v>
      </c>
      <c r="AV94" s="178">
        <f t="shared" si="64"/>
        <v>0</v>
      </c>
      <c r="AW94" s="179">
        <f t="shared" si="64"/>
        <v>0</v>
      </c>
      <c r="AX94" s="178">
        <f t="shared" si="65"/>
        <v>0</v>
      </c>
      <c r="AY94" s="178">
        <f t="shared" si="65"/>
        <v>0</v>
      </c>
      <c r="AZ94" s="179">
        <f t="shared" si="65"/>
        <v>0</v>
      </c>
      <c r="BA94" s="184">
        <f t="shared" si="65"/>
        <v>0</v>
      </c>
      <c r="BB94" s="178">
        <f t="shared" si="65"/>
        <v>0</v>
      </c>
      <c r="BC94" s="184">
        <f t="shared" si="65"/>
        <v>0</v>
      </c>
      <c r="BD94" s="178">
        <f t="shared" si="65"/>
        <v>0</v>
      </c>
      <c r="BE94" s="244">
        <f t="shared" si="62"/>
        <v>0</v>
      </c>
      <c r="BF94" s="245">
        <f t="shared" si="59"/>
        <v>0</v>
      </c>
      <c r="BH94" s="253">
        <f>SUBTOTAL(9,BH95:BH129)</f>
        <v>0</v>
      </c>
      <c r="BI94" s="253">
        <f>SUBTOTAL(9,BI95:BI129)</f>
        <v>1094.7311999999999</v>
      </c>
      <c r="BJ94" s="253">
        <f>SUBTOTAL(9,BJ95:BJ129)</f>
        <v>0</v>
      </c>
      <c r="BK94" s="253">
        <f>SUBTOTAL(9,BK95:BK129)</f>
        <v>0</v>
      </c>
      <c r="BL94" s="253">
        <f>SUBTOTAL(9,BL95:BL129)</f>
        <v>0</v>
      </c>
      <c r="BM94" s="257">
        <f t="shared" si="60"/>
        <v>1094.7311999999999</v>
      </c>
      <c r="BO94" s="714" t="str">
        <f t="shared" si="63"/>
        <v/>
      </c>
    </row>
    <row r="95" spans="2:67"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c r="Y95" s="184"/>
      <c r="Z95" s="178"/>
      <c r="AA95" s="178"/>
      <c r="AB95" s="179"/>
      <c r="AC95" s="178"/>
      <c r="AD95" s="178"/>
      <c r="AE95" s="178"/>
      <c r="AF95" s="179"/>
      <c r="AG95" s="178"/>
      <c r="AH95" s="178"/>
      <c r="AI95" s="179"/>
      <c r="AJ95" s="184"/>
      <c r="AK95" s="178"/>
      <c r="AL95" s="184"/>
      <c r="AM95" s="179"/>
      <c r="AO95" s="183">
        <f t="shared" si="61"/>
        <v>0</v>
      </c>
      <c r="AP95" s="184">
        <f t="shared" si="64"/>
        <v>0</v>
      </c>
      <c r="AQ95" s="178">
        <f t="shared" si="64"/>
        <v>0</v>
      </c>
      <c r="AR95" s="178">
        <f t="shared" si="64"/>
        <v>0</v>
      </c>
      <c r="AS95" s="179">
        <f t="shared" si="64"/>
        <v>0</v>
      </c>
      <c r="AT95" s="178">
        <f t="shared" si="64"/>
        <v>0</v>
      </c>
      <c r="AU95" s="178">
        <f t="shared" si="64"/>
        <v>0</v>
      </c>
      <c r="AV95" s="178">
        <f t="shared" si="64"/>
        <v>0</v>
      </c>
      <c r="AW95" s="179">
        <f t="shared" si="64"/>
        <v>0</v>
      </c>
      <c r="AX95" s="178">
        <f t="shared" si="65"/>
        <v>0</v>
      </c>
      <c r="AY95" s="178">
        <f t="shared" si="65"/>
        <v>0</v>
      </c>
      <c r="AZ95" s="179">
        <f t="shared" si="65"/>
        <v>0</v>
      </c>
      <c r="BA95" s="184">
        <f t="shared" si="65"/>
        <v>0</v>
      </c>
      <c r="BB95" s="178">
        <f t="shared" si="65"/>
        <v>0</v>
      </c>
      <c r="BC95" s="184">
        <f t="shared" si="65"/>
        <v>0</v>
      </c>
      <c r="BD95" s="178">
        <f t="shared" si="65"/>
        <v>0</v>
      </c>
      <c r="BE95" s="244">
        <f t="shared" si="62"/>
        <v>0</v>
      </c>
      <c r="BF95" s="245">
        <f t="shared" si="59"/>
        <v>0</v>
      </c>
      <c r="BH95" s="252">
        <f>SUBTOTAL(9,BH96:BH103)</f>
        <v>0</v>
      </c>
      <c r="BI95" s="252">
        <f>SUBTOTAL(9,BI96:BI103)</f>
        <v>136.99619999999999</v>
      </c>
      <c r="BJ95" s="252">
        <f>SUBTOTAL(9,BJ96:BJ103)</f>
        <v>0</v>
      </c>
      <c r="BK95" s="252">
        <f>SUBTOTAL(9,BK96:BK103)</f>
        <v>0</v>
      </c>
      <c r="BL95" s="252">
        <f>SUBTOTAL(9,BL96:BL103)</f>
        <v>0</v>
      </c>
      <c r="BM95" s="257">
        <f t="shared" si="60"/>
        <v>136.99619999999999</v>
      </c>
      <c r="BO95" s="714" t="str">
        <f t="shared" si="63"/>
        <v/>
      </c>
    </row>
    <row r="96" spans="2:67" ht="15" customHeight="1" x14ac:dyDescent="0.25">
      <c r="B96" s="19">
        <v>1</v>
      </c>
      <c r="C96" s="44" t="s">
        <v>115</v>
      </c>
      <c r="D96" s="45"/>
      <c r="E96" s="105" t="s">
        <v>116</v>
      </c>
      <c r="G96" s="477">
        <f>'[15]JSO (t)'!G94</f>
        <v>0</v>
      </c>
      <c r="H96" s="478">
        <f>'[15]JSO (t)'!H94</f>
        <v>8.9999999999999998E-4</v>
      </c>
      <c r="I96" s="461"/>
      <c r="J96" s="461"/>
      <c r="K96" s="462"/>
      <c r="L96" s="461"/>
      <c r="M96" s="461"/>
      <c r="N96" s="461"/>
      <c r="O96" s="462"/>
      <c r="P96" s="461"/>
      <c r="Q96" s="461"/>
      <c r="R96" s="462"/>
      <c r="S96" s="478">
        <f>'[15]JSO (t)'!S94</f>
        <v>0</v>
      </c>
      <c r="T96" s="483">
        <f>'[15]JSO (t)'!T94</f>
        <v>0</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61"/>
        <v>0</v>
      </c>
      <c r="AP96" s="184">
        <f t="shared" si="64"/>
        <v>0</v>
      </c>
      <c r="AQ96" s="178">
        <f t="shared" si="64"/>
        <v>0</v>
      </c>
      <c r="AR96" s="178">
        <f t="shared" si="64"/>
        <v>0</v>
      </c>
      <c r="AS96" s="179">
        <f t="shared" si="64"/>
        <v>0</v>
      </c>
      <c r="AT96" s="178">
        <f t="shared" si="64"/>
        <v>0</v>
      </c>
      <c r="AU96" s="178">
        <f t="shared" si="64"/>
        <v>0</v>
      </c>
      <c r="AV96" s="178">
        <f t="shared" si="64"/>
        <v>0</v>
      </c>
      <c r="AW96" s="179">
        <f t="shared" si="64"/>
        <v>0</v>
      </c>
      <c r="AX96" s="178">
        <f t="shared" si="65"/>
        <v>0</v>
      </c>
      <c r="AY96" s="178">
        <f t="shared" si="65"/>
        <v>0</v>
      </c>
      <c r="AZ96" s="179">
        <f t="shared" si="65"/>
        <v>0</v>
      </c>
      <c r="BA96" s="184">
        <f t="shared" si="65"/>
        <v>0</v>
      </c>
      <c r="BB96" s="178">
        <f t="shared" si="65"/>
        <v>0</v>
      </c>
      <c r="BC96" s="184">
        <f t="shared" si="65"/>
        <v>0</v>
      </c>
      <c r="BD96" s="178">
        <f t="shared" si="65"/>
        <v>0</v>
      </c>
      <c r="BE96" s="244">
        <f t="shared" si="62"/>
        <v>0</v>
      </c>
      <c r="BF96" s="245">
        <f t="shared" si="59"/>
        <v>0</v>
      </c>
      <c r="BH96" s="255">
        <f t="shared" ref="BH96:BH103" si="66">SUM(AO96)</f>
        <v>0</v>
      </c>
      <c r="BI96" s="255">
        <f t="shared" ref="BI96:BI103" si="67">SUM(AP96:AS96)</f>
        <v>0</v>
      </c>
      <c r="BJ96" s="255">
        <f t="shared" ref="BJ96:BJ103" si="68">SUM(AT96:AW96)</f>
        <v>0</v>
      </c>
      <c r="BK96" s="256">
        <f t="shared" ref="BK96:BK103" si="69">SUM(AX96:BB96)</f>
        <v>0</v>
      </c>
      <c r="BL96" s="262">
        <f t="shared" ref="BL96:BL103" si="70">SUM(BC96:BD96)</f>
        <v>0</v>
      </c>
      <c r="BM96" s="257">
        <f t="shared" si="60"/>
        <v>0</v>
      </c>
      <c r="BO96" s="714" t="str">
        <f t="shared" si="63"/>
        <v/>
      </c>
    </row>
    <row r="97" spans="2:67" ht="15" customHeight="1" x14ac:dyDescent="0.25">
      <c r="B97" s="19">
        <f>1+B96</f>
        <v>2</v>
      </c>
      <c r="C97" s="44" t="s">
        <v>117</v>
      </c>
      <c r="D97" s="45"/>
      <c r="E97" s="105" t="s">
        <v>118</v>
      </c>
      <c r="G97" s="477">
        <f>'[15]JSO (t)'!G95</f>
        <v>0</v>
      </c>
      <c r="H97" s="478">
        <f>'[15]JSO (t)'!H95</f>
        <v>8.9999999999999998E-4</v>
      </c>
      <c r="I97" s="461"/>
      <c r="J97" s="461"/>
      <c r="K97" s="462"/>
      <c r="L97" s="461"/>
      <c r="M97" s="461"/>
      <c r="N97" s="461"/>
      <c r="O97" s="462"/>
      <c r="P97" s="461"/>
      <c r="Q97" s="461"/>
      <c r="R97" s="462"/>
      <c r="S97" s="478">
        <f>'[15]JSO (t)'!S95</f>
        <v>0</v>
      </c>
      <c r="T97" s="483">
        <f>'[15]JSO (t)'!T95</f>
        <v>0</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61"/>
        <v>0</v>
      </c>
      <c r="AP97" s="184">
        <f t="shared" si="64"/>
        <v>15.965999999999999</v>
      </c>
      <c r="AQ97" s="178">
        <f t="shared" si="64"/>
        <v>0</v>
      </c>
      <c r="AR97" s="178">
        <f t="shared" si="64"/>
        <v>0</v>
      </c>
      <c r="AS97" s="179">
        <f t="shared" si="64"/>
        <v>0</v>
      </c>
      <c r="AT97" s="178">
        <f t="shared" si="64"/>
        <v>0</v>
      </c>
      <c r="AU97" s="178">
        <f t="shared" si="64"/>
        <v>0</v>
      </c>
      <c r="AV97" s="178">
        <f t="shared" si="64"/>
        <v>0</v>
      </c>
      <c r="AW97" s="179">
        <f t="shared" si="64"/>
        <v>0</v>
      </c>
      <c r="AX97" s="178">
        <f t="shared" si="65"/>
        <v>0</v>
      </c>
      <c r="AY97" s="178">
        <f t="shared" si="65"/>
        <v>0</v>
      </c>
      <c r="AZ97" s="179">
        <f t="shared" si="65"/>
        <v>0</v>
      </c>
      <c r="BA97" s="184">
        <f t="shared" si="65"/>
        <v>0</v>
      </c>
      <c r="BB97" s="178">
        <f t="shared" si="65"/>
        <v>0</v>
      </c>
      <c r="BC97" s="184">
        <f t="shared" si="65"/>
        <v>0</v>
      </c>
      <c r="BD97" s="178">
        <f t="shared" si="65"/>
        <v>0</v>
      </c>
      <c r="BE97" s="244">
        <f t="shared" si="62"/>
        <v>1</v>
      </c>
      <c r="BF97" s="245">
        <f t="shared" si="59"/>
        <v>17740</v>
      </c>
      <c r="BH97" s="255">
        <f t="shared" si="66"/>
        <v>0</v>
      </c>
      <c r="BI97" s="255">
        <f t="shared" si="67"/>
        <v>15.965999999999999</v>
      </c>
      <c r="BJ97" s="255">
        <f t="shared" si="68"/>
        <v>0</v>
      </c>
      <c r="BK97" s="256">
        <f t="shared" si="69"/>
        <v>0</v>
      </c>
      <c r="BL97" s="262">
        <f t="shared" si="70"/>
        <v>0</v>
      </c>
      <c r="BM97" s="257">
        <f t="shared" si="60"/>
        <v>15.965999999999999</v>
      </c>
      <c r="BO97" s="714">
        <f t="shared" si="63"/>
        <v>0.9</v>
      </c>
    </row>
    <row r="98" spans="2:67" ht="15" customHeight="1" x14ac:dyDescent="0.25">
      <c r="B98" s="19">
        <f t="shared" ref="B98:B129" si="71">B97+1</f>
        <v>3</v>
      </c>
      <c r="C98" s="44" t="s">
        <v>122</v>
      </c>
      <c r="D98" s="45"/>
      <c r="E98" s="105" t="s">
        <v>118</v>
      </c>
      <c r="G98" s="477">
        <f>'[15]JSO (t)'!G96</f>
        <v>0</v>
      </c>
      <c r="H98" s="478">
        <f>'[15]JSO (t)'!H96</f>
        <v>8.9999999999999998E-4</v>
      </c>
      <c r="I98" s="461"/>
      <c r="J98" s="461"/>
      <c r="K98" s="462"/>
      <c r="L98" s="461"/>
      <c r="M98" s="461"/>
      <c r="N98" s="461"/>
      <c r="O98" s="462"/>
      <c r="P98" s="461"/>
      <c r="Q98" s="461"/>
      <c r="R98" s="462"/>
      <c r="S98" s="478">
        <f>'[15]JSO (t)'!S96</f>
        <v>0</v>
      </c>
      <c r="T98" s="483">
        <f>'[15]JSO (t)'!T96</f>
        <v>0</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61"/>
        <v>0</v>
      </c>
      <c r="AP98" s="184">
        <f t="shared" si="64"/>
        <v>21.995999999999999</v>
      </c>
      <c r="AQ98" s="178">
        <f t="shared" si="64"/>
        <v>0</v>
      </c>
      <c r="AR98" s="178">
        <f t="shared" si="64"/>
        <v>0</v>
      </c>
      <c r="AS98" s="179">
        <f t="shared" si="64"/>
        <v>0</v>
      </c>
      <c r="AT98" s="178">
        <f t="shared" si="64"/>
        <v>0</v>
      </c>
      <c r="AU98" s="178">
        <f t="shared" si="64"/>
        <v>0</v>
      </c>
      <c r="AV98" s="178">
        <f t="shared" si="64"/>
        <v>0</v>
      </c>
      <c r="AW98" s="179">
        <f t="shared" si="64"/>
        <v>0</v>
      </c>
      <c r="AX98" s="178">
        <f t="shared" si="65"/>
        <v>0</v>
      </c>
      <c r="AY98" s="178">
        <f t="shared" si="65"/>
        <v>0</v>
      </c>
      <c r="AZ98" s="179">
        <f t="shared" si="65"/>
        <v>0</v>
      </c>
      <c r="BA98" s="184">
        <f t="shared" si="65"/>
        <v>0</v>
      </c>
      <c r="BB98" s="178">
        <f t="shared" si="65"/>
        <v>0</v>
      </c>
      <c r="BC98" s="184">
        <f t="shared" si="65"/>
        <v>0</v>
      </c>
      <c r="BD98" s="178">
        <f t="shared" si="65"/>
        <v>0</v>
      </c>
      <c r="BE98" s="244">
        <f>X98/$BE$7</f>
        <v>1</v>
      </c>
      <c r="BF98" s="245">
        <f t="shared" si="59"/>
        <v>24440</v>
      </c>
      <c r="BH98" s="255">
        <f t="shared" si="66"/>
        <v>0</v>
      </c>
      <c r="BI98" s="255">
        <f t="shared" si="67"/>
        <v>21.995999999999999</v>
      </c>
      <c r="BJ98" s="255">
        <f t="shared" si="68"/>
        <v>0</v>
      </c>
      <c r="BK98" s="256">
        <f t="shared" si="69"/>
        <v>0</v>
      </c>
      <c r="BL98" s="262">
        <f t="shared" si="70"/>
        <v>0</v>
      </c>
      <c r="BM98" s="257">
        <f>SUM(BH98:BL98)</f>
        <v>21.995999999999999</v>
      </c>
      <c r="BO98" s="714">
        <f t="shared" si="63"/>
        <v>0.9</v>
      </c>
    </row>
    <row r="99" spans="2:67" ht="15" customHeight="1" x14ac:dyDescent="0.25">
      <c r="B99" s="19">
        <f t="shared" si="71"/>
        <v>4</v>
      </c>
      <c r="C99" s="44" t="s">
        <v>123</v>
      </c>
      <c r="D99" s="45"/>
      <c r="E99" s="105" t="s">
        <v>118</v>
      </c>
      <c r="G99" s="477">
        <f>'[15]JSO (t)'!G97</f>
        <v>0</v>
      </c>
      <c r="H99" s="478">
        <f>'[15]JSO (t)'!H97</f>
        <v>8.9999999999999998E-4</v>
      </c>
      <c r="I99" s="461"/>
      <c r="J99" s="461"/>
      <c r="K99" s="462"/>
      <c r="L99" s="461"/>
      <c r="M99" s="461"/>
      <c r="N99" s="461"/>
      <c r="O99" s="462"/>
      <c r="P99" s="461"/>
      <c r="Q99" s="461"/>
      <c r="R99" s="462"/>
      <c r="S99" s="478">
        <f>'[15]JSO (t)'!S97</f>
        <v>0</v>
      </c>
      <c r="T99" s="483">
        <f>'[15]JSO (t)'!T97</f>
        <v>0</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61"/>
        <v>0</v>
      </c>
      <c r="AP99" s="184">
        <f t="shared" si="64"/>
        <v>10.241999999999999</v>
      </c>
      <c r="AQ99" s="178">
        <f t="shared" si="64"/>
        <v>0</v>
      </c>
      <c r="AR99" s="178">
        <f t="shared" si="64"/>
        <v>0</v>
      </c>
      <c r="AS99" s="179">
        <f t="shared" si="64"/>
        <v>0</v>
      </c>
      <c r="AT99" s="178">
        <f t="shared" si="64"/>
        <v>0</v>
      </c>
      <c r="AU99" s="178">
        <f t="shared" si="64"/>
        <v>0</v>
      </c>
      <c r="AV99" s="178">
        <f t="shared" si="64"/>
        <v>0</v>
      </c>
      <c r="AW99" s="179">
        <f t="shared" si="64"/>
        <v>0</v>
      </c>
      <c r="AX99" s="178">
        <f t="shared" si="65"/>
        <v>0</v>
      </c>
      <c r="AY99" s="178">
        <f t="shared" si="65"/>
        <v>0</v>
      </c>
      <c r="AZ99" s="179">
        <f t="shared" si="65"/>
        <v>0</v>
      </c>
      <c r="BA99" s="184">
        <f t="shared" si="65"/>
        <v>0</v>
      </c>
      <c r="BB99" s="178">
        <f t="shared" si="65"/>
        <v>0</v>
      </c>
      <c r="BC99" s="184">
        <f t="shared" si="65"/>
        <v>0</v>
      </c>
      <c r="BD99" s="178">
        <f t="shared" si="65"/>
        <v>0</v>
      </c>
      <c r="BE99" s="244">
        <f>X99/$BE$7</f>
        <v>1</v>
      </c>
      <c r="BF99" s="245">
        <f t="shared" si="59"/>
        <v>11380</v>
      </c>
      <c r="BH99" s="255">
        <f t="shared" si="66"/>
        <v>0</v>
      </c>
      <c r="BI99" s="255">
        <f t="shared" si="67"/>
        <v>10.241999999999999</v>
      </c>
      <c r="BJ99" s="255">
        <f t="shared" si="68"/>
        <v>0</v>
      </c>
      <c r="BK99" s="256">
        <f t="shared" si="69"/>
        <v>0</v>
      </c>
      <c r="BL99" s="262">
        <f t="shared" si="70"/>
        <v>0</v>
      </c>
      <c r="BM99" s="257">
        <f>SUM(BH99:BL99)</f>
        <v>10.241999999999999</v>
      </c>
      <c r="BO99" s="714">
        <f t="shared" si="63"/>
        <v>0.9</v>
      </c>
    </row>
    <row r="100" spans="2:67" ht="15" customHeight="1" x14ac:dyDescent="0.25">
      <c r="B100" s="19">
        <f t="shared" si="71"/>
        <v>5</v>
      </c>
      <c r="C100" s="44" t="s">
        <v>119</v>
      </c>
      <c r="D100" s="45"/>
      <c r="E100" s="105" t="s">
        <v>118</v>
      </c>
      <c r="G100" s="477">
        <f>'[15]JSO (t)'!G98</f>
        <v>0</v>
      </c>
      <c r="H100" s="478">
        <f>'[15]JSO (t)'!H98</f>
        <v>8.9999999999999998E-4</v>
      </c>
      <c r="I100" s="461"/>
      <c r="J100" s="461"/>
      <c r="K100" s="462"/>
      <c r="L100" s="461"/>
      <c r="M100" s="461"/>
      <c r="N100" s="461"/>
      <c r="O100" s="462"/>
      <c r="P100" s="461"/>
      <c r="Q100" s="461"/>
      <c r="R100" s="462"/>
      <c r="S100" s="478">
        <f>'[15]JSO (t)'!S98</f>
        <v>0</v>
      </c>
      <c r="T100" s="483">
        <f>'[15]JSO (t)'!T98</f>
        <v>0</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61"/>
        <v>0</v>
      </c>
      <c r="AP100" s="184">
        <f t="shared" si="64"/>
        <v>22.527000000000001</v>
      </c>
      <c r="AQ100" s="178">
        <f t="shared" si="64"/>
        <v>0</v>
      </c>
      <c r="AR100" s="178">
        <f t="shared" si="64"/>
        <v>0</v>
      </c>
      <c r="AS100" s="179">
        <f t="shared" si="64"/>
        <v>0</v>
      </c>
      <c r="AT100" s="178">
        <f t="shared" si="64"/>
        <v>0</v>
      </c>
      <c r="AU100" s="178">
        <f t="shared" si="64"/>
        <v>0</v>
      </c>
      <c r="AV100" s="178">
        <f t="shared" si="64"/>
        <v>0</v>
      </c>
      <c r="AW100" s="179">
        <f t="shared" si="64"/>
        <v>0</v>
      </c>
      <c r="AX100" s="178">
        <f t="shared" si="65"/>
        <v>0</v>
      </c>
      <c r="AY100" s="178">
        <f t="shared" si="65"/>
        <v>0</v>
      </c>
      <c r="AZ100" s="179">
        <f t="shared" si="65"/>
        <v>0</v>
      </c>
      <c r="BA100" s="184">
        <f t="shared" si="65"/>
        <v>0</v>
      </c>
      <c r="BB100" s="178">
        <f t="shared" si="65"/>
        <v>0</v>
      </c>
      <c r="BC100" s="184">
        <f t="shared" si="65"/>
        <v>0</v>
      </c>
      <c r="BD100" s="178">
        <f t="shared" si="65"/>
        <v>0</v>
      </c>
      <c r="BE100" s="244">
        <f t="shared" si="62"/>
        <v>1</v>
      </c>
      <c r="BF100" s="245">
        <f t="shared" si="59"/>
        <v>25030</v>
      </c>
      <c r="BH100" s="255">
        <f t="shared" si="66"/>
        <v>0</v>
      </c>
      <c r="BI100" s="255">
        <f t="shared" si="67"/>
        <v>22.527000000000001</v>
      </c>
      <c r="BJ100" s="255">
        <f t="shared" si="68"/>
        <v>0</v>
      </c>
      <c r="BK100" s="256">
        <f t="shared" si="69"/>
        <v>0</v>
      </c>
      <c r="BL100" s="262">
        <f t="shared" si="70"/>
        <v>0</v>
      </c>
      <c r="BM100" s="257">
        <f t="shared" si="60"/>
        <v>22.527000000000001</v>
      </c>
      <c r="BO100" s="714">
        <f t="shared" si="63"/>
        <v>0.9</v>
      </c>
    </row>
    <row r="101" spans="2:67" ht="15" customHeight="1" x14ac:dyDescent="0.25">
      <c r="B101" s="19">
        <f t="shared" si="71"/>
        <v>6</v>
      </c>
      <c r="C101" s="44" t="s">
        <v>708</v>
      </c>
      <c r="D101" s="45"/>
      <c r="E101" s="105" t="s">
        <v>118</v>
      </c>
      <c r="G101" s="862">
        <f>G72</f>
        <v>0</v>
      </c>
      <c r="H101" s="863">
        <f>I72/2+K72/2</f>
        <v>3.5999999999999999E-3</v>
      </c>
      <c r="I101" s="461"/>
      <c r="J101" s="461"/>
      <c r="K101" s="462"/>
      <c r="L101" s="461"/>
      <c r="M101" s="461"/>
      <c r="N101" s="461"/>
      <c r="O101" s="462"/>
      <c r="P101" s="461"/>
      <c r="Q101" s="461"/>
      <c r="R101" s="462"/>
      <c r="S101" s="863">
        <f>S72</f>
        <v>0</v>
      </c>
      <c r="T101" s="851">
        <f>T72</f>
        <v>0</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 t="shared" si="61"/>
        <v>0</v>
      </c>
      <c r="AP101" s="184">
        <f t="shared" ref="AP101:AW116" si="72">H101*Y101</f>
        <v>41.731200000000001</v>
      </c>
      <c r="AQ101" s="178">
        <f t="shared" si="72"/>
        <v>0</v>
      </c>
      <c r="AR101" s="178">
        <f t="shared" si="72"/>
        <v>0</v>
      </c>
      <c r="AS101" s="179">
        <f t="shared" si="72"/>
        <v>0</v>
      </c>
      <c r="AT101" s="178">
        <f t="shared" si="72"/>
        <v>0</v>
      </c>
      <c r="AU101" s="178">
        <f t="shared" si="72"/>
        <v>0</v>
      </c>
      <c r="AV101" s="178">
        <f t="shared" si="72"/>
        <v>0</v>
      </c>
      <c r="AW101" s="179">
        <f t="shared" si="72"/>
        <v>0</v>
      </c>
      <c r="AX101" s="178">
        <f t="shared" si="65"/>
        <v>0</v>
      </c>
      <c r="AY101" s="178">
        <f t="shared" si="65"/>
        <v>0</v>
      </c>
      <c r="AZ101" s="179">
        <f t="shared" si="65"/>
        <v>0</v>
      </c>
      <c r="BA101" s="184">
        <f t="shared" si="65"/>
        <v>0</v>
      </c>
      <c r="BB101" s="178">
        <f t="shared" si="65"/>
        <v>0</v>
      </c>
      <c r="BC101" s="184">
        <f t="shared" si="65"/>
        <v>0</v>
      </c>
      <c r="BD101" s="178">
        <f t="shared" si="65"/>
        <v>0</v>
      </c>
      <c r="BE101" s="244">
        <f t="shared" si="62"/>
        <v>1</v>
      </c>
      <c r="BF101" s="245">
        <f t="shared" si="59"/>
        <v>11592</v>
      </c>
      <c r="BH101" s="255">
        <f t="shared" si="66"/>
        <v>0</v>
      </c>
      <c r="BI101" s="255">
        <f t="shared" si="67"/>
        <v>41.731200000000001</v>
      </c>
      <c r="BJ101" s="255">
        <f t="shared" si="68"/>
        <v>0</v>
      </c>
      <c r="BK101" s="256">
        <f t="shared" si="69"/>
        <v>0</v>
      </c>
      <c r="BL101" s="262">
        <f t="shared" si="70"/>
        <v>0</v>
      </c>
      <c r="BM101" s="257">
        <f t="shared" si="60"/>
        <v>41.731200000000001</v>
      </c>
      <c r="BO101" s="714">
        <f t="shared" si="63"/>
        <v>3.6000000000000005</v>
      </c>
    </row>
    <row r="102" spans="2:67" ht="15" customHeight="1" x14ac:dyDescent="0.25">
      <c r="B102" s="19">
        <f t="shared" si="71"/>
        <v>7</v>
      </c>
      <c r="C102" s="44" t="s">
        <v>120</v>
      </c>
      <c r="D102" s="45"/>
      <c r="E102" s="105" t="s">
        <v>118</v>
      </c>
      <c r="G102" s="477">
        <f>'[15]JSO (t)'!G99</f>
        <v>0</v>
      </c>
      <c r="H102" s="478">
        <f>'[15]JSO (t)'!H99</f>
        <v>8.9999999999999998E-4</v>
      </c>
      <c r="I102" s="461"/>
      <c r="J102" s="461"/>
      <c r="K102" s="462"/>
      <c r="L102" s="461"/>
      <c r="M102" s="461"/>
      <c r="N102" s="461"/>
      <c r="O102" s="462"/>
      <c r="P102" s="461"/>
      <c r="Q102" s="461"/>
      <c r="R102" s="462"/>
      <c r="S102" s="478">
        <f>'[15]JSO (t)'!S99</f>
        <v>0</v>
      </c>
      <c r="T102" s="483">
        <f>'[15]JSO (t)'!T99</f>
        <v>0</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61"/>
        <v>0</v>
      </c>
      <c r="AP102" s="184">
        <f t="shared" si="72"/>
        <v>2.6640000000000001</v>
      </c>
      <c r="AQ102" s="178">
        <f t="shared" si="72"/>
        <v>0</v>
      </c>
      <c r="AR102" s="178">
        <f t="shared" si="72"/>
        <v>0</v>
      </c>
      <c r="AS102" s="179">
        <f t="shared" si="72"/>
        <v>0</v>
      </c>
      <c r="AT102" s="178">
        <f t="shared" si="72"/>
        <v>0</v>
      </c>
      <c r="AU102" s="178">
        <f t="shared" si="72"/>
        <v>0</v>
      </c>
      <c r="AV102" s="178">
        <f t="shared" si="72"/>
        <v>0</v>
      </c>
      <c r="AW102" s="179">
        <f t="shared" si="72"/>
        <v>0</v>
      </c>
      <c r="AX102" s="178">
        <f t="shared" si="65"/>
        <v>0</v>
      </c>
      <c r="AY102" s="178">
        <f t="shared" si="65"/>
        <v>0</v>
      </c>
      <c r="AZ102" s="179">
        <f t="shared" si="65"/>
        <v>0</v>
      </c>
      <c r="BA102" s="184">
        <f t="shared" si="65"/>
        <v>0</v>
      </c>
      <c r="BB102" s="178">
        <f t="shared" si="65"/>
        <v>0</v>
      </c>
      <c r="BC102" s="184">
        <f t="shared" si="65"/>
        <v>0</v>
      </c>
      <c r="BD102" s="178">
        <f t="shared" si="65"/>
        <v>0</v>
      </c>
      <c r="BE102" s="244">
        <f t="shared" si="62"/>
        <v>1</v>
      </c>
      <c r="BF102" s="245">
        <f t="shared" si="59"/>
        <v>2960</v>
      </c>
      <c r="BH102" s="255">
        <f t="shared" si="66"/>
        <v>0</v>
      </c>
      <c r="BI102" s="255">
        <f t="shared" si="67"/>
        <v>2.6640000000000001</v>
      </c>
      <c r="BJ102" s="255">
        <f t="shared" si="68"/>
        <v>0</v>
      </c>
      <c r="BK102" s="256">
        <f t="shared" si="69"/>
        <v>0</v>
      </c>
      <c r="BL102" s="262">
        <f t="shared" si="70"/>
        <v>0</v>
      </c>
      <c r="BM102" s="257">
        <f t="shared" si="60"/>
        <v>2.6640000000000001</v>
      </c>
      <c r="BO102" s="714">
        <f t="shared" si="63"/>
        <v>0.9</v>
      </c>
    </row>
    <row r="103" spans="2:67" ht="15" customHeight="1" x14ac:dyDescent="0.25">
      <c r="B103" s="19">
        <f t="shared" si="71"/>
        <v>8</v>
      </c>
      <c r="C103" s="44" t="s">
        <v>121</v>
      </c>
      <c r="D103" s="45"/>
      <c r="E103" s="105" t="s">
        <v>118</v>
      </c>
      <c r="G103" s="477">
        <f>'[15]JSO (t)'!G100</f>
        <v>0</v>
      </c>
      <c r="H103" s="478">
        <f>'[15]JSO (t)'!H100</f>
        <v>8.9999999999999998E-4</v>
      </c>
      <c r="I103" s="461"/>
      <c r="J103" s="461"/>
      <c r="K103" s="462"/>
      <c r="L103" s="461"/>
      <c r="M103" s="461"/>
      <c r="N103" s="461"/>
      <c r="O103" s="462"/>
      <c r="P103" s="461"/>
      <c r="Q103" s="461"/>
      <c r="R103" s="462"/>
      <c r="S103" s="478">
        <f>'[15]JSO (t)'!S100</f>
        <v>0</v>
      </c>
      <c r="T103" s="483">
        <f>'[15]JSO (t)'!T100</f>
        <v>0</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61"/>
        <v>0</v>
      </c>
      <c r="AP103" s="184">
        <f t="shared" si="72"/>
        <v>21.87</v>
      </c>
      <c r="AQ103" s="178">
        <f t="shared" si="72"/>
        <v>0</v>
      </c>
      <c r="AR103" s="178">
        <f t="shared" si="72"/>
        <v>0</v>
      </c>
      <c r="AS103" s="179">
        <f t="shared" si="72"/>
        <v>0</v>
      </c>
      <c r="AT103" s="178">
        <f t="shared" si="72"/>
        <v>0</v>
      </c>
      <c r="AU103" s="178">
        <f t="shared" si="72"/>
        <v>0</v>
      </c>
      <c r="AV103" s="178">
        <f t="shared" si="72"/>
        <v>0</v>
      </c>
      <c r="AW103" s="179">
        <f t="shared" si="72"/>
        <v>0</v>
      </c>
      <c r="AX103" s="178">
        <f t="shared" si="65"/>
        <v>0</v>
      </c>
      <c r="AY103" s="178">
        <f t="shared" si="65"/>
        <v>0</v>
      </c>
      <c r="AZ103" s="179">
        <f t="shared" si="65"/>
        <v>0</v>
      </c>
      <c r="BA103" s="184">
        <f t="shared" si="65"/>
        <v>0</v>
      </c>
      <c r="BB103" s="178">
        <f t="shared" si="65"/>
        <v>0</v>
      </c>
      <c r="BC103" s="184">
        <f t="shared" si="65"/>
        <v>0</v>
      </c>
      <c r="BD103" s="178">
        <f t="shared" si="65"/>
        <v>0</v>
      </c>
      <c r="BE103" s="244">
        <f t="shared" si="62"/>
        <v>1</v>
      </c>
      <c r="BF103" s="245">
        <f t="shared" si="59"/>
        <v>24300</v>
      </c>
      <c r="BH103" s="255">
        <f t="shared" si="66"/>
        <v>0</v>
      </c>
      <c r="BI103" s="255">
        <f t="shared" si="67"/>
        <v>21.87</v>
      </c>
      <c r="BJ103" s="255">
        <f t="shared" si="68"/>
        <v>0</v>
      </c>
      <c r="BK103" s="256">
        <f t="shared" si="69"/>
        <v>0</v>
      </c>
      <c r="BL103" s="262">
        <f t="shared" si="70"/>
        <v>0</v>
      </c>
      <c r="BM103" s="257">
        <f t="shared" si="60"/>
        <v>21.87</v>
      </c>
      <c r="BO103" s="714">
        <f t="shared" si="63"/>
        <v>0.9</v>
      </c>
    </row>
    <row r="104" spans="2:67"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61"/>
        <v>0</v>
      </c>
      <c r="AP104" s="184">
        <f t="shared" si="72"/>
        <v>0</v>
      </c>
      <c r="AQ104" s="178">
        <f t="shared" si="72"/>
        <v>0</v>
      </c>
      <c r="AR104" s="178">
        <f t="shared" si="72"/>
        <v>0</v>
      </c>
      <c r="AS104" s="179">
        <f t="shared" si="72"/>
        <v>0</v>
      </c>
      <c r="AT104" s="178">
        <f t="shared" si="72"/>
        <v>0</v>
      </c>
      <c r="AU104" s="178">
        <f t="shared" si="72"/>
        <v>0</v>
      </c>
      <c r="AV104" s="178">
        <f t="shared" si="72"/>
        <v>0</v>
      </c>
      <c r="AW104" s="179">
        <f t="shared" si="72"/>
        <v>0</v>
      </c>
      <c r="AX104" s="178">
        <f t="shared" si="65"/>
        <v>0</v>
      </c>
      <c r="AY104" s="178">
        <f t="shared" si="65"/>
        <v>0</v>
      </c>
      <c r="AZ104" s="179">
        <f t="shared" si="65"/>
        <v>0</v>
      </c>
      <c r="BA104" s="184">
        <f t="shared" si="65"/>
        <v>0</v>
      </c>
      <c r="BB104" s="178">
        <f t="shared" si="65"/>
        <v>0</v>
      </c>
      <c r="BC104" s="184">
        <f t="shared" si="65"/>
        <v>0</v>
      </c>
      <c r="BD104" s="178">
        <f t="shared" si="65"/>
        <v>0</v>
      </c>
      <c r="BE104" s="244">
        <f t="shared" si="62"/>
        <v>0</v>
      </c>
      <c r="BF104" s="245">
        <f t="shared" si="59"/>
        <v>0</v>
      </c>
      <c r="BH104" s="252">
        <f>SUBTOTAL(9,BH105:BH114)</f>
        <v>0</v>
      </c>
      <c r="BI104" s="252">
        <f>SUBTOTAL(9,BI105:BI114)</f>
        <v>358.35299999999995</v>
      </c>
      <c r="BJ104" s="252">
        <f>SUBTOTAL(9,BJ105:BJ114)</f>
        <v>0</v>
      </c>
      <c r="BK104" s="252">
        <f>SUBTOTAL(9,BK105:BK114)</f>
        <v>0</v>
      </c>
      <c r="BL104" s="252">
        <f>SUBTOTAL(9,BL105:BL114)</f>
        <v>0</v>
      </c>
      <c r="BM104" s="257">
        <f t="shared" si="60"/>
        <v>358.35299999999995</v>
      </c>
      <c r="BO104" s="714" t="str">
        <f t="shared" si="63"/>
        <v/>
      </c>
    </row>
    <row r="105" spans="2:67" ht="15" customHeight="1" x14ac:dyDescent="0.25">
      <c r="B105" s="19">
        <f>B103+1</f>
        <v>9</v>
      </c>
      <c r="C105" s="44" t="s">
        <v>125</v>
      </c>
      <c r="D105" s="45"/>
      <c r="E105" s="105" t="s">
        <v>126</v>
      </c>
      <c r="G105" s="477">
        <f>'[15]JSO (t)'!G102</f>
        <v>0</v>
      </c>
      <c r="H105" s="478">
        <f>'[15]JSO (t)'!H102</f>
        <v>8.9999999999999998E-4</v>
      </c>
      <c r="I105" s="461"/>
      <c r="J105" s="461"/>
      <c r="K105" s="462"/>
      <c r="L105" s="461"/>
      <c r="M105" s="461"/>
      <c r="N105" s="461"/>
      <c r="O105" s="462"/>
      <c r="P105" s="461"/>
      <c r="Q105" s="461"/>
      <c r="R105" s="462"/>
      <c r="S105" s="478">
        <f>'[15]JSO (t)'!S102</f>
        <v>0</v>
      </c>
      <c r="T105" s="483">
        <f>'[15]JSO (t)'!T102</f>
        <v>0</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61"/>
        <v>0</v>
      </c>
      <c r="AP105" s="184">
        <f t="shared" si="72"/>
        <v>63.449999999999996</v>
      </c>
      <c r="AQ105" s="178">
        <f t="shared" si="72"/>
        <v>0</v>
      </c>
      <c r="AR105" s="178">
        <f t="shared" si="72"/>
        <v>0</v>
      </c>
      <c r="AS105" s="179">
        <f t="shared" si="72"/>
        <v>0</v>
      </c>
      <c r="AT105" s="178">
        <f t="shared" si="72"/>
        <v>0</v>
      </c>
      <c r="AU105" s="178">
        <f t="shared" si="72"/>
        <v>0</v>
      </c>
      <c r="AV105" s="178">
        <f t="shared" si="72"/>
        <v>0</v>
      </c>
      <c r="AW105" s="179">
        <f t="shared" si="72"/>
        <v>0</v>
      </c>
      <c r="AX105" s="178">
        <f t="shared" si="65"/>
        <v>0</v>
      </c>
      <c r="AY105" s="178">
        <f t="shared" si="65"/>
        <v>0</v>
      </c>
      <c r="AZ105" s="179">
        <f t="shared" si="65"/>
        <v>0</v>
      </c>
      <c r="BA105" s="184">
        <f t="shared" si="65"/>
        <v>0</v>
      </c>
      <c r="BB105" s="178">
        <f t="shared" si="65"/>
        <v>0</v>
      </c>
      <c r="BC105" s="184">
        <f t="shared" si="65"/>
        <v>0</v>
      </c>
      <c r="BD105" s="178">
        <f t="shared" si="65"/>
        <v>0</v>
      </c>
      <c r="BE105" s="244">
        <f t="shared" si="62"/>
        <v>1</v>
      </c>
      <c r="BF105" s="245">
        <f t="shared" si="59"/>
        <v>70500</v>
      </c>
      <c r="BH105" s="255">
        <f t="shared" ref="BH105:BH114" si="73">SUM(AO105)</f>
        <v>0</v>
      </c>
      <c r="BI105" s="255">
        <f t="shared" ref="BI105:BI114" si="74">SUM(AP105:AS105)</f>
        <v>63.449999999999996</v>
      </c>
      <c r="BJ105" s="255">
        <f t="shared" ref="BJ105:BJ114" si="75">SUM(AT105:AW105)</f>
        <v>0</v>
      </c>
      <c r="BK105" s="256">
        <f t="shared" ref="BK105:BK114" si="76">SUM(AX105:BB105)</f>
        <v>0</v>
      </c>
      <c r="BL105" s="262">
        <f t="shared" ref="BL105:BL114" si="77">SUM(BC105:BD105)</f>
        <v>0</v>
      </c>
      <c r="BM105" s="257">
        <f t="shared" si="60"/>
        <v>63.449999999999996</v>
      </c>
      <c r="BO105" s="714">
        <f t="shared" si="63"/>
        <v>0.89999999999999991</v>
      </c>
    </row>
    <row r="106" spans="2:67" ht="15" customHeight="1" x14ac:dyDescent="0.25">
      <c r="B106" s="19">
        <f t="shared" si="71"/>
        <v>10</v>
      </c>
      <c r="C106" s="44" t="s">
        <v>127</v>
      </c>
      <c r="D106" s="45"/>
      <c r="E106" s="105" t="s">
        <v>126</v>
      </c>
      <c r="G106" s="477">
        <f>'[15]JSO (t)'!G103</f>
        <v>0</v>
      </c>
      <c r="H106" s="478">
        <f>'[15]JSO (t)'!H103</f>
        <v>8.9999999999999998E-4</v>
      </c>
      <c r="I106" s="461"/>
      <c r="J106" s="461"/>
      <c r="K106" s="462"/>
      <c r="L106" s="461"/>
      <c r="M106" s="461"/>
      <c r="N106" s="461"/>
      <c r="O106" s="462"/>
      <c r="P106" s="461"/>
      <c r="Q106" s="461"/>
      <c r="R106" s="462"/>
      <c r="S106" s="478">
        <f>'[15]JSO (t)'!S103</f>
        <v>0</v>
      </c>
      <c r="T106" s="483">
        <f>'[15]JSO (t)'!T103</f>
        <v>0</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61"/>
        <v>0</v>
      </c>
      <c r="AP106" s="184">
        <f t="shared" si="72"/>
        <v>153.44999999999999</v>
      </c>
      <c r="AQ106" s="178">
        <f t="shared" si="72"/>
        <v>0</v>
      </c>
      <c r="AR106" s="178">
        <f t="shared" si="72"/>
        <v>0</v>
      </c>
      <c r="AS106" s="179">
        <f t="shared" si="72"/>
        <v>0</v>
      </c>
      <c r="AT106" s="178">
        <f t="shared" si="72"/>
        <v>0</v>
      </c>
      <c r="AU106" s="178">
        <f t="shared" si="72"/>
        <v>0</v>
      </c>
      <c r="AV106" s="178">
        <f t="shared" si="72"/>
        <v>0</v>
      </c>
      <c r="AW106" s="179">
        <f t="shared" si="72"/>
        <v>0</v>
      </c>
      <c r="AX106" s="178">
        <f t="shared" si="65"/>
        <v>0</v>
      </c>
      <c r="AY106" s="178">
        <f t="shared" si="65"/>
        <v>0</v>
      </c>
      <c r="AZ106" s="179">
        <f t="shared" si="65"/>
        <v>0</v>
      </c>
      <c r="BA106" s="184">
        <f t="shared" si="65"/>
        <v>0</v>
      </c>
      <c r="BB106" s="178">
        <f t="shared" si="65"/>
        <v>0</v>
      </c>
      <c r="BC106" s="184">
        <f t="shared" si="65"/>
        <v>0</v>
      </c>
      <c r="BD106" s="178">
        <f t="shared" si="65"/>
        <v>0</v>
      </c>
      <c r="BE106" s="244">
        <f t="shared" si="62"/>
        <v>1</v>
      </c>
      <c r="BF106" s="245">
        <f t="shared" si="59"/>
        <v>170500</v>
      </c>
      <c r="BH106" s="255">
        <f t="shared" si="73"/>
        <v>0</v>
      </c>
      <c r="BI106" s="255">
        <f t="shared" si="74"/>
        <v>153.44999999999999</v>
      </c>
      <c r="BJ106" s="255">
        <f t="shared" si="75"/>
        <v>0</v>
      </c>
      <c r="BK106" s="256">
        <f t="shared" si="76"/>
        <v>0</v>
      </c>
      <c r="BL106" s="262">
        <f t="shared" si="77"/>
        <v>0</v>
      </c>
      <c r="BM106" s="257">
        <f t="shared" si="60"/>
        <v>153.44999999999999</v>
      </c>
      <c r="BO106" s="714">
        <f t="shared" si="63"/>
        <v>0.9</v>
      </c>
    </row>
    <row r="107" spans="2:67" ht="15" customHeight="1" x14ac:dyDescent="0.25">
      <c r="B107" s="19">
        <f t="shared" si="71"/>
        <v>11</v>
      </c>
      <c r="C107" s="44" t="s">
        <v>128</v>
      </c>
      <c r="D107" s="45"/>
      <c r="E107" s="105" t="s">
        <v>126</v>
      </c>
      <c r="G107" s="477">
        <f>'[15]JSO (t)'!G104</f>
        <v>0</v>
      </c>
      <c r="H107" s="478">
        <f>'[15]JSO (t)'!H104</f>
        <v>8.9999999999999998E-4</v>
      </c>
      <c r="I107" s="461"/>
      <c r="J107" s="461"/>
      <c r="K107" s="462"/>
      <c r="L107" s="461"/>
      <c r="M107" s="461"/>
      <c r="N107" s="461"/>
      <c r="O107" s="462"/>
      <c r="P107" s="461"/>
      <c r="Q107" s="461"/>
      <c r="R107" s="462"/>
      <c r="S107" s="478">
        <f>'[15]JSO (t)'!S104</f>
        <v>0</v>
      </c>
      <c r="T107" s="483">
        <f>'[15]JSO (t)'!T104</f>
        <v>0</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61"/>
        <v>0</v>
      </c>
      <c r="AP107" s="184">
        <f t="shared" si="72"/>
        <v>22.41</v>
      </c>
      <c r="AQ107" s="178">
        <f t="shared" si="72"/>
        <v>0</v>
      </c>
      <c r="AR107" s="178">
        <f t="shared" si="72"/>
        <v>0</v>
      </c>
      <c r="AS107" s="179">
        <f t="shared" si="72"/>
        <v>0</v>
      </c>
      <c r="AT107" s="178">
        <f t="shared" si="72"/>
        <v>0</v>
      </c>
      <c r="AU107" s="178">
        <f t="shared" si="72"/>
        <v>0</v>
      </c>
      <c r="AV107" s="178">
        <f t="shared" si="72"/>
        <v>0</v>
      </c>
      <c r="AW107" s="179">
        <f t="shared" si="72"/>
        <v>0</v>
      </c>
      <c r="AX107" s="178">
        <f t="shared" si="65"/>
        <v>0</v>
      </c>
      <c r="AY107" s="178">
        <f t="shared" si="65"/>
        <v>0</v>
      </c>
      <c r="AZ107" s="179">
        <f t="shared" si="65"/>
        <v>0</v>
      </c>
      <c r="BA107" s="184">
        <f t="shared" si="65"/>
        <v>0</v>
      </c>
      <c r="BB107" s="178">
        <f t="shared" si="65"/>
        <v>0</v>
      </c>
      <c r="BC107" s="184">
        <f t="shared" si="65"/>
        <v>0</v>
      </c>
      <c r="BD107" s="178">
        <f t="shared" si="65"/>
        <v>0</v>
      </c>
      <c r="BE107" s="244">
        <f t="shared" si="62"/>
        <v>1</v>
      </c>
      <c r="BF107" s="245">
        <f t="shared" si="59"/>
        <v>24900</v>
      </c>
      <c r="BH107" s="255">
        <f t="shared" si="73"/>
        <v>0</v>
      </c>
      <c r="BI107" s="255">
        <f t="shared" si="74"/>
        <v>22.41</v>
      </c>
      <c r="BJ107" s="255">
        <f t="shared" si="75"/>
        <v>0</v>
      </c>
      <c r="BK107" s="256">
        <f t="shared" si="76"/>
        <v>0</v>
      </c>
      <c r="BL107" s="262">
        <f t="shared" si="77"/>
        <v>0</v>
      </c>
      <c r="BM107" s="257">
        <f t="shared" si="60"/>
        <v>22.41</v>
      </c>
      <c r="BO107" s="714">
        <f t="shared" si="63"/>
        <v>0.9</v>
      </c>
    </row>
    <row r="108" spans="2:67" ht="15" customHeight="1" x14ac:dyDescent="0.25">
      <c r="B108" s="19">
        <f t="shared" si="71"/>
        <v>12</v>
      </c>
      <c r="C108" s="44"/>
      <c r="D108" s="45" t="s">
        <v>129</v>
      </c>
      <c r="E108" s="105" t="s">
        <v>126</v>
      </c>
      <c r="G108" s="477">
        <f>'[15]JSO (t)'!G105</f>
        <v>0</v>
      </c>
      <c r="H108" s="478">
        <f>'[15]JSO (t)'!H105</f>
        <v>8.9999999999999998E-4</v>
      </c>
      <c r="I108" s="461"/>
      <c r="J108" s="461"/>
      <c r="K108" s="462"/>
      <c r="L108" s="461"/>
      <c r="M108" s="461"/>
      <c r="N108" s="461"/>
      <c r="O108" s="462"/>
      <c r="P108" s="461"/>
      <c r="Q108" s="461"/>
      <c r="R108" s="462"/>
      <c r="S108" s="478">
        <f>'[15]JSO (t)'!S105</f>
        <v>0</v>
      </c>
      <c r="T108" s="483">
        <f>'[15]JSO (t)'!T105</f>
        <v>0</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61"/>
        <v>0</v>
      </c>
      <c r="AP108" s="184">
        <f t="shared" si="72"/>
        <v>22.86</v>
      </c>
      <c r="AQ108" s="178">
        <f t="shared" si="72"/>
        <v>0</v>
      </c>
      <c r="AR108" s="178">
        <f t="shared" si="72"/>
        <v>0</v>
      </c>
      <c r="AS108" s="179">
        <f t="shared" si="72"/>
        <v>0</v>
      </c>
      <c r="AT108" s="178">
        <f t="shared" si="72"/>
        <v>0</v>
      </c>
      <c r="AU108" s="178">
        <f t="shared" si="72"/>
        <v>0</v>
      </c>
      <c r="AV108" s="178">
        <f t="shared" si="72"/>
        <v>0</v>
      </c>
      <c r="AW108" s="179">
        <f t="shared" si="72"/>
        <v>0</v>
      </c>
      <c r="AX108" s="178">
        <f t="shared" si="65"/>
        <v>0</v>
      </c>
      <c r="AY108" s="178">
        <f t="shared" si="65"/>
        <v>0</v>
      </c>
      <c r="AZ108" s="179">
        <f t="shared" si="65"/>
        <v>0</v>
      </c>
      <c r="BA108" s="184">
        <f t="shared" si="65"/>
        <v>0</v>
      </c>
      <c r="BB108" s="178">
        <f t="shared" si="65"/>
        <v>0</v>
      </c>
      <c r="BC108" s="184">
        <f t="shared" si="65"/>
        <v>0</v>
      </c>
      <c r="BD108" s="178">
        <f t="shared" si="65"/>
        <v>0</v>
      </c>
      <c r="BE108" s="244">
        <f t="shared" si="62"/>
        <v>1</v>
      </c>
      <c r="BF108" s="245">
        <f t="shared" si="59"/>
        <v>25400</v>
      </c>
      <c r="BH108" s="255">
        <f t="shared" si="73"/>
        <v>0</v>
      </c>
      <c r="BI108" s="255">
        <f t="shared" si="74"/>
        <v>22.86</v>
      </c>
      <c r="BJ108" s="255">
        <f t="shared" si="75"/>
        <v>0</v>
      </c>
      <c r="BK108" s="256">
        <f t="shared" si="76"/>
        <v>0</v>
      </c>
      <c r="BL108" s="262">
        <f t="shared" si="77"/>
        <v>0</v>
      </c>
      <c r="BM108" s="257">
        <f t="shared" si="60"/>
        <v>22.86</v>
      </c>
      <c r="BO108" s="714">
        <f t="shared" si="63"/>
        <v>0.9</v>
      </c>
    </row>
    <row r="109" spans="2:67" ht="15" customHeight="1" x14ac:dyDescent="0.25">
      <c r="B109" s="19">
        <f t="shared" si="71"/>
        <v>13</v>
      </c>
      <c r="C109" s="44" t="s">
        <v>564</v>
      </c>
      <c r="D109" s="45"/>
      <c r="E109" s="105" t="s">
        <v>126</v>
      </c>
      <c r="G109" s="477">
        <f>'[15]JSO (t)'!G106</f>
        <v>0</v>
      </c>
      <c r="H109" s="478">
        <f>'[15]JSO (t)'!H106</f>
        <v>8.9999999999999998E-4</v>
      </c>
      <c r="I109" s="461"/>
      <c r="J109" s="461"/>
      <c r="K109" s="462"/>
      <c r="L109" s="461"/>
      <c r="M109" s="461"/>
      <c r="N109" s="461"/>
      <c r="O109" s="462"/>
      <c r="P109" s="461"/>
      <c r="Q109" s="461"/>
      <c r="R109" s="462"/>
      <c r="S109" s="478">
        <f>'[15]JSO (t)'!S106</f>
        <v>0</v>
      </c>
      <c r="T109" s="483">
        <f>'[15]JSO (t)'!T106</f>
        <v>0</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61"/>
        <v>0</v>
      </c>
      <c r="AP109" s="184">
        <f t="shared" si="72"/>
        <v>10.035</v>
      </c>
      <c r="AQ109" s="178">
        <f t="shared" si="72"/>
        <v>0</v>
      </c>
      <c r="AR109" s="178">
        <f t="shared" si="72"/>
        <v>0</v>
      </c>
      <c r="AS109" s="179">
        <f t="shared" si="72"/>
        <v>0</v>
      </c>
      <c r="AT109" s="178">
        <f t="shared" si="72"/>
        <v>0</v>
      </c>
      <c r="AU109" s="178">
        <f t="shared" si="72"/>
        <v>0</v>
      </c>
      <c r="AV109" s="178">
        <f t="shared" si="72"/>
        <v>0</v>
      </c>
      <c r="AW109" s="179">
        <f t="shared" si="72"/>
        <v>0</v>
      </c>
      <c r="AX109" s="178">
        <f t="shared" si="65"/>
        <v>0</v>
      </c>
      <c r="AY109" s="178">
        <f t="shared" si="65"/>
        <v>0</v>
      </c>
      <c r="AZ109" s="179">
        <f t="shared" si="65"/>
        <v>0</v>
      </c>
      <c r="BA109" s="184">
        <f t="shared" si="65"/>
        <v>0</v>
      </c>
      <c r="BB109" s="178">
        <f t="shared" si="65"/>
        <v>0</v>
      </c>
      <c r="BC109" s="184">
        <f t="shared" si="65"/>
        <v>0</v>
      </c>
      <c r="BD109" s="178">
        <f t="shared" si="65"/>
        <v>0</v>
      </c>
      <c r="BE109" s="244">
        <f t="shared" si="62"/>
        <v>1</v>
      </c>
      <c r="BF109" s="245">
        <f t="shared" si="59"/>
        <v>11150</v>
      </c>
      <c r="BH109" s="255">
        <f t="shared" si="73"/>
        <v>0</v>
      </c>
      <c r="BI109" s="255">
        <f t="shared" si="74"/>
        <v>10.035</v>
      </c>
      <c r="BJ109" s="255">
        <f t="shared" si="75"/>
        <v>0</v>
      </c>
      <c r="BK109" s="256">
        <f t="shared" si="76"/>
        <v>0</v>
      </c>
      <c r="BL109" s="262">
        <f t="shared" si="77"/>
        <v>0</v>
      </c>
      <c r="BM109" s="257">
        <f t="shared" si="60"/>
        <v>10.035</v>
      </c>
      <c r="BO109" s="714">
        <f t="shared" si="63"/>
        <v>0.9</v>
      </c>
    </row>
    <row r="110" spans="2:67" ht="15" customHeight="1" x14ac:dyDescent="0.25">
      <c r="B110" s="19">
        <f t="shared" si="71"/>
        <v>14</v>
      </c>
      <c r="C110" s="44" t="s">
        <v>565</v>
      </c>
      <c r="D110" s="45"/>
      <c r="E110" s="105" t="s">
        <v>126</v>
      </c>
      <c r="G110" s="477">
        <f>'[15]JSO (t)'!G107</f>
        <v>0</v>
      </c>
      <c r="H110" s="478">
        <f>'[15]JSO (t)'!H107</f>
        <v>8.9999999999999998E-4</v>
      </c>
      <c r="I110" s="461"/>
      <c r="J110" s="461"/>
      <c r="K110" s="462"/>
      <c r="L110" s="461"/>
      <c r="M110" s="461"/>
      <c r="N110" s="461"/>
      <c r="O110" s="462"/>
      <c r="P110" s="461"/>
      <c r="Q110" s="461"/>
      <c r="R110" s="462"/>
      <c r="S110" s="478">
        <f>'[15]JSO (t)'!S107</f>
        <v>0</v>
      </c>
      <c r="T110" s="483">
        <f>'[15]JSO (t)'!T107</f>
        <v>0</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61"/>
        <v>0</v>
      </c>
      <c r="AP110" s="184">
        <f t="shared" si="72"/>
        <v>9.5670000000000002</v>
      </c>
      <c r="AQ110" s="178">
        <f t="shared" si="72"/>
        <v>0</v>
      </c>
      <c r="AR110" s="178">
        <f t="shared" si="72"/>
        <v>0</v>
      </c>
      <c r="AS110" s="179">
        <f t="shared" si="72"/>
        <v>0</v>
      </c>
      <c r="AT110" s="178">
        <f t="shared" si="72"/>
        <v>0</v>
      </c>
      <c r="AU110" s="178">
        <f t="shared" si="72"/>
        <v>0</v>
      </c>
      <c r="AV110" s="178">
        <f t="shared" si="72"/>
        <v>0</v>
      </c>
      <c r="AW110" s="179">
        <f t="shared" si="72"/>
        <v>0</v>
      </c>
      <c r="AX110" s="178">
        <f t="shared" si="65"/>
        <v>0</v>
      </c>
      <c r="AY110" s="178">
        <f t="shared" si="65"/>
        <v>0</v>
      </c>
      <c r="AZ110" s="179">
        <f t="shared" si="65"/>
        <v>0</v>
      </c>
      <c r="BA110" s="184">
        <f t="shared" si="65"/>
        <v>0</v>
      </c>
      <c r="BB110" s="178">
        <f t="shared" si="65"/>
        <v>0</v>
      </c>
      <c r="BC110" s="184">
        <f t="shared" si="65"/>
        <v>0</v>
      </c>
      <c r="BD110" s="178">
        <f t="shared" si="65"/>
        <v>0</v>
      </c>
      <c r="BE110" s="244">
        <f t="shared" si="62"/>
        <v>1</v>
      </c>
      <c r="BF110" s="245">
        <f t="shared" si="59"/>
        <v>10630</v>
      </c>
      <c r="BH110" s="255">
        <f t="shared" si="73"/>
        <v>0</v>
      </c>
      <c r="BI110" s="255">
        <f t="shared" si="74"/>
        <v>9.5670000000000002</v>
      </c>
      <c r="BJ110" s="255">
        <f t="shared" si="75"/>
        <v>0</v>
      </c>
      <c r="BK110" s="256">
        <f t="shared" si="76"/>
        <v>0</v>
      </c>
      <c r="BL110" s="262">
        <f t="shared" si="77"/>
        <v>0</v>
      </c>
      <c r="BM110" s="257">
        <f t="shared" si="60"/>
        <v>9.5670000000000002</v>
      </c>
      <c r="BO110" s="714">
        <f t="shared" si="63"/>
        <v>0.9</v>
      </c>
    </row>
    <row r="111" spans="2:67" ht="15" customHeight="1" x14ac:dyDescent="0.25">
      <c r="B111" s="19">
        <f t="shared" si="71"/>
        <v>15</v>
      </c>
      <c r="C111" s="44" t="s">
        <v>560</v>
      </c>
      <c r="D111" s="45"/>
      <c r="E111" s="105" t="s">
        <v>126</v>
      </c>
      <c r="G111" s="477">
        <f>'[15]JSO (t)'!G108</f>
        <v>0</v>
      </c>
      <c r="H111" s="478">
        <f>'[15]JSO (t)'!H108</f>
        <v>8.9999999999999998E-4</v>
      </c>
      <c r="I111" s="461"/>
      <c r="J111" s="461"/>
      <c r="K111" s="462"/>
      <c r="L111" s="461"/>
      <c r="M111" s="461"/>
      <c r="N111" s="461"/>
      <c r="O111" s="462"/>
      <c r="P111" s="461"/>
      <c r="Q111" s="461"/>
      <c r="R111" s="462"/>
      <c r="S111" s="478">
        <f>'[15]JSO (t)'!S108</f>
        <v>0</v>
      </c>
      <c r="T111" s="483">
        <f>'[15]JSO (t)'!T108</f>
        <v>0</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61"/>
        <v>0</v>
      </c>
      <c r="AP111" s="184">
        <f t="shared" si="72"/>
        <v>3.7170000000000001</v>
      </c>
      <c r="AQ111" s="178">
        <f t="shared" si="72"/>
        <v>0</v>
      </c>
      <c r="AR111" s="178">
        <f t="shared" si="72"/>
        <v>0</v>
      </c>
      <c r="AS111" s="179">
        <f t="shared" si="72"/>
        <v>0</v>
      </c>
      <c r="AT111" s="178">
        <f t="shared" si="72"/>
        <v>0</v>
      </c>
      <c r="AU111" s="178">
        <f t="shared" si="72"/>
        <v>0</v>
      </c>
      <c r="AV111" s="178">
        <f t="shared" si="72"/>
        <v>0</v>
      </c>
      <c r="AW111" s="179">
        <f t="shared" si="72"/>
        <v>0</v>
      </c>
      <c r="AX111" s="178">
        <f t="shared" si="65"/>
        <v>0</v>
      </c>
      <c r="AY111" s="178">
        <f t="shared" si="65"/>
        <v>0</v>
      </c>
      <c r="AZ111" s="179">
        <f t="shared" si="65"/>
        <v>0</v>
      </c>
      <c r="BA111" s="184">
        <f t="shared" si="65"/>
        <v>0</v>
      </c>
      <c r="BB111" s="178">
        <f t="shared" si="65"/>
        <v>0</v>
      </c>
      <c r="BC111" s="184">
        <f t="shared" si="65"/>
        <v>0</v>
      </c>
      <c r="BD111" s="178">
        <f t="shared" si="65"/>
        <v>0</v>
      </c>
      <c r="BE111" s="244">
        <f t="shared" si="62"/>
        <v>1</v>
      </c>
      <c r="BF111" s="245">
        <f t="shared" si="59"/>
        <v>4130</v>
      </c>
      <c r="BH111" s="255">
        <f t="shared" si="73"/>
        <v>0</v>
      </c>
      <c r="BI111" s="255">
        <f t="shared" si="74"/>
        <v>3.7170000000000001</v>
      </c>
      <c r="BJ111" s="255">
        <f t="shared" si="75"/>
        <v>0</v>
      </c>
      <c r="BK111" s="256">
        <f t="shared" si="76"/>
        <v>0</v>
      </c>
      <c r="BL111" s="262">
        <f t="shared" si="77"/>
        <v>0</v>
      </c>
      <c r="BM111" s="257">
        <f t="shared" si="60"/>
        <v>3.7170000000000001</v>
      </c>
      <c r="BO111" s="714">
        <f t="shared" si="63"/>
        <v>0.9</v>
      </c>
    </row>
    <row r="112" spans="2:67" ht="15" customHeight="1" x14ac:dyDescent="0.25">
      <c r="B112" s="19">
        <f t="shared" si="71"/>
        <v>16</v>
      </c>
      <c r="C112" s="44" t="s">
        <v>130</v>
      </c>
      <c r="D112" s="45"/>
      <c r="E112" s="105" t="s">
        <v>126</v>
      </c>
      <c r="G112" s="477">
        <f>'[15]JSO (t)'!G109</f>
        <v>0</v>
      </c>
      <c r="H112" s="478">
        <f>'[15]JSO (t)'!H109</f>
        <v>8.9999999999999998E-4</v>
      </c>
      <c r="I112" s="461"/>
      <c r="J112" s="461"/>
      <c r="K112" s="462"/>
      <c r="L112" s="461"/>
      <c r="M112" s="461"/>
      <c r="N112" s="461"/>
      <c r="O112" s="462"/>
      <c r="P112" s="461"/>
      <c r="Q112" s="461"/>
      <c r="R112" s="462"/>
      <c r="S112" s="478">
        <f>'[15]JSO (t)'!S109</f>
        <v>0</v>
      </c>
      <c r="T112" s="483">
        <f>'[15]JSO (t)'!T109</f>
        <v>0</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61"/>
        <v>0</v>
      </c>
      <c r="AP112" s="184">
        <f t="shared" si="72"/>
        <v>27.27</v>
      </c>
      <c r="AQ112" s="178">
        <f t="shared" si="72"/>
        <v>0</v>
      </c>
      <c r="AR112" s="178">
        <f t="shared" si="72"/>
        <v>0</v>
      </c>
      <c r="AS112" s="179">
        <f t="shared" si="72"/>
        <v>0</v>
      </c>
      <c r="AT112" s="178">
        <f t="shared" si="72"/>
        <v>0</v>
      </c>
      <c r="AU112" s="178">
        <f t="shared" si="72"/>
        <v>0</v>
      </c>
      <c r="AV112" s="178">
        <f t="shared" si="72"/>
        <v>0</v>
      </c>
      <c r="AW112" s="179">
        <f t="shared" si="72"/>
        <v>0</v>
      </c>
      <c r="AX112" s="178">
        <f t="shared" si="65"/>
        <v>0</v>
      </c>
      <c r="AY112" s="178">
        <f t="shared" si="65"/>
        <v>0</v>
      </c>
      <c r="AZ112" s="179">
        <f t="shared" si="65"/>
        <v>0</v>
      </c>
      <c r="BA112" s="184">
        <f t="shared" si="65"/>
        <v>0</v>
      </c>
      <c r="BB112" s="178">
        <f t="shared" si="65"/>
        <v>0</v>
      </c>
      <c r="BC112" s="184">
        <f t="shared" si="65"/>
        <v>0</v>
      </c>
      <c r="BD112" s="178">
        <f t="shared" si="65"/>
        <v>0</v>
      </c>
      <c r="BE112" s="244">
        <f t="shared" si="62"/>
        <v>1</v>
      </c>
      <c r="BF112" s="245">
        <f t="shared" ref="BF112:BF129" si="78">SUM(Y112:AF112)</f>
        <v>30300</v>
      </c>
      <c r="BH112" s="255">
        <f t="shared" si="73"/>
        <v>0</v>
      </c>
      <c r="BI112" s="255">
        <f t="shared" si="74"/>
        <v>27.27</v>
      </c>
      <c r="BJ112" s="255">
        <f t="shared" si="75"/>
        <v>0</v>
      </c>
      <c r="BK112" s="256">
        <f t="shared" si="76"/>
        <v>0</v>
      </c>
      <c r="BL112" s="262">
        <f t="shared" si="77"/>
        <v>0</v>
      </c>
      <c r="BM112" s="257">
        <f t="shared" si="60"/>
        <v>27.27</v>
      </c>
      <c r="BO112" s="714">
        <f t="shared" si="63"/>
        <v>0.9</v>
      </c>
    </row>
    <row r="113" spans="2:67" ht="15" customHeight="1" x14ac:dyDescent="0.25">
      <c r="B113" s="19">
        <f t="shared" si="71"/>
        <v>17</v>
      </c>
      <c r="C113" s="44" t="s">
        <v>131</v>
      </c>
      <c r="D113" s="45"/>
      <c r="E113" s="105" t="s">
        <v>126</v>
      </c>
      <c r="G113" s="477">
        <f>'[15]JSO (t)'!G110</f>
        <v>0</v>
      </c>
      <c r="H113" s="478">
        <f>'[15]JSO (t)'!H110</f>
        <v>8.9999999999999998E-4</v>
      </c>
      <c r="I113" s="461"/>
      <c r="J113" s="461"/>
      <c r="K113" s="462"/>
      <c r="L113" s="461"/>
      <c r="M113" s="461"/>
      <c r="N113" s="461"/>
      <c r="O113" s="462"/>
      <c r="P113" s="461"/>
      <c r="Q113" s="461"/>
      <c r="R113" s="462"/>
      <c r="S113" s="478">
        <f>'[15]JSO (t)'!S110</f>
        <v>0</v>
      </c>
      <c r="T113" s="483">
        <f>'[15]JSO (t)'!T110</f>
        <v>0</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61"/>
        <v>0</v>
      </c>
      <c r="AP113" s="184">
        <f t="shared" si="72"/>
        <v>43.019999999999996</v>
      </c>
      <c r="AQ113" s="178">
        <f t="shared" si="72"/>
        <v>0</v>
      </c>
      <c r="AR113" s="178">
        <f t="shared" si="72"/>
        <v>0</v>
      </c>
      <c r="AS113" s="179">
        <f t="shared" si="72"/>
        <v>0</v>
      </c>
      <c r="AT113" s="178">
        <f t="shared" si="72"/>
        <v>0</v>
      </c>
      <c r="AU113" s="178">
        <f t="shared" si="72"/>
        <v>0</v>
      </c>
      <c r="AV113" s="178">
        <f t="shared" si="72"/>
        <v>0</v>
      </c>
      <c r="AW113" s="179">
        <f t="shared" si="72"/>
        <v>0</v>
      </c>
      <c r="AX113" s="178">
        <f t="shared" si="65"/>
        <v>0</v>
      </c>
      <c r="AY113" s="178">
        <f t="shared" si="65"/>
        <v>0</v>
      </c>
      <c r="AZ113" s="179">
        <f t="shared" si="65"/>
        <v>0</v>
      </c>
      <c r="BA113" s="184">
        <f t="shared" si="65"/>
        <v>0</v>
      </c>
      <c r="BB113" s="178">
        <f t="shared" si="65"/>
        <v>0</v>
      </c>
      <c r="BC113" s="184">
        <f t="shared" si="65"/>
        <v>0</v>
      </c>
      <c r="BD113" s="178">
        <f t="shared" si="65"/>
        <v>0</v>
      </c>
      <c r="BE113" s="244">
        <f t="shared" si="62"/>
        <v>1</v>
      </c>
      <c r="BF113" s="245">
        <f t="shared" si="78"/>
        <v>47800</v>
      </c>
      <c r="BH113" s="255">
        <f t="shared" si="73"/>
        <v>0</v>
      </c>
      <c r="BI113" s="255">
        <f t="shared" si="74"/>
        <v>43.019999999999996</v>
      </c>
      <c r="BJ113" s="255">
        <f t="shared" si="75"/>
        <v>0</v>
      </c>
      <c r="BK113" s="256">
        <f t="shared" si="76"/>
        <v>0</v>
      </c>
      <c r="BL113" s="262">
        <f t="shared" si="77"/>
        <v>0</v>
      </c>
      <c r="BM113" s="257">
        <f t="shared" si="60"/>
        <v>43.019999999999996</v>
      </c>
      <c r="BO113" s="714">
        <f t="shared" si="63"/>
        <v>0.8999999999999998</v>
      </c>
    </row>
    <row r="114" spans="2:67" ht="15" customHeight="1" x14ac:dyDescent="0.25">
      <c r="B114" s="19">
        <f t="shared" si="71"/>
        <v>18</v>
      </c>
      <c r="C114" s="44" t="s">
        <v>561</v>
      </c>
      <c r="D114" s="45"/>
      <c r="E114" s="105" t="s">
        <v>126</v>
      </c>
      <c r="G114" s="477">
        <f>'[15]JSO (t)'!G111</f>
        <v>0</v>
      </c>
      <c r="H114" s="478">
        <f>'[15]JSO (t)'!H111</f>
        <v>8.9999999999999998E-4</v>
      </c>
      <c r="I114" s="461"/>
      <c r="J114" s="461"/>
      <c r="K114" s="462"/>
      <c r="L114" s="461"/>
      <c r="M114" s="461"/>
      <c r="N114" s="461"/>
      <c r="O114" s="462"/>
      <c r="P114" s="461"/>
      <c r="Q114" s="461"/>
      <c r="R114" s="462"/>
      <c r="S114" s="478">
        <f>'[15]JSO (t)'!S111</f>
        <v>0</v>
      </c>
      <c r="T114" s="483">
        <f>'[15]JSO (t)'!T111</f>
        <v>0</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61"/>
        <v>0</v>
      </c>
      <c r="AP114" s="184">
        <f t="shared" si="72"/>
        <v>2.5739999999999998</v>
      </c>
      <c r="AQ114" s="178">
        <f t="shared" si="72"/>
        <v>0</v>
      </c>
      <c r="AR114" s="178">
        <f t="shared" si="72"/>
        <v>0</v>
      </c>
      <c r="AS114" s="179">
        <f t="shared" si="72"/>
        <v>0</v>
      </c>
      <c r="AT114" s="178">
        <f t="shared" si="72"/>
        <v>0</v>
      </c>
      <c r="AU114" s="178">
        <f t="shared" si="72"/>
        <v>0</v>
      </c>
      <c r="AV114" s="178">
        <f t="shared" si="72"/>
        <v>0</v>
      </c>
      <c r="AW114" s="179">
        <f t="shared" si="72"/>
        <v>0</v>
      </c>
      <c r="AX114" s="178">
        <f t="shared" si="65"/>
        <v>0</v>
      </c>
      <c r="AY114" s="178">
        <f t="shared" si="65"/>
        <v>0</v>
      </c>
      <c r="AZ114" s="179">
        <f t="shared" si="65"/>
        <v>0</v>
      </c>
      <c r="BA114" s="184">
        <f t="shared" si="65"/>
        <v>0</v>
      </c>
      <c r="BB114" s="178">
        <f t="shared" si="65"/>
        <v>0</v>
      </c>
      <c r="BC114" s="184">
        <f t="shared" si="65"/>
        <v>0</v>
      </c>
      <c r="BD114" s="178">
        <f t="shared" si="65"/>
        <v>0</v>
      </c>
      <c r="BE114" s="244">
        <f t="shared" si="62"/>
        <v>1</v>
      </c>
      <c r="BF114" s="245">
        <f t="shared" si="78"/>
        <v>2860</v>
      </c>
      <c r="BH114" s="255">
        <f t="shared" si="73"/>
        <v>0</v>
      </c>
      <c r="BI114" s="255">
        <f t="shared" si="74"/>
        <v>2.5739999999999998</v>
      </c>
      <c r="BJ114" s="255">
        <f t="shared" si="75"/>
        <v>0</v>
      </c>
      <c r="BK114" s="256">
        <f t="shared" si="76"/>
        <v>0</v>
      </c>
      <c r="BL114" s="262">
        <f t="shared" si="77"/>
        <v>0</v>
      </c>
      <c r="BM114" s="257">
        <f t="shared" si="60"/>
        <v>2.5739999999999998</v>
      </c>
      <c r="BO114" s="714">
        <f t="shared" si="63"/>
        <v>0.9</v>
      </c>
    </row>
    <row r="115" spans="2:67"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61"/>
        <v>0</v>
      </c>
      <c r="AP115" s="184">
        <f t="shared" si="72"/>
        <v>0</v>
      </c>
      <c r="AQ115" s="178">
        <f t="shared" si="72"/>
        <v>0</v>
      </c>
      <c r="AR115" s="178">
        <f t="shared" si="72"/>
        <v>0</v>
      </c>
      <c r="AS115" s="179">
        <f t="shared" si="72"/>
        <v>0</v>
      </c>
      <c r="AT115" s="178">
        <f t="shared" si="72"/>
        <v>0</v>
      </c>
      <c r="AU115" s="178">
        <f t="shared" si="72"/>
        <v>0</v>
      </c>
      <c r="AV115" s="178">
        <f t="shared" si="72"/>
        <v>0</v>
      </c>
      <c r="AW115" s="179">
        <f t="shared" si="72"/>
        <v>0</v>
      </c>
      <c r="AX115" s="178">
        <f t="shared" si="65"/>
        <v>0</v>
      </c>
      <c r="AY115" s="178">
        <f t="shared" si="65"/>
        <v>0</v>
      </c>
      <c r="AZ115" s="179">
        <f t="shared" si="65"/>
        <v>0</v>
      </c>
      <c r="BA115" s="184">
        <f t="shared" si="65"/>
        <v>0</v>
      </c>
      <c r="BB115" s="178">
        <f t="shared" si="65"/>
        <v>0</v>
      </c>
      <c r="BC115" s="184">
        <f t="shared" si="65"/>
        <v>0</v>
      </c>
      <c r="BD115" s="178">
        <f t="shared" si="65"/>
        <v>0</v>
      </c>
      <c r="BE115" s="244">
        <f t="shared" si="62"/>
        <v>0</v>
      </c>
      <c r="BF115" s="245">
        <f t="shared" si="78"/>
        <v>0</v>
      </c>
      <c r="BH115" s="252">
        <f>SUBTOTAL(9,BH116:BH119)</f>
        <v>0</v>
      </c>
      <c r="BI115" s="252">
        <f>SUBTOTAL(9,BI116:BI119)</f>
        <v>16.091999999999999</v>
      </c>
      <c r="BJ115" s="252">
        <f>SUBTOTAL(9,BJ116:BJ119)</f>
        <v>0</v>
      </c>
      <c r="BK115" s="252">
        <f>SUBTOTAL(9,BK116:BK119)</f>
        <v>0</v>
      </c>
      <c r="BL115" s="252">
        <f>SUBTOTAL(9,BL116:BL119)</f>
        <v>0</v>
      </c>
      <c r="BM115" s="257">
        <f t="shared" si="60"/>
        <v>16.091999999999999</v>
      </c>
      <c r="BO115" s="714" t="str">
        <f t="shared" si="63"/>
        <v/>
      </c>
    </row>
    <row r="116" spans="2:67" ht="15" customHeight="1" x14ac:dyDescent="0.25">
      <c r="B116" s="19">
        <f>B114+1</f>
        <v>19</v>
      </c>
      <c r="C116" s="44" t="s">
        <v>133</v>
      </c>
      <c r="D116" s="45"/>
      <c r="E116" s="105" t="s">
        <v>134</v>
      </c>
      <c r="G116" s="477">
        <f>'[15]JSO (t)'!G113</f>
        <v>0</v>
      </c>
      <c r="H116" s="478">
        <f>'[15]JSO (t)'!H113</f>
        <v>8.9999999999999998E-4</v>
      </c>
      <c r="I116" s="461"/>
      <c r="J116" s="461"/>
      <c r="K116" s="462"/>
      <c r="L116" s="461"/>
      <c r="M116" s="461"/>
      <c r="N116" s="461"/>
      <c r="O116" s="462"/>
      <c r="P116" s="461"/>
      <c r="Q116" s="461"/>
      <c r="R116" s="462"/>
      <c r="S116" s="478">
        <f>'[15]JSO (t)'!S113</f>
        <v>0</v>
      </c>
      <c r="T116" s="483">
        <f>'[15]JSO (t)'!T113</f>
        <v>0</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61"/>
        <v>0</v>
      </c>
      <c r="AP116" s="184">
        <f t="shared" si="72"/>
        <v>0</v>
      </c>
      <c r="AQ116" s="178">
        <f t="shared" si="72"/>
        <v>0</v>
      </c>
      <c r="AR116" s="178">
        <f t="shared" si="72"/>
        <v>0</v>
      </c>
      <c r="AS116" s="179">
        <f t="shared" si="72"/>
        <v>0</v>
      </c>
      <c r="AT116" s="178">
        <f t="shared" si="72"/>
        <v>0</v>
      </c>
      <c r="AU116" s="178">
        <f t="shared" si="72"/>
        <v>0</v>
      </c>
      <c r="AV116" s="178">
        <f t="shared" si="72"/>
        <v>0</v>
      </c>
      <c r="AW116" s="179">
        <f t="shared" si="72"/>
        <v>0</v>
      </c>
      <c r="AX116" s="178">
        <f t="shared" si="65"/>
        <v>0</v>
      </c>
      <c r="AY116" s="178">
        <f t="shared" si="65"/>
        <v>0</v>
      </c>
      <c r="AZ116" s="179">
        <f t="shared" si="65"/>
        <v>0</v>
      </c>
      <c r="BA116" s="184">
        <f t="shared" si="65"/>
        <v>0</v>
      </c>
      <c r="BB116" s="178">
        <f t="shared" si="65"/>
        <v>0</v>
      </c>
      <c r="BC116" s="184">
        <f t="shared" si="65"/>
        <v>0</v>
      </c>
      <c r="BD116" s="178">
        <f t="shared" si="65"/>
        <v>0</v>
      </c>
      <c r="BE116" s="244">
        <f t="shared" si="62"/>
        <v>0</v>
      </c>
      <c r="BF116" s="245">
        <f t="shared" si="78"/>
        <v>0</v>
      </c>
      <c r="BH116" s="255">
        <f>SUM(AO116)</f>
        <v>0</v>
      </c>
      <c r="BI116" s="255">
        <f>SUM(AP116:AS116)</f>
        <v>0</v>
      </c>
      <c r="BJ116" s="255">
        <f>SUM(AT116:AW116)</f>
        <v>0</v>
      </c>
      <c r="BK116" s="256">
        <f>SUM(AX116:BB116)</f>
        <v>0</v>
      </c>
      <c r="BL116" s="262">
        <f>SUM(BC116:BD116)</f>
        <v>0</v>
      </c>
      <c r="BM116" s="257">
        <f t="shared" si="60"/>
        <v>0</v>
      </c>
      <c r="BO116" s="714" t="str">
        <f t="shared" si="63"/>
        <v/>
      </c>
    </row>
    <row r="117" spans="2:67" ht="15" customHeight="1" x14ac:dyDescent="0.25">
      <c r="B117" s="19">
        <f>B116+1</f>
        <v>20</v>
      </c>
      <c r="C117" s="44" t="s">
        <v>135</v>
      </c>
      <c r="D117" s="45"/>
      <c r="E117" s="105" t="s">
        <v>136</v>
      </c>
      <c r="G117" s="477">
        <f>'[15]JSO (t)'!G114</f>
        <v>0</v>
      </c>
      <c r="H117" s="478">
        <f>'[15]JSO (t)'!H114</f>
        <v>8.9999999999999998E-4</v>
      </c>
      <c r="I117" s="461"/>
      <c r="J117" s="461"/>
      <c r="K117" s="462"/>
      <c r="L117" s="461"/>
      <c r="M117" s="461"/>
      <c r="N117" s="461"/>
      <c r="O117" s="462"/>
      <c r="P117" s="461"/>
      <c r="Q117" s="461"/>
      <c r="R117" s="462"/>
      <c r="S117" s="478">
        <f>'[15]JSO (t)'!S114</f>
        <v>0</v>
      </c>
      <c r="T117" s="483">
        <f>'[15]JSO (t)'!T114</f>
        <v>0</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61"/>
        <v>0</v>
      </c>
      <c r="AP117" s="184">
        <f t="shared" ref="AP117:AW129" si="79">H117*Y117</f>
        <v>6.75</v>
      </c>
      <c r="AQ117" s="178">
        <f t="shared" si="79"/>
        <v>0</v>
      </c>
      <c r="AR117" s="178">
        <f t="shared" si="79"/>
        <v>0</v>
      </c>
      <c r="AS117" s="179">
        <f t="shared" si="79"/>
        <v>0</v>
      </c>
      <c r="AT117" s="178">
        <f t="shared" si="79"/>
        <v>0</v>
      </c>
      <c r="AU117" s="178">
        <f t="shared" si="79"/>
        <v>0</v>
      </c>
      <c r="AV117" s="178">
        <f t="shared" si="79"/>
        <v>0</v>
      </c>
      <c r="AW117" s="179">
        <f t="shared" si="79"/>
        <v>0</v>
      </c>
      <c r="AX117" s="178">
        <f t="shared" si="65"/>
        <v>0</v>
      </c>
      <c r="AY117" s="178">
        <f t="shared" si="65"/>
        <v>0</v>
      </c>
      <c r="AZ117" s="179">
        <f t="shared" si="65"/>
        <v>0</v>
      </c>
      <c r="BA117" s="184">
        <f t="shared" si="65"/>
        <v>0</v>
      </c>
      <c r="BB117" s="178">
        <f t="shared" si="65"/>
        <v>0</v>
      </c>
      <c r="BC117" s="184">
        <f t="shared" si="65"/>
        <v>0</v>
      </c>
      <c r="BD117" s="178">
        <f t="shared" si="65"/>
        <v>0</v>
      </c>
      <c r="BE117" s="244">
        <f t="shared" si="62"/>
        <v>1</v>
      </c>
      <c r="BF117" s="245">
        <f t="shared" si="78"/>
        <v>7500</v>
      </c>
      <c r="BH117" s="255">
        <f>SUM(AO117)</f>
        <v>0</v>
      </c>
      <c r="BI117" s="255">
        <f>SUM(AP117:AS117)</f>
        <v>6.75</v>
      </c>
      <c r="BJ117" s="255">
        <f>SUM(AT117:AW117)</f>
        <v>0</v>
      </c>
      <c r="BK117" s="256">
        <f>SUM(AX117:BB117)</f>
        <v>0</v>
      </c>
      <c r="BL117" s="262">
        <f>SUM(BC117:BD117)</f>
        <v>0</v>
      </c>
      <c r="BM117" s="257">
        <f t="shared" si="60"/>
        <v>6.75</v>
      </c>
      <c r="BO117" s="714">
        <f t="shared" si="63"/>
        <v>0.9</v>
      </c>
    </row>
    <row r="118" spans="2:67" ht="15" customHeight="1" x14ac:dyDescent="0.25">
      <c r="B118" s="19">
        <f t="shared" si="71"/>
        <v>21</v>
      </c>
      <c r="C118" s="44" t="s">
        <v>137</v>
      </c>
      <c r="D118" s="45"/>
      <c r="E118" s="105" t="s">
        <v>136</v>
      </c>
      <c r="G118" s="477">
        <f>'[15]JSO (t)'!G115</f>
        <v>0</v>
      </c>
      <c r="H118" s="478">
        <f>'[15]JSO (t)'!H115</f>
        <v>8.9999999999999998E-4</v>
      </c>
      <c r="I118" s="461"/>
      <c r="J118" s="461"/>
      <c r="K118" s="462"/>
      <c r="L118" s="461"/>
      <c r="M118" s="461"/>
      <c r="N118" s="461"/>
      <c r="O118" s="462"/>
      <c r="P118" s="461"/>
      <c r="Q118" s="461"/>
      <c r="R118" s="462"/>
      <c r="S118" s="478">
        <f>'[15]JSO (t)'!S115</f>
        <v>0</v>
      </c>
      <c r="T118" s="483">
        <f>'[15]JSO (t)'!T115</f>
        <v>0</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61"/>
        <v>0</v>
      </c>
      <c r="AP118" s="184">
        <f t="shared" si="79"/>
        <v>1.98</v>
      </c>
      <c r="AQ118" s="178">
        <f t="shared" si="79"/>
        <v>0</v>
      </c>
      <c r="AR118" s="178">
        <f t="shared" si="79"/>
        <v>0</v>
      </c>
      <c r="AS118" s="179">
        <f t="shared" si="79"/>
        <v>0</v>
      </c>
      <c r="AT118" s="178">
        <f t="shared" si="79"/>
        <v>0</v>
      </c>
      <c r="AU118" s="178">
        <f t="shared" si="79"/>
        <v>0</v>
      </c>
      <c r="AV118" s="178">
        <f t="shared" si="79"/>
        <v>0</v>
      </c>
      <c r="AW118" s="179">
        <f t="shared" si="79"/>
        <v>0</v>
      </c>
      <c r="AX118" s="178">
        <f t="shared" si="65"/>
        <v>0</v>
      </c>
      <c r="AY118" s="178">
        <f t="shared" si="65"/>
        <v>0</v>
      </c>
      <c r="AZ118" s="179">
        <f t="shared" si="65"/>
        <v>0</v>
      </c>
      <c r="BA118" s="184">
        <f t="shared" si="65"/>
        <v>0</v>
      </c>
      <c r="BB118" s="178">
        <f t="shared" si="65"/>
        <v>0</v>
      </c>
      <c r="BC118" s="184">
        <f t="shared" si="65"/>
        <v>0</v>
      </c>
      <c r="BD118" s="178">
        <f t="shared" si="65"/>
        <v>0</v>
      </c>
      <c r="BE118" s="244">
        <f t="shared" si="62"/>
        <v>1</v>
      </c>
      <c r="BF118" s="245">
        <f t="shared" si="78"/>
        <v>2200</v>
      </c>
      <c r="BH118" s="255">
        <f>SUM(AO118)</f>
        <v>0</v>
      </c>
      <c r="BI118" s="255">
        <f>SUM(AP118:AS118)</f>
        <v>1.98</v>
      </c>
      <c r="BJ118" s="255">
        <f>SUM(AT118:AW118)</f>
        <v>0</v>
      </c>
      <c r="BK118" s="256">
        <f>SUM(AX118:BB118)</f>
        <v>0</v>
      </c>
      <c r="BL118" s="262">
        <f>SUM(BC118:BD118)</f>
        <v>0</v>
      </c>
      <c r="BM118" s="257">
        <f t="shared" si="60"/>
        <v>1.98</v>
      </c>
      <c r="BO118" s="714">
        <f t="shared" si="63"/>
        <v>0.9</v>
      </c>
    </row>
    <row r="119" spans="2:67" ht="15" customHeight="1" x14ac:dyDescent="0.25">
      <c r="B119" s="19">
        <f t="shared" si="71"/>
        <v>22</v>
      </c>
      <c r="C119" s="44" t="s">
        <v>138</v>
      </c>
      <c r="D119" s="45"/>
      <c r="E119" s="105" t="s">
        <v>136</v>
      </c>
      <c r="G119" s="477">
        <f>'[15]JSO (t)'!G116</f>
        <v>0</v>
      </c>
      <c r="H119" s="478">
        <f>'[15]JSO (t)'!H116</f>
        <v>8.9999999999999998E-4</v>
      </c>
      <c r="I119" s="461"/>
      <c r="J119" s="461"/>
      <c r="K119" s="462"/>
      <c r="L119" s="461"/>
      <c r="M119" s="461"/>
      <c r="N119" s="461"/>
      <c r="O119" s="462"/>
      <c r="P119" s="461"/>
      <c r="Q119" s="461"/>
      <c r="R119" s="462"/>
      <c r="S119" s="478">
        <f>'[15]JSO (t)'!S116</f>
        <v>0</v>
      </c>
      <c r="T119" s="483">
        <f>'[15]JSO (t)'!T116</f>
        <v>0</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61"/>
        <v>0</v>
      </c>
      <c r="AP119" s="184">
        <f t="shared" si="79"/>
        <v>7.3620000000000001</v>
      </c>
      <c r="AQ119" s="178">
        <f t="shared" si="79"/>
        <v>0</v>
      </c>
      <c r="AR119" s="178">
        <f t="shared" si="79"/>
        <v>0</v>
      </c>
      <c r="AS119" s="179">
        <f t="shared" si="79"/>
        <v>0</v>
      </c>
      <c r="AT119" s="178">
        <f t="shared" si="79"/>
        <v>0</v>
      </c>
      <c r="AU119" s="178">
        <f t="shared" si="79"/>
        <v>0</v>
      </c>
      <c r="AV119" s="178">
        <f t="shared" si="79"/>
        <v>0</v>
      </c>
      <c r="AW119" s="179">
        <f t="shared" si="79"/>
        <v>0</v>
      </c>
      <c r="AX119" s="178">
        <f t="shared" si="65"/>
        <v>0</v>
      </c>
      <c r="AY119" s="178">
        <f t="shared" si="65"/>
        <v>0</v>
      </c>
      <c r="AZ119" s="179">
        <f t="shared" si="65"/>
        <v>0</v>
      </c>
      <c r="BA119" s="184">
        <f t="shared" si="65"/>
        <v>0</v>
      </c>
      <c r="BB119" s="178">
        <f t="shared" si="65"/>
        <v>0</v>
      </c>
      <c r="BC119" s="184">
        <f t="shared" si="65"/>
        <v>0</v>
      </c>
      <c r="BD119" s="178">
        <f t="shared" si="65"/>
        <v>0</v>
      </c>
      <c r="BE119" s="244">
        <f t="shared" si="62"/>
        <v>1</v>
      </c>
      <c r="BF119" s="245">
        <f t="shared" si="78"/>
        <v>8180</v>
      </c>
      <c r="BH119" s="255">
        <f>SUM(AO119)</f>
        <v>0</v>
      </c>
      <c r="BI119" s="255">
        <f>SUM(AP119:AS119)</f>
        <v>7.3620000000000001</v>
      </c>
      <c r="BJ119" s="255">
        <f>SUM(AT119:AW119)</f>
        <v>0</v>
      </c>
      <c r="BK119" s="256">
        <f>SUM(AX119:BB119)</f>
        <v>0</v>
      </c>
      <c r="BL119" s="262">
        <f>SUM(BC119:BD119)</f>
        <v>0</v>
      </c>
      <c r="BM119" s="257">
        <f t="shared" si="60"/>
        <v>7.3620000000000001</v>
      </c>
      <c r="BO119" s="714">
        <f t="shared" si="63"/>
        <v>0.9</v>
      </c>
    </row>
    <row r="120" spans="2:67"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61"/>
        <v>0</v>
      </c>
      <c r="AP120" s="184">
        <f t="shared" si="79"/>
        <v>0</v>
      </c>
      <c r="AQ120" s="178">
        <f t="shared" si="79"/>
        <v>0</v>
      </c>
      <c r="AR120" s="178">
        <f t="shared" si="79"/>
        <v>0</v>
      </c>
      <c r="AS120" s="179">
        <f t="shared" si="79"/>
        <v>0</v>
      </c>
      <c r="AT120" s="178">
        <f t="shared" si="79"/>
        <v>0</v>
      </c>
      <c r="AU120" s="178">
        <f t="shared" si="79"/>
        <v>0</v>
      </c>
      <c r="AV120" s="178">
        <f t="shared" si="79"/>
        <v>0</v>
      </c>
      <c r="AW120" s="179">
        <f t="shared" si="79"/>
        <v>0</v>
      </c>
      <c r="AX120" s="178">
        <f t="shared" si="65"/>
        <v>0</v>
      </c>
      <c r="AY120" s="178">
        <f t="shared" si="65"/>
        <v>0</v>
      </c>
      <c r="AZ120" s="179">
        <f t="shared" si="65"/>
        <v>0</v>
      </c>
      <c r="BA120" s="184">
        <f t="shared" si="65"/>
        <v>0</v>
      </c>
      <c r="BB120" s="178">
        <f t="shared" si="65"/>
        <v>0</v>
      </c>
      <c r="BC120" s="184">
        <f t="shared" si="65"/>
        <v>0</v>
      </c>
      <c r="BD120" s="178">
        <f t="shared" si="65"/>
        <v>0</v>
      </c>
      <c r="BE120" s="244">
        <f t="shared" si="62"/>
        <v>0</v>
      </c>
      <c r="BF120" s="245">
        <f t="shared" si="78"/>
        <v>0</v>
      </c>
      <c r="BH120" s="252">
        <f>SUBTOTAL(9,BH121:BH129)</f>
        <v>0</v>
      </c>
      <c r="BI120" s="252">
        <f>SUBTOTAL(9,BI121:BI129)</f>
        <v>583.29</v>
      </c>
      <c r="BJ120" s="252">
        <f>SUBTOTAL(9,BJ121:BJ129)</f>
        <v>0</v>
      </c>
      <c r="BK120" s="252">
        <f>SUBTOTAL(9,BK121:BK129)</f>
        <v>0</v>
      </c>
      <c r="BL120" s="252">
        <f>SUBTOTAL(9,BL121:BL129)</f>
        <v>0</v>
      </c>
      <c r="BM120" s="257">
        <f t="shared" si="60"/>
        <v>583.29</v>
      </c>
      <c r="BO120" s="714" t="str">
        <f t="shared" si="63"/>
        <v/>
      </c>
    </row>
    <row r="121" spans="2:67" ht="15" customHeight="1" x14ac:dyDescent="0.25">
      <c r="B121" s="19">
        <f>B119+1</f>
        <v>23</v>
      </c>
      <c r="C121" s="44" t="s">
        <v>140</v>
      </c>
      <c r="D121" s="45"/>
      <c r="E121" s="105" t="s">
        <v>141</v>
      </c>
      <c r="G121" s="477">
        <f>'[15]JSO (t)'!G118</f>
        <v>0</v>
      </c>
      <c r="H121" s="478">
        <f>'[15]JSO (t)'!H118</f>
        <v>8.9999999999999998E-4</v>
      </c>
      <c r="I121" s="461"/>
      <c r="J121" s="461"/>
      <c r="K121" s="462"/>
      <c r="L121" s="461"/>
      <c r="M121" s="461"/>
      <c r="N121" s="461"/>
      <c r="O121" s="462"/>
      <c r="P121" s="461"/>
      <c r="Q121" s="461"/>
      <c r="R121" s="462"/>
      <c r="S121" s="478">
        <f>'[15]JSO (t)'!S118</f>
        <v>0</v>
      </c>
      <c r="T121" s="483">
        <f>'[15]JSO (t)'!T118</f>
        <v>0</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61"/>
        <v>0</v>
      </c>
      <c r="AP121" s="184">
        <f t="shared" si="79"/>
        <v>127.35</v>
      </c>
      <c r="AQ121" s="178">
        <f t="shared" si="79"/>
        <v>0</v>
      </c>
      <c r="AR121" s="178">
        <f t="shared" si="79"/>
        <v>0</v>
      </c>
      <c r="AS121" s="179">
        <f t="shared" si="79"/>
        <v>0</v>
      </c>
      <c r="AT121" s="178">
        <f t="shared" si="79"/>
        <v>0</v>
      </c>
      <c r="AU121" s="178">
        <f t="shared" si="79"/>
        <v>0</v>
      </c>
      <c r="AV121" s="178">
        <f t="shared" si="79"/>
        <v>0</v>
      </c>
      <c r="AW121" s="179">
        <f t="shared" si="79"/>
        <v>0</v>
      </c>
      <c r="AX121" s="178">
        <f t="shared" si="65"/>
        <v>0</v>
      </c>
      <c r="AY121" s="178">
        <f t="shared" si="65"/>
        <v>0</v>
      </c>
      <c r="AZ121" s="179">
        <f t="shared" si="65"/>
        <v>0</v>
      </c>
      <c r="BA121" s="184">
        <f t="shared" si="65"/>
        <v>0</v>
      </c>
      <c r="BB121" s="178">
        <f t="shared" si="65"/>
        <v>0</v>
      </c>
      <c r="BC121" s="184">
        <f t="shared" si="65"/>
        <v>0</v>
      </c>
      <c r="BD121" s="178">
        <f t="shared" si="65"/>
        <v>0</v>
      </c>
      <c r="BE121" s="244">
        <f t="shared" si="62"/>
        <v>1</v>
      </c>
      <c r="BF121" s="245">
        <f t="shared" si="78"/>
        <v>141500</v>
      </c>
      <c r="BH121" s="255">
        <f t="shared" ref="BH121:BH129" si="80">SUM(AO121)</f>
        <v>0</v>
      </c>
      <c r="BI121" s="255">
        <f t="shared" ref="BI121:BI129" si="81">SUM(AP121:AS121)</f>
        <v>127.35</v>
      </c>
      <c r="BJ121" s="255">
        <f t="shared" ref="BJ121:BJ129" si="82">SUM(AT121:AW121)</f>
        <v>0</v>
      </c>
      <c r="BK121" s="256">
        <f t="shared" ref="BK121:BK129" si="83">SUM(AX121:BB121)</f>
        <v>0</v>
      </c>
      <c r="BL121" s="262">
        <f t="shared" ref="BL121:BL129" si="84">SUM(BC121:BD121)</f>
        <v>0</v>
      </c>
      <c r="BM121" s="257">
        <f t="shared" si="60"/>
        <v>127.35</v>
      </c>
      <c r="BO121" s="714">
        <f t="shared" si="63"/>
        <v>0.9</v>
      </c>
    </row>
    <row r="122" spans="2:67" ht="15" customHeight="1" x14ac:dyDescent="0.25">
      <c r="B122" s="19">
        <f t="shared" si="71"/>
        <v>24</v>
      </c>
      <c r="C122" s="44" t="s">
        <v>142</v>
      </c>
      <c r="D122" s="45"/>
      <c r="E122" s="105" t="s">
        <v>141</v>
      </c>
      <c r="G122" s="477">
        <f>'[15]JSO (t)'!G119</f>
        <v>0</v>
      </c>
      <c r="H122" s="478">
        <f>'[15]JSO (t)'!H119</f>
        <v>8.9999999999999998E-4</v>
      </c>
      <c r="I122" s="461"/>
      <c r="J122" s="461"/>
      <c r="K122" s="462"/>
      <c r="L122" s="461"/>
      <c r="M122" s="461"/>
      <c r="N122" s="461"/>
      <c r="O122" s="462"/>
      <c r="P122" s="461"/>
      <c r="Q122" s="461"/>
      <c r="R122" s="462"/>
      <c r="S122" s="478">
        <f>'[15]JSO (t)'!S119</f>
        <v>0</v>
      </c>
      <c r="T122" s="483">
        <f>'[15]JSO (t)'!T119</f>
        <v>0</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61"/>
        <v>0</v>
      </c>
      <c r="AP122" s="184">
        <f t="shared" si="79"/>
        <v>243.09</v>
      </c>
      <c r="AQ122" s="178">
        <f t="shared" si="79"/>
        <v>0</v>
      </c>
      <c r="AR122" s="178">
        <f t="shared" si="79"/>
        <v>0</v>
      </c>
      <c r="AS122" s="179">
        <f t="shared" si="79"/>
        <v>0</v>
      </c>
      <c r="AT122" s="178">
        <f t="shared" si="79"/>
        <v>0</v>
      </c>
      <c r="AU122" s="178">
        <f t="shared" si="79"/>
        <v>0</v>
      </c>
      <c r="AV122" s="178">
        <f t="shared" si="79"/>
        <v>0</v>
      </c>
      <c r="AW122" s="179">
        <f t="shared" si="79"/>
        <v>0</v>
      </c>
      <c r="AX122" s="178">
        <f t="shared" si="65"/>
        <v>0</v>
      </c>
      <c r="AY122" s="178">
        <f t="shared" si="65"/>
        <v>0</v>
      </c>
      <c r="AZ122" s="179">
        <f t="shared" si="65"/>
        <v>0</v>
      </c>
      <c r="BA122" s="184">
        <f t="shared" si="65"/>
        <v>0</v>
      </c>
      <c r="BB122" s="178">
        <f t="shared" si="65"/>
        <v>0</v>
      </c>
      <c r="BC122" s="184">
        <f t="shared" si="65"/>
        <v>0</v>
      </c>
      <c r="BD122" s="178">
        <f t="shared" si="65"/>
        <v>0</v>
      </c>
      <c r="BE122" s="244">
        <f t="shared" si="62"/>
        <v>1</v>
      </c>
      <c r="BF122" s="245">
        <f t="shared" si="78"/>
        <v>270100</v>
      </c>
      <c r="BH122" s="255">
        <f t="shared" si="80"/>
        <v>0</v>
      </c>
      <c r="BI122" s="255">
        <f t="shared" si="81"/>
        <v>243.09</v>
      </c>
      <c r="BJ122" s="255">
        <f t="shared" si="82"/>
        <v>0</v>
      </c>
      <c r="BK122" s="256">
        <f t="shared" si="83"/>
        <v>0</v>
      </c>
      <c r="BL122" s="262">
        <f t="shared" si="84"/>
        <v>0</v>
      </c>
      <c r="BM122" s="257">
        <f t="shared" si="60"/>
        <v>243.09</v>
      </c>
      <c r="BO122" s="714">
        <f t="shared" si="63"/>
        <v>0.9</v>
      </c>
    </row>
    <row r="123" spans="2:67" ht="15" customHeight="1" x14ac:dyDescent="0.25">
      <c r="B123" s="19">
        <f t="shared" si="71"/>
        <v>25</v>
      </c>
      <c r="C123" s="44" t="s">
        <v>143</v>
      </c>
      <c r="D123" s="45"/>
      <c r="E123" s="105" t="s">
        <v>141</v>
      </c>
      <c r="G123" s="477">
        <f>'[15]JSO (t)'!G120</f>
        <v>0</v>
      </c>
      <c r="H123" s="478">
        <f>'[15]JSO (t)'!H120</f>
        <v>8.9999999999999998E-4</v>
      </c>
      <c r="I123" s="461"/>
      <c r="J123" s="461"/>
      <c r="K123" s="462"/>
      <c r="L123" s="461"/>
      <c r="M123" s="461"/>
      <c r="N123" s="461"/>
      <c r="O123" s="462"/>
      <c r="P123" s="461"/>
      <c r="Q123" s="461"/>
      <c r="R123" s="462"/>
      <c r="S123" s="478">
        <f>'[15]JSO (t)'!S120</f>
        <v>0</v>
      </c>
      <c r="T123" s="483">
        <f>'[15]JSO (t)'!T120</f>
        <v>0</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61"/>
        <v>0</v>
      </c>
      <c r="AP123" s="184">
        <f t="shared" si="79"/>
        <v>18.899999999999999</v>
      </c>
      <c r="AQ123" s="178">
        <f t="shared" si="79"/>
        <v>0</v>
      </c>
      <c r="AR123" s="178">
        <f t="shared" si="79"/>
        <v>0</v>
      </c>
      <c r="AS123" s="179">
        <f t="shared" si="79"/>
        <v>0</v>
      </c>
      <c r="AT123" s="178">
        <f t="shared" si="79"/>
        <v>0</v>
      </c>
      <c r="AU123" s="178">
        <f t="shared" si="79"/>
        <v>0</v>
      </c>
      <c r="AV123" s="178">
        <f t="shared" si="79"/>
        <v>0</v>
      </c>
      <c r="AW123" s="179">
        <f t="shared" si="79"/>
        <v>0</v>
      </c>
      <c r="AX123" s="178">
        <f t="shared" si="65"/>
        <v>0</v>
      </c>
      <c r="AY123" s="178">
        <f t="shared" si="65"/>
        <v>0</v>
      </c>
      <c r="AZ123" s="179">
        <f t="shared" si="65"/>
        <v>0</v>
      </c>
      <c r="BA123" s="184">
        <f t="shared" si="65"/>
        <v>0</v>
      </c>
      <c r="BB123" s="178">
        <f t="shared" si="65"/>
        <v>0</v>
      </c>
      <c r="BC123" s="184">
        <f t="shared" si="65"/>
        <v>0</v>
      </c>
      <c r="BD123" s="178">
        <f t="shared" si="65"/>
        <v>0</v>
      </c>
      <c r="BE123" s="244">
        <f t="shared" si="62"/>
        <v>1</v>
      </c>
      <c r="BF123" s="245">
        <f t="shared" si="78"/>
        <v>21000</v>
      </c>
      <c r="BH123" s="255">
        <f t="shared" si="80"/>
        <v>0</v>
      </c>
      <c r="BI123" s="255">
        <f t="shared" si="81"/>
        <v>18.899999999999999</v>
      </c>
      <c r="BJ123" s="255">
        <f t="shared" si="82"/>
        <v>0</v>
      </c>
      <c r="BK123" s="256">
        <f t="shared" si="83"/>
        <v>0</v>
      </c>
      <c r="BL123" s="262">
        <f t="shared" si="84"/>
        <v>0</v>
      </c>
      <c r="BM123" s="257">
        <f t="shared" si="60"/>
        <v>18.899999999999999</v>
      </c>
      <c r="BO123" s="714">
        <f t="shared" si="63"/>
        <v>0.9</v>
      </c>
    </row>
    <row r="124" spans="2:67" ht="15" customHeight="1" x14ac:dyDescent="0.25">
      <c r="B124" s="19">
        <f t="shared" si="71"/>
        <v>26</v>
      </c>
      <c r="C124" s="44" t="s">
        <v>144</v>
      </c>
      <c r="D124" s="45"/>
      <c r="E124" s="105" t="s">
        <v>141</v>
      </c>
      <c r="G124" s="477">
        <f>'[15]JSO (t)'!G121</f>
        <v>0</v>
      </c>
      <c r="H124" s="478">
        <f>'[15]JSO (t)'!H121</f>
        <v>8.9999999999999998E-4</v>
      </c>
      <c r="I124" s="461"/>
      <c r="J124" s="461"/>
      <c r="K124" s="462"/>
      <c r="L124" s="461"/>
      <c r="M124" s="461"/>
      <c r="N124" s="461"/>
      <c r="O124" s="462"/>
      <c r="P124" s="461"/>
      <c r="Q124" s="461"/>
      <c r="R124" s="462"/>
      <c r="S124" s="478">
        <f>'[15]JSO (t)'!S121</f>
        <v>0</v>
      </c>
      <c r="T124" s="483">
        <f>'[15]JSO (t)'!T121</f>
        <v>0</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61"/>
        <v>0</v>
      </c>
      <c r="AP124" s="184">
        <f t="shared" si="79"/>
        <v>13.68</v>
      </c>
      <c r="AQ124" s="178">
        <f t="shared" si="79"/>
        <v>0</v>
      </c>
      <c r="AR124" s="178">
        <f t="shared" si="79"/>
        <v>0</v>
      </c>
      <c r="AS124" s="179">
        <f t="shared" si="79"/>
        <v>0</v>
      </c>
      <c r="AT124" s="178">
        <f t="shared" si="79"/>
        <v>0</v>
      </c>
      <c r="AU124" s="178">
        <f t="shared" si="79"/>
        <v>0</v>
      </c>
      <c r="AV124" s="178">
        <f t="shared" si="79"/>
        <v>0</v>
      </c>
      <c r="AW124" s="179">
        <f t="shared" si="79"/>
        <v>0</v>
      </c>
      <c r="AX124" s="178">
        <f t="shared" si="65"/>
        <v>0</v>
      </c>
      <c r="AY124" s="178">
        <f t="shared" si="65"/>
        <v>0</v>
      </c>
      <c r="AZ124" s="179">
        <f t="shared" si="65"/>
        <v>0</v>
      </c>
      <c r="BA124" s="184">
        <f t="shared" si="65"/>
        <v>0</v>
      </c>
      <c r="BB124" s="178">
        <f t="shared" si="65"/>
        <v>0</v>
      </c>
      <c r="BC124" s="184">
        <f t="shared" si="65"/>
        <v>0</v>
      </c>
      <c r="BD124" s="178">
        <f t="shared" si="65"/>
        <v>0</v>
      </c>
      <c r="BE124" s="244">
        <f t="shared" si="62"/>
        <v>1</v>
      </c>
      <c r="BF124" s="245">
        <f t="shared" si="78"/>
        <v>15200</v>
      </c>
      <c r="BH124" s="255">
        <f t="shared" si="80"/>
        <v>0</v>
      </c>
      <c r="BI124" s="255">
        <f t="shared" si="81"/>
        <v>13.68</v>
      </c>
      <c r="BJ124" s="255">
        <f t="shared" si="82"/>
        <v>0</v>
      </c>
      <c r="BK124" s="256">
        <f t="shared" si="83"/>
        <v>0</v>
      </c>
      <c r="BL124" s="262">
        <f t="shared" si="84"/>
        <v>0</v>
      </c>
      <c r="BM124" s="257">
        <f t="shared" si="60"/>
        <v>13.68</v>
      </c>
      <c r="BO124" s="714">
        <f t="shared" si="63"/>
        <v>0.9</v>
      </c>
    </row>
    <row r="125" spans="2:67" ht="15" customHeight="1" x14ac:dyDescent="0.25">
      <c r="B125" s="19">
        <f t="shared" si="71"/>
        <v>27</v>
      </c>
      <c r="C125" s="44" t="s">
        <v>145</v>
      </c>
      <c r="D125" s="45"/>
      <c r="E125" s="105" t="s">
        <v>141</v>
      </c>
      <c r="G125" s="477">
        <f>'[15]JSO (t)'!G122</f>
        <v>0</v>
      </c>
      <c r="H125" s="478">
        <f>'[15]JSO (t)'!H122</f>
        <v>8.9999999999999998E-4</v>
      </c>
      <c r="I125" s="461"/>
      <c r="J125" s="461"/>
      <c r="K125" s="462"/>
      <c r="L125" s="461"/>
      <c r="M125" s="461"/>
      <c r="N125" s="461"/>
      <c r="O125" s="462"/>
      <c r="P125" s="461"/>
      <c r="Q125" s="461"/>
      <c r="R125" s="462"/>
      <c r="S125" s="478">
        <f>'[15]JSO (t)'!S122</f>
        <v>0</v>
      </c>
      <c r="T125" s="483">
        <f>'[15]JSO (t)'!T122</f>
        <v>0</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61"/>
        <v>0</v>
      </c>
      <c r="AP125" s="184">
        <f t="shared" si="79"/>
        <v>77.399999999999991</v>
      </c>
      <c r="AQ125" s="178">
        <f t="shared" si="79"/>
        <v>0</v>
      </c>
      <c r="AR125" s="178">
        <f t="shared" si="79"/>
        <v>0</v>
      </c>
      <c r="AS125" s="179">
        <f t="shared" si="79"/>
        <v>0</v>
      </c>
      <c r="AT125" s="178">
        <f t="shared" si="79"/>
        <v>0</v>
      </c>
      <c r="AU125" s="178">
        <f t="shared" si="79"/>
        <v>0</v>
      </c>
      <c r="AV125" s="178">
        <f t="shared" si="79"/>
        <v>0</v>
      </c>
      <c r="AW125" s="179">
        <f t="shared" si="79"/>
        <v>0</v>
      </c>
      <c r="AX125" s="178">
        <f t="shared" si="65"/>
        <v>0</v>
      </c>
      <c r="AY125" s="178">
        <f t="shared" si="65"/>
        <v>0</v>
      </c>
      <c r="AZ125" s="179">
        <f t="shared" si="65"/>
        <v>0</v>
      </c>
      <c r="BA125" s="184">
        <f t="shared" si="65"/>
        <v>0</v>
      </c>
      <c r="BB125" s="178">
        <f t="shared" si="65"/>
        <v>0</v>
      </c>
      <c r="BC125" s="184">
        <f t="shared" si="65"/>
        <v>0</v>
      </c>
      <c r="BD125" s="178">
        <f t="shared" si="65"/>
        <v>0</v>
      </c>
      <c r="BE125" s="244">
        <f t="shared" si="62"/>
        <v>1</v>
      </c>
      <c r="BF125" s="245">
        <f t="shared" si="78"/>
        <v>86000</v>
      </c>
      <c r="BH125" s="255">
        <f t="shared" si="80"/>
        <v>0</v>
      </c>
      <c r="BI125" s="255">
        <f t="shared" si="81"/>
        <v>77.399999999999991</v>
      </c>
      <c r="BJ125" s="255">
        <f t="shared" si="82"/>
        <v>0</v>
      </c>
      <c r="BK125" s="256">
        <f t="shared" si="83"/>
        <v>0</v>
      </c>
      <c r="BL125" s="262">
        <f t="shared" si="84"/>
        <v>0</v>
      </c>
      <c r="BM125" s="257">
        <f t="shared" si="60"/>
        <v>77.399999999999991</v>
      </c>
      <c r="BO125" s="714">
        <f t="shared" si="63"/>
        <v>0.8999999999999998</v>
      </c>
    </row>
    <row r="126" spans="2:67" ht="15" customHeight="1" x14ac:dyDescent="0.25">
      <c r="B126" s="19">
        <f t="shared" si="71"/>
        <v>28</v>
      </c>
      <c r="C126" s="44" t="s">
        <v>146</v>
      </c>
      <c r="D126" s="45"/>
      <c r="E126" s="105" t="s">
        <v>141</v>
      </c>
      <c r="G126" s="477">
        <f>'[15]JSO (t)'!G123</f>
        <v>0</v>
      </c>
      <c r="H126" s="478">
        <f>'[15]JSO (t)'!H123</f>
        <v>8.9999999999999998E-4</v>
      </c>
      <c r="I126" s="461"/>
      <c r="J126" s="461"/>
      <c r="K126" s="462"/>
      <c r="L126" s="461"/>
      <c r="M126" s="461"/>
      <c r="N126" s="461"/>
      <c r="O126" s="462"/>
      <c r="P126" s="461"/>
      <c r="Q126" s="461"/>
      <c r="R126" s="462"/>
      <c r="S126" s="478">
        <f>'[15]JSO (t)'!S123</f>
        <v>0</v>
      </c>
      <c r="T126" s="483">
        <f>'[15]JSO (t)'!T123</f>
        <v>0</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61"/>
        <v>0</v>
      </c>
      <c r="AP126" s="184">
        <f t="shared" si="79"/>
        <v>25.11</v>
      </c>
      <c r="AQ126" s="178">
        <f t="shared" si="79"/>
        <v>0</v>
      </c>
      <c r="AR126" s="178">
        <f t="shared" si="79"/>
        <v>0</v>
      </c>
      <c r="AS126" s="179">
        <f t="shared" si="79"/>
        <v>0</v>
      </c>
      <c r="AT126" s="178">
        <f t="shared" si="79"/>
        <v>0</v>
      </c>
      <c r="AU126" s="178">
        <f t="shared" si="79"/>
        <v>0</v>
      </c>
      <c r="AV126" s="178">
        <f t="shared" si="79"/>
        <v>0</v>
      </c>
      <c r="AW126" s="179">
        <f t="shared" si="79"/>
        <v>0</v>
      </c>
      <c r="AX126" s="178">
        <f t="shared" si="65"/>
        <v>0</v>
      </c>
      <c r="AY126" s="178">
        <f t="shared" si="65"/>
        <v>0</v>
      </c>
      <c r="AZ126" s="179">
        <f t="shared" si="65"/>
        <v>0</v>
      </c>
      <c r="BA126" s="184">
        <f t="shared" ref="AX126:BD129" si="85">S126*AJ126/1000</f>
        <v>0</v>
      </c>
      <c r="BB126" s="178">
        <f t="shared" si="85"/>
        <v>0</v>
      </c>
      <c r="BC126" s="184">
        <f t="shared" si="85"/>
        <v>0</v>
      </c>
      <c r="BD126" s="178">
        <f t="shared" si="85"/>
        <v>0</v>
      </c>
      <c r="BE126" s="244">
        <f t="shared" si="62"/>
        <v>1</v>
      </c>
      <c r="BF126" s="245">
        <f t="shared" si="78"/>
        <v>27900</v>
      </c>
      <c r="BH126" s="255">
        <f t="shared" si="80"/>
        <v>0</v>
      </c>
      <c r="BI126" s="255">
        <f t="shared" si="81"/>
        <v>25.11</v>
      </c>
      <c r="BJ126" s="255">
        <f t="shared" si="82"/>
        <v>0</v>
      </c>
      <c r="BK126" s="256">
        <f t="shared" si="83"/>
        <v>0</v>
      </c>
      <c r="BL126" s="262">
        <f t="shared" si="84"/>
        <v>0</v>
      </c>
      <c r="BM126" s="257">
        <f t="shared" si="60"/>
        <v>25.11</v>
      </c>
      <c r="BO126" s="714">
        <f t="shared" si="63"/>
        <v>0.9</v>
      </c>
    </row>
    <row r="127" spans="2:67" ht="15" customHeight="1" x14ac:dyDescent="0.25">
      <c r="B127" s="19">
        <f t="shared" si="71"/>
        <v>29</v>
      </c>
      <c r="C127" s="44" t="s">
        <v>147</v>
      </c>
      <c r="D127" s="45"/>
      <c r="E127" s="105" t="s">
        <v>141</v>
      </c>
      <c r="G127" s="477">
        <f>'[15]JSO (t)'!G124</f>
        <v>0</v>
      </c>
      <c r="H127" s="478">
        <f>'[15]JSO (t)'!H124</f>
        <v>8.9999999999999998E-4</v>
      </c>
      <c r="I127" s="461"/>
      <c r="J127" s="461"/>
      <c r="K127" s="462"/>
      <c r="L127" s="461"/>
      <c r="M127" s="461"/>
      <c r="N127" s="461"/>
      <c r="O127" s="462"/>
      <c r="P127" s="461"/>
      <c r="Q127" s="461"/>
      <c r="R127" s="462"/>
      <c r="S127" s="478">
        <f>'[15]JSO (t)'!S124</f>
        <v>0</v>
      </c>
      <c r="T127" s="483">
        <f>'[15]JSO (t)'!T124</f>
        <v>0</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61"/>
        <v>0</v>
      </c>
      <c r="AP127" s="184">
        <f t="shared" si="79"/>
        <v>24.66</v>
      </c>
      <c r="AQ127" s="178">
        <f t="shared" si="79"/>
        <v>0</v>
      </c>
      <c r="AR127" s="178">
        <f t="shared" si="79"/>
        <v>0</v>
      </c>
      <c r="AS127" s="179">
        <f t="shared" si="79"/>
        <v>0</v>
      </c>
      <c r="AT127" s="178">
        <f t="shared" si="79"/>
        <v>0</v>
      </c>
      <c r="AU127" s="178">
        <f t="shared" si="79"/>
        <v>0</v>
      </c>
      <c r="AV127" s="178">
        <f t="shared" si="79"/>
        <v>0</v>
      </c>
      <c r="AW127" s="179">
        <f t="shared" si="79"/>
        <v>0</v>
      </c>
      <c r="AX127" s="178">
        <f t="shared" si="85"/>
        <v>0</v>
      </c>
      <c r="AY127" s="178">
        <f t="shared" si="85"/>
        <v>0</v>
      </c>
      <c r="AZ127" s="179">
        <f t="shared" si="85"/>
        <v>0</v>
      </c>
      <c r="BA127" s="184">
        <f t="shared" si="85"/>
        <v>0</v>
      </c>
      <c r="BB127" s="178">
        <f t="shared" si="85"/>
        <v>0</v>
      </c>
      <c r="BC127" s="184">
        <f t="shared" si="85"/>
        <v>0</v>
      </c>
      <c r="BD127" s="178">
        <f t="shared" si="85"/>
        <v>0</v>
      </c>
      <c r="BE127" s="244">
        <f t="shared" si="62"/>
        <v>1</v>
      </c>
      <c r="BF127" s="245">
        <f t="shared" si="78"/>
        <v>27400</v>
      </c>
      <c r="BH127" s="255">
        <f t="shared" si="80"/>
        <v>0</v>
      </c>
      <c r="BI127" s="255">
        <f t="shared" si="81"/>
        <v>24.66</v>
      </c>
      <c r="BJ127" s="255">
        <f t="shared" si="82"/>
        <v>0</v>
      </c>
      <c r="BK127" s="256">
        <f t="shared" si="83"/>
        <v>0</v>
      </c>
      <c r="BL127" s="262">
        <f t="shared" si="84"/>
        <v>0</v>
      </c>
      <c r="BM127" s="257">
        <f t="shared" si="60"/>
        <v>24.66</v>
      </c>
      <c r="BO127" s="714">
        <f t="shared" si="63"/>
        <v>0.9</v>
      </c>
    </row>
    <row r="128" spans="2:67" ht="15" customHeight="1" x14ac:dyDescent="0.25">
      <c r="B128" s="19">
        <f t="shared" si="71"/>
        <v>30</v>
      </c>
      <c r="C128" s="44" t="s">
        <v>148</v>
      </c>
      <c r="D128" s="45"/>
      <c r="E128" s="105" t="s">
        <v>141</v>
      </c>
      <c r="G128" s="477">
        <f>'[15]JSO (t)'!G125</f>
        <v>0</v>
      </c>
      <c r="H128" s="478">
        <f>'[15]JSO (t)'!H125</f>
        <v>8.9999999999999998E-4</v>
      </c>
      <c r="I128" s="461"/>
      <c r="J128" s="461"/>
      <c r="K128" s="462"/>
      <c r="L128" s="461"/>
      <c r="M128" s="461"/>
      <c r="N128" s="461"/>
      <c r="O128" s="462"/>
      <c r="P128" s="461"/>
      <c r="Q128" s="461"/>
      <c r="R128" s="462"/>
      <c r="S128" s="478">
        <f>'[15]JSO (t)'!S125</f>
        <v>0</v>
      </c>
      <c r="T128" s="483">
        <f>'[15]JSO (t)'!T125</f>
        <v>0</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61"/>
        <v>0</v>
      </c>
      <c r="AP128" s="184">
        <f t="shared" si="79"/>
        <v>53.1</v>
      </c>
      <c r="AQ128" s="178">
        <f t="shared" si="79"/>
        <v>0</v>
      </c>
      <c r="AR128" s="178">
        <f t="shared" si="79"/>
        <v>0</v>
      </c>
      <c r="AS128" s="179">
        <f t="shared" si="79"/>
        <v>0</v>
      </c>
      <c r="AT128" s="178">
        <f t="shared" si="79"/>
        <v>0</v>
      </c>
      <c r="AU128" s="178">
        <f t="shared" si="79"/>
        <v>0</v>
      </c>
      <c r="AV128" s="178">
        <f t="shared" si="79"/>
        <v>0</v>
      </c>
      <c r="AW128" s="179">
        <f t="shared" si="79"/>
        <v>0</v>
      </c>
      <c r="AX128" s="178">
        <f t="shared" si="85"/>
        <v>0</v>
      </c>
      <c r="AY128" s="178">
        <f t="shared" si="85"/>
        <v>0</v>
      </c>
      <c r="AZ128" s="179">
        <f t="shared" si="85"/>
        <v>0</v>
      </c>
      <c r="BA128" s="184">
        <f t="shared" si="85"/>
        <v>0</v>
      </c>
      <c r="BB128" s="178">
        <f t="shared" si="85"/>
        <v>0</v>
      </c>
      <c r="BC128" s="184">
        <f t="shared" si="85"/>
        <v>0</v>
      </c>
      <c r="BD128" s="178">
        <f t="shared" si="85"/>
        <v>0</v>
      </c>
      <c r="BE128" s="244">
        <f t="shared" si="62"/>
        <v>1</v>
      </c>
      <c r="BF128" s="245">
        <f t="shared" si="78"/>
        <v>59000</v>
      </c>
      <c r="BH128" s="255">
        <f t="shared" si="80"/>
        <v>0</v>
      </c>
      <c r="BI128" s="255">
        <f t="shared" si="81"/>
        <v>53.1</v>
      </c>
      <c r="BJ128" s="255">
        <f t="shared" si="82"/>
        <v>0</v>
      </c>
      <c r="BK128" s="256">
        <f t="shared" si="83"/>
        <v>0</v>
      </c>
      <c r="BL128" s="262">
        <f t="shared" si="84"/>
        <v>0</v>
      </c>
      <c r="BM128" s="257">
        <f t="shared" si="60"/>
        <v>53.1</v>
      </c>
      <c r="BO128" s="714">
        <f t="shared" si="63"/>
        <v>0.9</v>
      </c>
    </row>
    <row r="129" spans="1:75" ht="15" customHeight="1" x14ac:dyDescent="0.25">
      <c r="A129" s="214"/>
      <c r="B129" s="26">
        <f t="shared" si="71"/>
        <v>31</v>
      </c>
      <c r="C129" s="839" t="s">
        <v>149</v>
      </c>
      <c r="D129" s="56"/>
      <c r="E129" s="840" t="s">
        <v>141</v>
      </c>
      <c r="G129" s="485">
        <f>'[15]JSO (t)'!G126</f>
        <v>0</v>
      </c>
      <c r="H129" s="486">
        <f>'[15]JSO (t)'!H126</f>
        <v>8.9999999999999998E-4</v>
      </c>
      <c r="I129" s="487"/>
      <c r="J129" s="487"/>
      <c r="K129" s="488"/>
      <c r="L129" s="487"/>
      <c r="M129" s="487"/>
      <c r="N129" s="487"/>
      <c r="O129" s="488"/>
      <c r="P129" s="487"/>
      <c r="Q129" s="487"/>
      <c r="R129" s="488"/>
      <c r="S129" s="486">
        <f>'[15]JSO (t)'!S126</f>
        <v>0</v>
      </c>
      <c r="T129" s="489">
        <f>'[15]JSO (t)'!T126</f>
        <v>0</v>
      </c>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61"/>
        <v>0</v>
      </c>
      <c r="AP129" s="197">
        <f t="shared" si="79"/>
        <v>0</v>
      </c>
      <c r="AQ129" s="192">
        <f t="shared" si="79"/>
        <v>0</v>
      </c>
      <c r="AR129" s="192">
        <f t="shared" si="79"/>
        <v>0</v>
      </c>
      <c r="AS129" s="193">
        <f t="shared" si="79"/>
        <v>0</v>
      </c>
      <c r="AT129" s="192">
        <f t="shared" si="79"/>
        <v>0</v>
      </c>
      <c r="AU129" s="192">
        <f t="shared" si="79"/>
        <v>0</v>
      </c>
      <c r="AV129" s="192">
        <f t="shared" si="79"/>
        <v>0</v>
      </c>
      <c r="AW129" s="193">
        <f t="shared" si="79"/>
        <v>0</v>
      </c>
      <c r="AX129" s="192">
        <f t="shared" si="85"/>
        <v>0</v>
      </c>
      <c r="AY129" s="192">
        <f t="shared" si="85"/>
        <v>0</v>
      </c>
      <c r="AZ129" s="193">
        <f t="shared" si="85"/>
        <v>0</v>
      </c>
      <c r="BA129" s="197">
        <f t="shared" si="85"/>
        <v>0</v>
      </c>
      <c r="BB129" s="192">
        <f t="shared" si="85"/>
        <v>0</v>
      </c>
      <c r="BC129" s="197">
        <f t="shared" si="85"/>
        <v>0</v>
      </c>
      <c r="BD129" s="193">
        <f t="shared" si="85"/>
        <v>0</v>
      </c>
      <c r="BE129" s="246">
        <f t="shared" si="62"/>
        <v>0</v>
      </c>
      <c r="BF129" s="247">
        <f t="shared" si="78"/>
        <v>0</v>
      </c>
      <c r="BH129" s="258">
        <f t="shared" si="80"/>
        <v>0</v>
      </c>
      <c r="BI129" s="258">
        <f t="shared" si="81"/>
        <v>0</v>
      </c>
      <c r="BJ129" s="258">
        <f t="shared" si="82"/>
        <v>0</v>
      </c>
      <c r="BK129" s="259">
        <f t="shared" si="83"/>
        <v>0</v>
      </c>
      <c r="BL129" s="263">
        <f t="shared" si="84"/>
        <v>0</v>
      </c>
      <c r="BM129" s="264">
        <f t="shared" si="60"/>
        <v>0</v>
      </c>
      <c r="BO129" s="714" t="str">
        <f t="shared" si="63"/>
        <v/>
      </c>
    </row>
    <row r="130" spans="1:75" x14ac:dyDescent="0.25">
      <c r="BE130" s="248"/>
      <c r="BF130" s="249"/>
    </row>
    <row r="131" spans="1:75"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86">SUM(X16:X25)</f>
        <v>293618410</v>
      </c>
      <c r="Y131" s="218">
        <f t="shared" si="86"/>
        <v>2400100</v>
      </c>
      <c r="Z131" s="218">
        <f t="shared" si="86"/>
        <v>570050</v>
      </c>
      <c r="AA131" s="218">
        <f t="shared" si="86"/>
        <v>114350</v>
      </c>
      <c r="AB131" s="218">
        <f t="shared" si="86"/>
        <v>126950</v>
      </c>
      <c r="AC131" s="218">
        <f t="shared" si="86"/>
        <v>361300</v>
      </c>
      <c r="AD131" s="218">
        <f t="shared" si="86"/>
        <v>0</v>
      </c>
      <c r="AE131" s="218">
        <f t="shared" si="86"/>
        <v>92600</v>
      </c>
      <c r="AF131" s="218">
        <f t="shared" si="86"/>
        <v>23100</v>
      </c>
      <c r="AG131" s="218">
        <f t="shared" si="86"/>
        <v>0</v>
      </c>
      <c r="AH131" s="218">
        <f t="shared" si="86"/>
        <v>0</v>
      </c>
      <c r="AI131" s="218">
        <f t="shared" si="86"/>
        <v>0</v>
      </c>
      <c r="AJ131" s="218">
        <f t="shared" si="86"/>
        <v>0</v>
      </c>
      <c r="AK131" s="218">
        <f t="shared" si="86"/>
        <v>0</v>
      </c>
      <c r="AL131" s="218">
        <f t="shared" si="86"/>
        <v>446395</v>
      </c>
      <c r="AM131" s="218">
        <f t="shared" si="86"/>
        <v>0</v>
      </c>
      <c r="AO131" s="218">
        <f t="shared" ref="AO131:BD131" si="87">SUM(AO16:AO25)</f>
        <v>12067.716650999999</v>
      </c>
      <c r="AP131" s="218">
        <f t="shared" si="87"/>
        <v>27841.16</v>
      </c>
      <c r="AQ131" s="218">
        <f t="shared" si="87"/>
        <v>8263.1150000000016</v>
      </c>
      <c r="AR131" s="218">
        <f t="shared" si="87"/>
        <v>662.19500000000005</v>
      </c>
      <c r="AS131" s="218">
        <f t="shared" si="87"/>
        <v>367.85499999999996</v>
      </c>
      <c r="AT131" s="218">
        <f t="shared" si="87"/>
        <v>2095.54</v>
      </c>
      <c r="AU131" s="218">
        <f t="shared" si="87"/>
        <v>0</v>
      </c>
      <c r="AV131" s="218">
        <f t="shared" si="87"/>
        <v>537.07999999999993</v>
      </c>
      <c r="AW131" s="218">
        <f t="shared" si="87"/>
        <v>66.989999999999995</v>
      </c>
      <c r="AX131" s="218">
        <f t="shared" si="87"/>
        <v>0</v>
      </c>
      <c r="AY131" s="218">
        <f t="shared" si="87"/>
        <v>0</v>
      </c>
      <c r="AZ131" s="218">
        <f t="shared" si="87"/>
        <v>0</v>
      </c>
      <c r="BA131" s="218">
        <f t="shared" si="87"/>
        <v>0</v>
      </c>
      <c r="BB131" s="218">
        <f t="shared" si="87"/>
        <v>0</v>
      </c>
      <c r="BC131" s="218">
        <f t="shared" si="87"/>
        <v>28.658558999999997</v>
      </c>
      <c r="BD131" s="218">
        <f t="shared" si="87"/>
        <v>0</v>
      </c>
      <c r="BE131" s="244">
        <f>SUM(BE17:BE25)</f>
        <v>804434</v>
      </c>
      <c r="BF131" s="245">
        <f>SUM(BF17:BF25)</f>
        <v>3688450</v>
      </c>
      <c r="BH131" s="218">
        <f t="shared" ref="BH131:BM131" si="88">BH16</f>
        <v>12083.0031795</v>
      </c>
      <c r="BI131" s="218">
        <f t="shared" si="88"/>
        <v>37141.631985000007</v>
      </c>
      <c r="BJ131" s="218">
        <f t="shared" si="88"/>
        <v>2699.6099999999997</v>
      </c>
      <c r="BK131" s="218">
        <f t="shared" si="88"/>
        <v>0</v>
      </c>
      <c r="BL131" s="218">
        <f t="shared" si="88"/>
        <v>28.658558999999997</v>
      </c>
      <c r="BM131" s="218">
        <f t="shared" si="88"/>
        <v>51952.903723500014</v>
      </c>
      <c r="BN131" s="718">
        <f t="shared" ref="BN131:BN136" si="89">BM131/$BM$136</f>
        <v>0.64413873202924865</v>
      </c>
      <c r="BO131" s="714">
        <f t="shared" ref="BO131:BO136" si="90">BM131*1000/BF131</f>
        <v>14.085294289877865</v>
      </c>
      <c r="BQ131" s="659">
        <f>'[19]JSO (t)'!AR133</f>
        <v>14.793104811644659</v>
      </c>
      <c r="BR131" s="718">
        <f>BO131/BQ131-1</f>
        <v>-4.784732689851745E-2</v>
      </c>
      <c r="BT131" s="136"/>
    </row>
    <row r="132" spans="1:75"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91">SUM(X28:X41)</f>
        <v>34229335</v>
      </c>
      <c r="Y132" s="218">
        <f t="shared" si="91"/>
        <v>447400</v>
      </c>
      <c r="Z132" s="218">
        <f t="shared" si="91"/>
        <v>200600</v>
      </c>
      <c r="AA132" s="218">
        <f t="shared" si="91"/>
        <v>272300</v>
      </c>
      <c r="AB132" s="218">
        <f t="shared" si="91"/>
        <v>379200</v>
      </c>
      <c r="AC132" s="218">
        <f t="shared" si="91"/>
        <v>6000</v>
      </c>
      <c r="AD132" s="218">
        <f t="shared" si="91"/>
        <v>0</v>
      </c>
      <c r="AE132" s="218">
        <f t="shared" si="91"/>
        <v>0</v>
      </c>
      <c r="AF132" s="218">
        <f t="shared" si="91"/>
        <v>0</v>
      </c>
      <c r="AG132" s="218">
        <f t="shared" si="91"/>
        <v>0</v>
      </c>
      <c r="AH132" s="218">
        <f t="shared" si="91"/>
        <v>1070741</v>
      </c>
      <c r="AI132" s="218">
        <f t="shared" si="91"/>
        <v>2717425</v>
      </c>
      <c r="AJ132" s="218">
        <f t="shared" si="91"/>
        <v>0</v>
      </c>
      <c r="AK132" s="218">
        <f t="shared" si="91"/>
        <v>27963015</v>
      </c>
      <c r="AL132" s="218">
        <f t="shared" si="91"/>
        <v>0</v>
      </c>
      <c r="AM132" s="218">
        <f t="shared" si="91"/>
        <v>0</v>
      </c>
      <c r="AO132" s="218">
        <f t="shared" ref="AO132:BF132" si="92">SUM(AO28:AO41)</f>
        <v>1406.8256685000001</v>
      </c>
      <c r="AP132" s="218">
        <f t="shared" si="92"/>
        <v>3390.2</v>
      </c>
      <c r="AQ132" s="218">
        <f t="shared" si="92"/>
        <v>2008.96</v>
      </c>
      <c r="AR132" s="218">
        <f t="shared" si="92"/>
        <v>2322.8000000000002</v>
      </c>
      <c r="AS132" s="218">
        <f t="shared" si="92"/>
        <v>1757.4</v>
      </c>
      <c r="AT132" s="218">
        <f t="shared" si="92"/>
        <v>49.8</v>
      </c>
      <c r="AU132" s="218">
        <f t="shared" si="92"/>
        <v>0</v>
      </c>
      <c r="AV132" s="218">
        <f t="shared" si="92"/>
        <v>0</v>
      </c>
      <c r="AW132" s="218">
        <f t="shared" si="92"/>
        <v>0</v>
      </c>
      <c r="AX132" s="218">
        <f t="shared" si="92"/>
        <v>0</v>
      </c>
      <c r="AY132" s="218">
        <f t="shared" si="92"/>
        <v>0</v>
      </c>
      <c r="AZ132" s="218">
        <f t="shared" si="92"/>
        <v>0</v>
      </c>
      <c r="BA132" s="218">
        <f t="shared" si="92"/>
        <v>0</v>
      </c>
      <c r="BB132" s="218">
        <f t="shared" si="92"/>
        <v>0</v>
      </c>
      <c r="BC132" s="218">
        <f t="shared" si="92"/>
        <v>0</v>
      </c>
      <c r="BD132" s="218">
        <f t="shared" si="92"/>
        <v>0</v>
      </c>
      <c r="BE132" s="244">
        <f t="shared" si="92"/>
        <v>93779</v>
      </c>
      <c r="BF132" s="245">
        <f t="shared" si="92"/>
        <v>1305500</v>
      </c>
      <c r="BH132" s="218">
        <f t="shared" ref="BH132:BM132" si="93">BH28</f>
        <v>1406.8256685000001</v>
      </c>
      <c r="BI132" s="218">
        <f t="shared" si="93"/>
        <v>9479.3600000000024</v>
      </c>
      <c r="BJ132" s="218">
        <f t="shared" si="93"/>
        <v>49.8</v>
      </c>
      <c r="BK132" s="218">
        <f t="shared" si="93"/>
        <v>0</v>
      </c>
      <c r="BL132" s="218">
        <f t="shared" si="93"/>
        <v>0</v>
      </c>
      <c r="BM132" s="218">
        <f t="shared" si="93"/>
        <v>10935.985668500001</v>
      </c>
      <c r="BN132" s="718">
        <f t="shared" si="89"/>
        <v>0.13558995623205677</v>
      </c>
      <c r="BO132" s="714">
        <f t="shared" si="90"/>
        <v>8.3768561229414029</v>
      </c>
      <c r="BQ132" s="659">
        <f>'[19]JSO (t)'!AR134</f>
        <v>8.0838307903408424</v>
      </c>
      <c r="BR132" s="718">
        <f t="shared" ref="BR132:BR139" si="94">BO132/BQ132-1</f>
        <v>3.6248325849507879E-2</v>
      </c>
      <c r="BT132" s="136">
        <f>'DUoS (t-1)'!BM132</f>
        <v>137470.22264339999</v>
      </c>
      <c r="BU132" s="794">
        <f>BM132/BT132</f>
        <v>7.955166914123743E-2</v>
      </c>
      <c r="BV132" s="136">
        <f>(BU132-$BU$136)*BT132</f>
        <v>-37.246389993937306</v>
      </c>
      <c r="BW132" s="794">
        <f>BV132/BM132</f>
        <v>-3.4058557795317674E-3</v>
      </c>
    </row>
    <row r="133" spans="1:75"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95">SUM(X42:X69)</f>
        <v>1953845</v>
      </c>
      <c r="Y133" s="218">
        <f t="shared" si="95"/>
        <v>10000</v>
      </c>
      <c r="Z133" s="218">
        <f t="shared" si="95"/>
        <v>1383994</v>
      </c>
      <c r="AA133" s="218">
        <f t="shared" si="95"/>
        <v>0</v>
      </c>
      <c r="AB133" s="218">
        <f t="shared" si="95"/>
        <v>1232955</v>
      </c>
      <c r="AC133" s="218">
        <f t="shared" si="95"/>
        <v>0</v>
      </c>
      <c r="AD133" s="218">
        <f t="shared" si="95"/>
        <v>0</v>
      </c>
      <c r="AE133" s="218">
        <f t="shared" si="95"/>
        <v>0</v>
      </c>
      <c r="AF133" s="218">
        <f t="shared" si="95"/>
        <v>0</v>
      </c>
      <c r="AG133" s="218">
        <f t="shared" si="95"/>
        <v>3555144</v>
      </c>
      <c r="AH133" s="218">
        <f t="shared" si="95"/>
        <v>757869</v>
      </c>
      <c r="AI133" s="218">
        <f t="shared" si="95"/>
        <v>1631915</v>
      </c>
      <c r="AJ133" s="218">
        <f t="shared" si="95"/>
        <v>232218475</v>
      </c>
      <c r="AK133" s="218">
        <f t="shared" si="95"/>
        <v>345057495</v>
      </c>
      <c r="AL133" s="218">
        <f t="shared" si="95"/>
        <v>0</v>
      </c>
      <c r="AM133" s="218">
        <f t="shared" si="95"/>
        <v>0</v>
      </c>
      <c r="AO133" s="218">
        <f t="shared" ref="AO133:BF133" si="96">SUM(AO42:AO69)</f>
        <v>0</v>
      </c>
      <c r="AP133" s="218">
        <f t="shared" si="96"/>
        <v>52</v>
      </c>
      <c r="AQ133" s="218">
        <f t="shared" si="96"/>
        <v>8991.4110000000001</v>
      </c>
      <c r="AR133" s="218">
        <f t="shared" si="96"/>
        <v>0</v>
      </c>
      <c r="AS133" s="218">
        <f t="shared" si="96"/>
        <v>5052.6555000000017</v>
      </c>
      <c r="AT133" s="218">
        <f t="shared" si="96"/>
        <v>0</v>
      </c>
      <c r="AU133" s="218">
        <f t="shared" si="96"/>
        <v>0</v>
      </c>
      <c r="AV133" s="218">
        <f t="shared" si="96"/>
        <v>0</v>
      </c>
      <c r="AW133" s="218">
        <f t="shared" si="96"/>
        <v>0</v>
      </c>
      <c r="AX133" s="218">
        <f t="shared" si="96"/>
        <v>0</v>
      </c>
      <c r="AY133" s="218">
        <f t="shared" si="96"/>
        <v>0</v>
      </c>
      <c r="AZ133" s="218">
        <f t="shared" si="96"/>
        <v>0</v>
      </c>
      <c r="BA133" s="218">
        <f t="shared" si="96"/>
        <v>0</v>
      </c>
      <c r="BB133" s="218">
        <f t="shared" si="96"/>
        <v>0</v>
      </c>
      <c r="BC133" s="218">
        <f t="shared" si="96"/>
        <v>0</v>
      </c>
      <c r="BD133" s="218">
        <f t="shared" si="96"/>
        <v>0</v>
      </c>
      <c r="BE133" s="244">
        <f t="shared" si="96"/>
        <v>5353</v>
      </c>
      <c r="BF133" s="245">
        <f t="shared" si="96"/>
        <v>2626949</v>
      </c>
      <c r="BH133" s="218">
        <f t="shared" ref="BH133:BM133" si="97">BH42</f>
        <v>0</v>
      </c>
      <c r="BI133" s="218">
        <f t="shared" si="97"/>
        <v>14096.066500000001</v>
      </c>
      <c r="BJ133" s="218">
        <f t="shared" si="97"/>
        <v>0</v>
      </c>
      <c r="BK133" s="218">
        <f t="shared" si="97"/>
        <v>0</v>
      </c>
      <c r="BL133" s="218">
        <f t="shared" si="97"/>
        <v>0</v>
      </c>
      <c r="BM133" s="218">
        <f t="shared" si="97"/>
        <v>14096.066500000001</v>
      </c>
      <c r="BN133" s="718">
        <f t="shared" si="89"/>
        <v>0.17477025827533998</v>
      </c>
      <c r="BO133" s="714">
        <f t="shared" si="90"/>
        <v>5.3659460080877093</v>
      </c>
      <c r="BQ133" s="659">
        <f>'[19]JSO (t)'!AR135</f>
        <v>5.2007935783854577</v>
      </c>
      <c r="BR133" s="718">
        <f t="shared" si="94"/>
        <v>3.175523642942224E-2</v>
      </c>
      <c r="BS133" s="755"/>
      <c r="BT133" s="136">
        <f>'DUoS (t-1)'!BM133</f>
        <v>176354.48954290006</v>
      </c>
      <c r="BU133" s="794">
        <f>BM133/BT133</f>
        <v>7.9930295715953323E-2</v>
      </c>
      <c r="BV133" s="136">
        <f>(BU133-$BU$136)*BT133</f>
        <v>18.990744246184814</v>
      </c>
      <c r="BW133" s="794">
        <f>BV133/BM133</f>
        <v>1.3472371349968315E-3</v>
      </c>
    </row>
    <row r="134" spans="1:75"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98">SUM(X70:X93)</f>
        <v>72635</v>
      </c>
      <c r="Y134" s="218">
        <f t="shared" si="98"/>
        <v>0</v>
      </c>
      <c r="Z134" s="218">
        <f t="shared" si="98"/>
        <v>364504</v>
      </c>
      <c r="AA134" s="218">
        <f t="shared" si="98"/>
        <v>0</v>
      </c>
      <c r="AB134" s="218">
        <f t="shared" si="98"/>
        <v>350404</v>
      </c>
      <c r="AC134" s="218">
        <f t="shared" si="98"/>
        <v>0</v>
      </c>
      <c r="AD134" s="218">
        <f t="shared" si="98"/>
        <v>0</v>
      </c>
      <c r="AE134" s="218">
        <f t="shared" si="98"/>
        <v>0</v>
      </c>
      <c r="AF134" s="218">
        <f t="shared" si="98"/>
        <v>0</v>
      </c>
      <c r="AG134" s="218">
        <f t="shared" si="98"/>
        <v>1488105</v>
      </c>
      <c r="AH134" s="218">
        <f t="shared" si="98"/>
        <v>0</v>
      </c>
      <c r="AI134" s="218">
        <f t="shared" si="98"/>
        <v>0</v>
      </c>
      <c r="AJ134" s="218">
        <f t="shared" si="98"/>
        <v>59423825</v>
      </c>
      <c r="AK134" s="218">
        <f t="shared" si="98"/>
        <v>87282815</v>
      </c>
      <c r="AL134" s="218">
        <f t="shared" si="98"/>
        <v>0</v>
      </c>
      <c r="AM134" s="218">
        <f t="shared" si="98"/>
        <v>0</v>
      </c>
      <c r="AO134" s="218">
        <f t="shared" ref="AO134:BF134" si="99">SUM(AO70:AO93)</f>
        <v>0</v>
      </c>
      <c r="AP134" s="218">
        <f t="shared" si="99"/>
        <v>0</v>
      </c>
      <c r="AQ134" s="218">
        <f t="shared" si="99"/>
        <v>1597.6576</v>
      </c>
      <c r="AR134" s="218">
        <f t="shared" si="99"/>
        <v>0</v>
      </c>
      <c r="AS134" s="218">
        <f t="shared" si="99"/>
        <v>977.49120000000005</v>
      </c>
      <c r="AT134" s="218">
        <f t="shared" si="99"/>
        <v>0</v>
      </c>
      <c r="AU134" s="218">
        <f t="shared" si="99"/>
        <v>0</v>
      </c>
      <c r="AV134" s="218">
        <f t="shared" si="99"/>
        <v>0</v>
      </c>
      <c r="AW134" s="218">
        <f t="shared" si="99"/>
        <v>0</v>
      </c>
      <c r="AX134" s="218">
        <f t="shared" si="99"/>
        <v>0</v>
      </c>
      <c r="AY134" s="218">
        <f t="shared" si="99"/>
        <v>0</v>
      </c>
      <c r="AZ134" s="218">
        <f t="shared" si="99"/>
        <v>0</v>
      </c>
      <c r="BA134" s="218">
        <f t="shared" si="99"/>
        <v>0</v>
      </c>
      <c r="BB134" s="218">
        <f t="shared" si="99"/>
        <v>0</v>
      </c>
      <c r="BC134" s="218">
        <f t="shared" si="99"/>
        <v>0</v>
      </c>
      <c r="BD134" s="218">
        <f t="shared" si="99"/>
        <v>0</v>
      </c>
      <c r="BE134" s="244">
        <f t="shared" si="99"/>
        <v>199</v>
      </c>
      <c r="BF134" s="245">
        <f t="shared" si="99"/>
        <v>714908</v>
      </c>
      <c r="BH134" s="218">
        <f t="shared" ref="BH134:BM134" si="100">BH70</f>
        <v>0</v>
      </c>
      <c r="BI134" s="218">
        <f t="shared" si="100"/>
        <v>2575.1488000000004</v>
      </c>
      <c r="BJ134" s="218">
        <f t="shared" si="100"/>
        <v>0</v>
      </c>
      <c r="BK134" s="218">
        <f t="shared" si="100"/>
        <v>0</v>
      </c>
      <c r="BL134" s="218">
        <f t="shared" si="100"/>
        <v>0</v>
      </c>
      <c r="BM134" s="218">
        <f t="shared" si="100"/>
        <v>2575.1488000000004</v>
      </c>
      <c r="BN134" s="718">
        <f t="shared" si="89"/>
        <v>3.1928014873754448E-2</v>
      </c>
      <c r="BO134" s="714">
        <f t="shared" si="90"/>
        <v>3.6020701964448576</v>
      </c>
      <c r="BQ134" s="659">
        <f>'[19]JSO (t)'!AR136</f>
        <v>3.5957098292890035</v>
      </c>
      <c r="BR134" s="718">
        <f t="shared" si="94"/>
        <v>1.7688766496244401E-3</v>
      </c>
      <c r="BS134" s="755"/>
      <c r="BT134" s="136">
        <f>'DUoS (t-1)'!BM134</f>
        <v>32730.041781</v>
      </c>
      <c r="BU134" s="794">
        <f>BM134/BT134</f>
        <v>7.8678445240937353E-2</v>
      </c>
      <c r="BV134" s="136">
        <f>(BU134-$BU$136)*BT134</f>
        <v>-37.448581752755992</v>
      </c>
      <c r="BW134" s="794">
        <f>BV134/BM134</f>
        <v>-1.4542298197586092E-2</v>
      </c>
    </row>
    <row r="135" spans="1:75"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01">SUM(X94:X129)</f>
        <v>10220</v>
      </c>
      <c r="Y135" s="218">
        <f t="shared" si="101"/>
        <v>1181592</v>
      </c>
      <c r="Z135" s="218">
        <f t="shared" si="101"/>
        <v>0</v>
      </c>
      <c r="AA135" s="218">
        <f t="shared" si="101"/>
        <v>0</v>
      </c>
      <c r="AB135" s="218">
        <f t="shared" si="101"/>
        <v>0</v>
      </c>
      <c r="AC135" s="218">
        <f t="shared" si="101"/>
        <v>0</v>
      </c>
      <c r="AD135" s="218">
        <f t="shared" si="101"/>
        <v>0</v>
      </c>
      <c r="AE135" s="218">
        <f t="shared" si="101"/>
        <v>0</v>
      </c>
      <c r="AF135" s="218">
        <f t="shared" si="101"/>
        <v>0</v>
      </c>
      <c r="AG135" s="218">
        <f t="shared" si="101"/>
        <v>0</v>
      </c>
      <c r="AH135" s="218">
        <f t="shared" si="101"/>
        <v>0</v>
      </c>
      <c r="AI135" s="218">
        <f t="shared" si="101"/>
        <v>0</v>
      </c>
      <c r="AJ135" s="218">
        <f t="shared" si="101"/>
        <v>82932745</v>
      </c>
      <c r="AK135" s="218">
        <f t="shared" si="101"/>
        <v>125423125</v>
      </c>
      <c r="AL135" s="218">
        <f t="shared" si="101"/>
        <v>0</v>
      </c>
      <c r="AM135" s="218">
        <f t="shared" si="101"/>
        <v>0</v>
      </c>
      <c r="AO135" s="218">
        <f t="shared" ref="AO135:BF135" si="102">SUM(AO94:AO129)</f>
        <v>0</v>
      </c>
      <c r="AP135" s="218">
        <f t="shared" si="102"/>
        <v>1094.7311999999999</v>
      </c>
      <c r="AQ135" s="218">
        <f t="shared" si="102"/>
        <v>0</v>
      </c>
      <c r="AR135" s="218">
        <f t="shared" si="102"/>
        <v>0</v>
      </c>
      <c r="AS135" s="218">
        <f t="shared" si="102"/>
        <v>0</v>
      </c>
      <c r="AT135" s="218">
        <f t="shared" si="102"/>
        <v>0</v>
      </c>
      <c r="AU135" s="218">
        <f t="shared" si="102"/>
        <v>0</v>
      </c>
      <c r="AV135" s="218">
        <f t="shared" si="102"/>
        <v>0</v>
      </c>
      <c r="AW135" s="218">
        <f t="shared" si="102"/>
        <v>0</v>
      </c>
      <c r="AX135" s="218">
        <f t="shared" si="102"/>
        <v>0</v>
      </c>
      <c r="AY135" s="218">
        <f t="shared" si="102"/>
        <v>0</v>
      </c>
      <c r="AZ135" s="218">
        <f t="shared" si="102"/>
        <v>0</v>
      </c>
      <c r="BA135" s="218">
        <f t="shared" si="102"/>
        <v>0</v>
      </c>
      <c r="BB135" s="218">
        <f t="shared" si="102"/>
        <v>0</v>
      </c>
      <c r="BC135" s="218">
        <f t="shared" si="102"/>
        <v>0</v>
      </c>
      <c r="BD135" s="218">
        <f t="shared" si="102"/>
        <v>0</v>
      </c>
      <c r="BE135" s="244">
        <f t="shared" si="102"/>
        <v>28</v>
      </c>
      <c r="BF135" s="245">
        <f t="shared" si="102"/>
        <v>1181592</v>
      </c>
      <c r="BH135" s="218">
        <f t="shared" ref="BH135:BM135" si="103">BH94</f>
        <v>0</v>
      </c>
      <c r="BI135" s="218">
        <f t="shared" si="103"/>
        <v>1094.7311999999999</v>
      </c>
      <c r="BJ135" s="218">
        <f t="shared" si="103"/>
        <v>0</v>
      </c>
      <c r="BK135" s="218">
        <f t="shared" si="103"/>
        <v>0</v>
      </c>
      <c r="BL135" s="218">
        <f t="shared" si="103"/>
        <v>0</v>
      </c>
      <c r="BM135" s="218">
        <f t="shared" si="103"/>
        <v>1094.7311999999999</v>
      </c>
      <c r="BN135" s="718">
        <f t="shared" si="89"/>
        <v>1.3573038589600357E-2</v>
      </c>
      <c r="BO135" s="714">
        <f t="shared" si="90"/>
        <v>0.92648833099750161</v>
      </c>
      <c r="BQ135" s="659">
        <f>'[19]JSO (t)'!AR137</f>
        <v>0.8</v>
      </c>
      <c r="BR135" s="718">
        <f t="shared" si="94"/>
        <v>0.15811041374687695</v>
      </c>
      <c r="BS135" s="755"/>
      <c r="BT135" s="136">
        <f>'DUoS (t-1)'!BM135</f>
        <v>13016.699955</v>
      </c>
      <c r="BU135" s="794">
        <f>BM135/BT135</f>
        <v>8.4102053806617061E-2</v>
      </c>
      <c r="BV135" s="136">
        <f>(BU135-$BU$136)*BT135</f>
        <v>55.70422750051069</v>
      </c>
      <c r="BW135" s="794">
        <f>BV135/BM135</f>
        <v>5.0883931599383203E-2</v>
      </c>
    </row>
    <row r="136" spans="1:75"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04">SUM(X131:X135)</f>
        <v>329884445</v>
      </c>
      <c r="Y136" s="221">
        <f t="shared" si="104"/>
        <v>4039092</v>
      </c>
      <c r="Z136" s="221">
        <f t="shared" si="104"/>
        <v>2519148</v>
      </c>
      <c r="AA136" s="221">
        <f t="shared" si="104"/>
        <v>386650</v>
      </c>
      <c r="AB136" s="221">
        <f t="shared" si="104"/>
        <v>2089509</v>
      </c>
      <c r="AC136" s="221">
        <f t="shared" si="104"/>
        <v>367300</v>
      </c>
      <c r="AD136" s="221">
        <f t="shared" si="104"/>
        <v>0</v>
      </c>
      <c r="AE136" s="221">
        <f t="shared" si="104"/>
        <v>92600</v>
      </c>
      <c r="AF136" s="221">
        <f t="shared" si="104"/>
        <v>23100</v>
      </c>
      <c r="AG136" s="221">
        <f t="shared" si="104"/>
        <v>5043249</v>
      </c>
      <c r="AH136" s="221">
        <f t="shared" si="104"/>
        <v>1828610</v>
      </c>
      <c r="AI136" s="221">
        <f t="shared" si="104"/>
        <v>4349340</v>
      </c>
      <c r="AJ136" s="221">
        <f t="shared" si="104"/>
        <v>374575045</v>
      </c>
      <c r="AK136" s="221">
        <f t="shared" si="104"/>
        <v>585726450</v>
      </c>
      <c r="AL136" s="221">
        <f t="shared" si="104"/>
        <v>446395</v>
      </c>
      <c r="AM136" s="221">
        <f>SUM(AM131:AM135)</f>
        <v>0</v>
      </c>
      <c r="AO136" s="221">
        <f>SUM(AO131:AO135)</f>
        <v>13474.542319499998</v>
      </c>
      <c r="AP136" s="221">
        <f t="shared" ref="AP136:BD136" si="105">SUM(AP131:AP135)</f>
        <v>32378.091199999999</v>
      </c>
      <c r="AQ136" s="221">
        <f t="shared" si="105"/>
        <v>20861.143599999999</v>
      </c>
      <c r="AR136" s="221">
        <f t="shared" si="105"/>
        <v>2984.9950000000003</v>
      </c>
      <c r="AS136" s="221">
        <f t="shared" si="105"/>
        <v>8155.4017000000022</v>
      </c>
      <c r="AT136" s="221">
        <f t="shared" si="105"/>
        <v>2145.34</v>
      </c>
      <c r="AU136" s="221">
        <f t="shared" si="105"/>
        <v>0</v>
      </c>
      <c r="AV136" s="221">
        <f t="shared" si="105"/>
        <v>537.07999999999993</v>
      </c>
      <c r="AW136" s="221">
        <f t="shared" si="105"/>
        <v>66.989999999999995</v>
      </c>
      <c r="AX136" s="221">
        <f t="shared" si="105"/>
        <v>0</v>
      </c>
      <c r="AY136" s="221">
        <f t="shared" si="105"/>
        <v>0</v>
      </c>
      <c r="AZ136" s="221">
        <f t="shared" si="105"/>
        <v>0</v>
      </c>
      <c r="BA136" s="221">
        <f t="shared" si="105"/>
        <v>0</v>
      </c>
      <c r="BB136" s="221">
        <f t="shared" si="105"/>
        <v>0</v>
      </c>
      <c r="BC136" s="221">
        <f t="shared" si="105"/>
        <v>28.658558999999997</v>
      </c>
      <c r="BD136" s="221">
        <f t="shared" si="105"/>
        <v>0</v>
      </c>
      <c r="BE136" s="238">
        <f>SUM(BE131:BE135)</f>
        <v>903793</v>
      </c>
      <c r="BF136" s="239">
        <f>SUM(BF131:BF135)</f>
        <v>9517399</v>
      </c>
      <c r="BH136" s="221">
        <f t="shared" ref="BH136:BM136" si="106">SUM(BH131:BH135)</f>
        <v>13489.828847999999</v>
      </c>
      <c r="BI136" s="221">
        <f t="shared" si="106"/>
        <v>64386.938485000013</v>
      </c>
      <c r="BJ136" s="221">
        <f t="shared" si="106"/>
        <v>2749.41</v>
      </c>
      <c r="BK136" s="221">
        <f t="shared" si="106"/>
        <v>0</v>
      </c>
      <c r="BL136" s="221">
        <f t="shared" si="106"/>
        <v>28.658558999999997</v>
      </c>
      <c r="BM136" s="221">
        <f t="shared" si="106"/>
        <v>80654.835892000003</v>
      </c>
      <c r="BN136" s="718">
        <f t="shared" si="89"/>
        <v>1</v>
      </c>
      <c r="BO136" s="715">
        <f t="shared" si="90"/>
        <v>8.4744619713852494</v>
      </c>
      <c r="BQ136" s="659">
        <f>'[19]JSO (t)'!AR138</f>
        <v>8.4918205862717926</v>
      </c>
      <c r="BR136" s="718">
        <f t="shared" si="94"/>
        <v>-2.0441570462058634E-3</v>
      </c>
      <c r="BT136" s="136">
        <f>SUM(BT132:BT135)</f>
        <v>359571.45392230008</v>
      </c>
      <c r="BU136" s="805">
        <f>SUM(BM132:BM135)/BT136</f>
        <v>7.9822610653353512E-2</v>
      </c>
      <c r="BV136" s="136">
        <f>SUM(BV132:BV135)</f>
        <v>2.2097879082139116E-12</v>
      </c>
      <c r="BW136" s="794">
        <f>BV136/BM136</f>
        <v>2.7398083249129718E-17</v>
      </c>
    </row>
    <row r="137" spans="1:75"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R137" s="718"/>
    </row>
    <row r="138" spans="1:75"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12083.0031795</v>
      </c>
      <c r="BI138" s="218">
        <f>BI131</f>
        <v>37141.631985000007</v>
      </c>
      <c r="BJ138" s="218"/>
      <c r="BK138" s="218">
        <f>BK131</f>
        <v>0</v>
      </c>
      <c r="BL138" s="218">
        <f>BL131</f>
        <v>28.658558999999997</v>
      </c>
      <c r="BM138" s="218">
        <f>SUM(BH138:BL138)</f>
        <v>49253.293723500014</v>
      </c>
      <c r="BN138" s="718">
        <f>BM138/$BM$136</f>
        <v>0.61066758339762928</v>
      </c>
      <c r="BO138" s="714">
        <f>BM138*1000/BF138</f>
        <v>15.336777382023701</v>
      </c>
      <c r="BQ138" s="659">
        <f>'[19]JSO (t)'!AR131</f>
        <v>15.271834803752231</v>
      </c>
      <c r="BR138" s="718">
        <f t="shared" si="94"/>
        <v>4.2524411183071376E-3</v>
      </c>
    </row>
    <row r="139" spans="1:75"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2699.6099999999997</v>
      </c>
      <c r="BK139" s="218"/>
      <c r="BL139" s="218"/>
      <c r="BM139" s="218">
        <f>SUM(BH139:BL139)</f>
        <v>2699.6099999999997</v>
      </c>
      <c r="BN139" s="718">
        <f>BM139/$BM$136</f>
        <v>3.347114863161936E-2</v>
      </c>
      <c r="BO139" s="714">
        <f>BM139*1000/BF139</f>
        <v>5.6595597484276716</v>
      </c>
      <c r="BQ139" s="659">
        <f>'[19]JSO (t)'!AR132</f>
        <v>11.599999999999998</v>
      </c>
      <c r="BR139" s="718">
        <f t="shared" si="94"/>
        <v>-0.51210691823899368</v>
      </c>
    </row>
    <row r="140" spans="1:75"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128"/>
    </row>
    <row r="141" spans="1:75"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row>
    <row r="142" spans="1:75"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(t-1)'!BM131</f>
        <v>8.5068979954267057E-2</v>
      </c>
    </row>
    <row r="143" spans="1:75"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(t-1)'!BM132</f>
        <v>5.732126766141895E-2</v>
      </c>
    </row>
    <row r="144" spans="1:75" x14ac:dyDescent="0.25">
      <c r="E144" s="224" t="s">
        <v>45</v>
      </c>
      <c r="F144" s="224"/>
      <c r="G144" s="225">
        <f>SUM(AO18:AO19,AX18:BD19)</f>
        <v>9533.753279999999</v>
      </c>
      <c r="H144" s="225">
        <f>SUM(AP18:AS19)</f>
        <v>27841.16</v>
      </c>
      <c r="I144" s="225">
        <f>SUM(G144:H144)</f>
        <v>37374.913280000001</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2518.6768425</v>
      </c>
      <c r="H145" s="225">
        <f>SUM(AP22:AS23)</f>
        <v>9287.2500000000018</v>
      </c>
      <c r="I145" s="225">
        <f t="shared" ref="I145:I164" si="107">SUM(G145:H145)</f>
        <v>11805.926842500001</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43.9450875</v>
      </c>
      <c r="H146" s="225">
        <f>SUM(AP24:AS25)</f>
        <v>5.9149999999999991</v>
      </c>
      <c r="I146" s="225">
        <f t="shared" si="107"/>
        <v>49.860087499999999</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15.286528499999999</v>
      </c>
      <c r="H147" s="225">
        <f>SUM(AP26:AS27)</f>
        <v>7.3069850000000001</v>
      </c>
      <c r="I147" s="225">
        <f t="shared" si="107"/>
        <v>22.5935135</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2145.34</v>
      </c>
      <c r="I148" s="225">
        <f t="shared" si="107"/>
        <v>2145.34</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604.06999999999994</v>
      </c>
      <c r="I149" s="225">
        <f t="shared" si="107"/>
        <v>604.06999999999994</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561.6</v>
      </c>
      <c r="I150" s="225">
        <f t="shared" si="107"/>
        <v>561.6</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1036.333623</v>
      </c>
      <c r="H151" s="225">
        <f>SUM(AP33:AS37,AP44:AS47)</f>
        <v>4951.57</v>
      </c>
      <c r="I151" s="225">
        <f t="shared" si="107"/>
        <v>5987.9036230000002</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336.81367799999998</v>
      </c>
      <c r="H152" s="225">
        <f>SUM(AP39:AS39)</f>
        <v>3406.12</v>
      </c>
      <c r="I152" s="225">
        <f t="shared" si="107"/>
        <v>3742.9336779999999</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23.357335499999998</v>
      </c>
      <c r="H153" s="225">
        <f>SUM(AP40:AS40)</f>
        <v>437.95000000000005</v>
      </c>
      <c r="I153" s="225">
        <f t="shared" si="107"/>
        <v>461.30733550000002</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10.321031999999999</v>
      </c>
      <c r="H154" s="225">
        <f>SUM(AP41:AS41)</f>
        <v>122.12</v>
      </c>
      <c r="I154" s="225">
        <f t="shared" si="107"/>
        <v>132.44103200000001</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SUM(AO49:AO49,AO55:AO68,AX49:BD49,AX55:BD68)</f>
        <v>0</v>
      </c>
      <c r="H155" s="225">
        <f>SUM(AP49:AS49,AP55:AS68)</f>
        <v>13345.326499999999</v>
      </c>
      <c r="I155" s="225">
        <f t="shared" si="107"/>
        <v>13345.326499999999</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SUM(AO50:AO51,AO69,AX50:BD51,AX69:BD69)</f>
        <v>0</v>
      </c>
      <c r="H156" s="225">
        <f>SUM(AP50:AS51,AP69:AS69)</f>
        <v>698.74</v>
      </c>
      <c r="I156" s="225">
        <f t="shared" si="107"/>
        <v>698.74</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0</v>
      </c>
      <c r="H157" s="225">
        <f>SUM(AP52:AS53)</f>
        <v>52</v>
      </c>
      <c r="I157" s="225">
        <f t="shared" si="107"/>
        <v>52</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0</v>
      </c>
      <c r="H158" s="225">
        <f>SUM(AP72:AS72,AP76:AS76,AP79:AS87)</f>
        <v>2391.1888000000008</v>
      </c>
      <c r="I158" s="225">
        <f t="shared" si="107"/>
        <v>2391.1888000000008</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0</v>
      </c>
      <c r="H159" s="225">
        <f>SUM(AP73:AS74)</f>
        <v>183.96</v>
      </c>
      <c r="I159" s="225">
        <f t="shared" si="107"/>
        <v>183.96</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0</v>
      </c>
      <c r="H160" s="225">
        <f>SUM(AP75:AS75,AP77:AS77)</f>
        <v>0</v>
      </c>
      <c r="I160" s="225">
        <f t="shared" si="107"/>
        <v>0</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0</v>
      </c>
      <c r="H161" s="225">
        <f>SUM(AP96:AS103)</f>
        <v>136.99619999999999</v>
      </c>
      <c r="I161" s="225">
        <f t="shared" si="107"/>
        <v>136.99619999999999</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0</v>
      </c>
      <c r="H162" s="225">
        <f>SUM(AP105:AS114)</f>
        <v>358.35299999999995</v>
      </c>
      <c r="I162" s="225">
        <f t="shared" si="107"/>
        <v>358.35299999999995</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0</v>
      </c>
      <c r="H163" s="225">
        <f>SUM(AP116:AS119)</f>
        <v>16.091999999999999</v>
      </c>
      <c r="I163" s="225">
        <f t="shared" si="107"/>
        <v>16.091999999999999</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0</v>
      </c>
      <c r="H164" s="225">
        <f>SUM(AP121:AS129)</f>
        <v>583.29</v>
      </c>
      <c r="I164" s="225">
        <f t="shared" si="107"/>
        <v>583.29</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13518.487407000001</v>
      </c>
      <c r="H165" s="226">
        <f>SUM(H144:H164)</f>
        <v>67136.34848500001</v>
      </c>
      <c r="I165" s="226">
        <f>SUM(I144:I164)</f>
        <v>80654.835892000003</v>
      </c>
    </row>
    <row r="166" spans="3:57" x14ac:dyDescent="0.25">
      <c r="E166" s="222" t="s">
        <v>176</v>
      </c>
      <c r="F166" s="222"/>
      <c r="G166" s="227"/>
      <c r="H166" s="227"/>
      <c r="I166" s="228">
        <f>SUM(BM136)</f>
        <v>80654.835892000003</v>
      </c>
    </row>
    <row r="167" spans="3:57" x14ac:dyDescent="0.25">
      <c r="E167" s="222" t="s">
        <v>177</v>
      </c>
      <c r="F167" s="222"/>
      <c r="G167" s="228"/>
      <c r="H167" s="228"/>
      <c r="I167" s="228">
        <f>I166-I165</f>
        <v>0</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56A22-EA1B-4855-B279-1E403AE077D9}">
  <sheetPr>
    <tabColor rgb="FFFF0000"/>
  </sheetPr>
  <dimension ref="A1:BT454"/>
  <sheetViews>
    <sheetView showGridLines="0" zoomScale="90" zoomScaleNormal="90" workbookViewId="0">
      <pane xSplit="4" ySplit="15" topLeftCell="BA16" activePane="bottomRight" state="frozenSplit"/>
      <selection activeCell="N80" sqref="N80"/>
      <selection pane="topRight" activeCell="N80" sqref="N80"/>
      <selection pane="bottomLeft" activeCell="N80" sqref="N80"/>
      <selection pane="bottomRight" activeCell="BO24" sqref="BO24:BO26"/>
    </sheetView>
  </sheetViews>
  <sheetFormatPr defaultRowHeight="15" x14ac:dyDescent="0.25"/>
  <cols>
    <col min="1" max="1" width="1.5703125" style="128" customWidth="1"/>
    <col min="2" max="2" width="6.85546875" style="128" customWidth="1"/>
    <col min="3" max="3" width="12" style="128" bestFit="1" customWidth="1"/>
    <col min="4" max="4" width="13.28515625" style="128" bestFit="1" customWidth="1"/>
    <col min="5" max="5" width="51.42578125" style="128" bestFit="1" customWidth="1"/>
    <col min="6" max="6" width="3.7109375" style="128" customWidth="1"/>
    <col min="7" max="8" width="13.140625" style="128" customWidth="1"/>
    <col min="9" max="9" width="15" style="128" bestFit="1" customWidth="1"/>
    <col min="10"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64" width="9.140625" style="128"/>
    <col min="65" max="65" width="11.140625" style="128" bestFit="1" customWidth="1"/>
    <col min="66" max="16384" width="9.140625" style="128"/>
  </cols>
  <sheetData>
    <row r="1" spans="2:69" ht="24" customHeight="1" x14ac:dyDescent="0.35">
      <c r="B1" s="1" t="str">
        <f>'Model Update'!D5</f>
        <v>SA Power Networks</v>
      </c>
      <c r="C1" s="141"/>
      <c r="D1" s="141"/>
      <c r="G1" s="1" t="s">
        <v>11</v>
      </c>
      <c r="X1" s="140"/>
      <c r="AO1" s="140"/>
    </row>
    <row r="2" spans="2:69" ht="21.75" customHeight="1" x14ac:dyDescent="0.3">
      <c r="B2" s="123" t="s">
        <v>12</v>
      </c>
      <c r="C2" s="141"/>
      <c r="D2" s="141"/>
      <c r="G2"/>
      <c r="H2" s="6" t="s">
        <v>13</v>
      </c>
      <c r="I2"/>
      <c r="J2"/>
      <c r="K2"/>
      <c r="L2"/>
      <c r="M2"/>
      <c r="N2"/>
      <c r="O2"/>
      <c r="Y2" s="142"/>
      <c r="Z2" s="142"/>
      <c r="AA2" s="142"/>
      <c r="AB2" s="142"/>
      <c r="AP2" s="142"/>
      <c r="AQ2" s="142"/>
      <c r="AR2" s="142"/>
      <c r="AS2" s="142"/>
    </row>
    <row r="3" spans="2:69" ht="18" hidden="1" customHeight="1" x14ac:dyDescent="0.25">
      <c r="B3" s="143"/>
      <c r="C3" s="141"/>
      <c r="D3" s="141"/>
      <c r="G3"/>
      <c r="H3"/>
      <c r="I3"/>
      <c r="J3"/>
      <c r="K3"/>
      <c r="L3"/>
      <c r="M3"/>
      <c r="N3"/>
      <c r="O3"/>
      <c r="Y3" s="142"/>
      <c r="Z3" s="142"/>
      <c r="AA3" s="142"/>
      <c r="AB3" s="142"/>
      <c r="AP3" s="142"/>
      <c r="AQ3" s="142"/>
      <c r="AR3" s="142"/>
      <c r="AS3" s="142"/>
    </row>
    <row r="4" spans="2:69" ht="18" hidden="1" customHeight="1" x14ac:dyDescent="0.25">
      <c r="B4" s="143"/>
      <c r="C4" s="141"/>
      <c r="D4" s="141"/>
      <c r="G4"/>
      <c r="H4"/>
      <c r="I4"/>
      <c r="J4"/>
      <c r="K4"/>
      <c r="L4"/>
      <c r="M4"/>
      <c r="N4"/>
      <c r="O4"/>
      <c r="Y4" s="142"/>
      <c r="Z4" s="142"/>
      <c r="AA4" s="142"/>
      <c r="AB4" s="142"/>
      <c r="AP4" s="142"/>
      <c r="AQ4" s="142"/>
      <c r="AR4" s="142"/>
      <c r="AS4" s="142"/>
    </row>
    <row r="5" spans="2:69" ht="12.75" customHeight="1" x14ac:dyDescent="0.25">
      <c r="B5" s="143"/>
      <c r="C5" s="141"/>
      <c r="D5" s="141"/>
      <c r="G5"/>
      <c r="H5"/>
      <c r="I5"/>
      <c r="J5"/>
      <c r="K5"/>
      <c r="L5"/>
      <c r="M5"/>
      <c r="N5"/>
      <c r="O5"/>
      <c r="Y5" s="142"/>
      <c r="Z5" s="142"/>
      <c r="AA5" s="142"/>
      <c r="AB5" s="142"/>
      <c r="AP5" s="142"/>
      <c r="AQ5" s="142"/>
      <c r="AR5" s="142"/>
      <c r="AS5" s="142"/>
    </row>
    <row r="6" spans="2:69" ht="12.75" customHeight="1" x14ac:dyDescent="0.25">
      <c r="B6" s="143"/>
      <c r="C6" s="141"/>
      <c r="D6" s="141"/>
      <c r="G6"/>
      <c r="H6"/>
      <c r="I6"/>
      <c r="J6"/>
      <c r="K6"/>
      <c r="L6"/>
      <c r="M6"/>
      <c r="N6"/>
      <c r="O6"/>
      <c r="Z6" s="142"/>
      <c r="AA6" s="142"/>
      <c r="AB6" s="142"/>
      <c r="AQ6" s="142"/>
      <c r="AR6" s="142"/>
      <c r="AS6" s="142"/>
    </row>
    <row r="7" spans="2:69" ht="18.75" x14ac:dyDescent="0.3">
      <c r="B7" s="7" t="str">
        <f>"Information for financial year ending 30 June "&amp;'Model Update'!C12</f>
        <v>Information for financial year ending 30 June 2022</v>
      </c>
      <c r="C7" s="141"/>
      <c r="D7" s="141"/>
      <c r="G7"/>
      <c r="H7"/>
      <c r="I7"/>
      <c r="J7"/>
      <c r="K7"/>
      <c r="L7"/>
      <c r="M7"/>
      <c r="N7"/>
      <c r="O7"/>
      <c r="Y7" s="142"/>
      <c r="Z7" s="142"/>
      <c r="AA7" s="142"/>
      <c r="AB7" s="142"/>
      <c r="AP7" s="142"/>
      <c r="AQ7" s="142"/>
      <c r="AR7" s="142"/>
      <c r="AS7" s="142"/>
      <c r="BE7" s="251">
        <f>Days_Year</f>
        <v>365</v>
      </c>
    </row>
    <row r="8" spans="2:69" x14ac:dyDescent="0.25">
      <c r="B8" s="143"/>
      <c r="C8" s="141"/>
      <c r="D8" s="141"/>
    </row>
    <row r="9" spans="2:69"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x14ac:dyDescent="0.25">
      <c r="B11" s="146" t="s">
        <v>16</v>
      </c>
      <c r="C11" s="147"/>
      <c r="D11" s="147"/>
      <c r="E11" s="148"/>
      <c r="G11" s="149">
        <f>'Model Update'!C12</f>
        <v>2022</v>
      </c>
      <c r="H11" s="150">
        <f>$G$11</f>
        <v>2022</v>
      </c>
      <c r="I11" s="147"/>
      <c r="J11" s="151"/>
      <c r="K11" s="152"/>
      <c r="L11" s="150">
        <f>$G$11</f>
        <v>2022</v>
      </c>
      <c r="M11" s="153"/>
      <c r="N11" s="153"/>
      <c r="O11" s="152"/>
      <c r="P11" s="150">
        <f>$G$11</f>
        <v>2022</v>
      </c>
      <c r="Q11" s="147"/>
      <c r="R11" s="151"/>
      <c r="S11" s="150">
        <f>$G$11</f>
        <v>2022</v>
      </c>
      <c r="T11" s="154"/>
      <c r="U11" s="150">
        <f>$G$11</f>
        <v>2022</v>
      </c>
      <c r="V11" s="148"/>
      <c r="X11" s="150">
        <f>$G$11</f>
        <v>2022</v>
      </c>
      <c r="Y11" s="150">
        <f>$G$11</f>
        <v>2022</v>
      </c>
      <c r="Z11" s="147"/>
      <c r="AA11" s="151"/>
      <c r="AB11" s="152"/>
      <c r="AC11" s="150">
        <f>$G$11</f>
        <v>2022</v>
      </c>
      <c r="AD11" s="153"/>
      <c r="AE11" s="153"/>
      <c r="AF11" s="152"/>
      <c r="AG11" s="150">
        <f>$G$11</f>
        <v>2022</v>
      </c>
      <c r="AH11" s="147"/>
      <c r="AI11" s="151"/>
      <c r="AJ11" s="150">
        <f>$G$11</f>
        <v>2022</v>
      </c>
      <c r="AK11" s="154"/>
      <c r="AL11" s="150">
        <f>$G$11</f>
        <v>2022</v>
      </c>
      <c r="AM11" s="148"/>
      <c r="AO11" s="150">
        <f>$G$11</f>
        <v>2022</v>
      </c>
      <c r="AP11" s="150">
        <f>$G$11</f>
        <v>2022</v>
      </c>
      <c r="AQ11" s="147"/>
      <c r="AR11" s="151"/>
      <c r="AS11" s="152"/>
      <c r="AT11" s="150">
        <f>$G$11</f>
        <v>2022</v>
      </c>
      <c r="AU11" s="153"/>
      <c r="AV11" s="153"/>
      <c r="AW11" s="152"/>
      <c r="AX11" s="150">
        <f>$G$11</f>
        <v>2022</v>
      </c>
      <c r="AY11" s="147"/>
      <c r="AZ11" s="151"/>
      <c r="BA11" s="150">
        <f>$G$11</f>
        <v>2022</v>
      </c>
      <c r="BB11" s="154"/>
      <c r="BC11" s="150">
        <f>$G$11</f>
        <v>2022</v>
      </c>
      <c r="BD11" s="147"/>
      <c r="BE11" s="912" t="s">
        <v>17</v>
      </c>
      <c r="BF11" s="900"/>
      <c r="BH11" s="912" t="s">
        <v>205</v>
      </c>
      <c r="BI11" s="899"/>
      <c r="BJ11" s="899"/>
      <c r="BK11" s="899"/>
      <c r="BL11" s="899"/>
      <c r="BM11" s="900"/>
    </row>
    <row r="12" spans="2:69"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825" t="s">
        <v>204</v>
      </c>
      <c r="BF12" s="827" t="s">
        <v>23</v>
      </c>
      <c r="BH12" s="232"/>
      <c r="BI12" s="233"/>
      <c r="BJ12" s="233"/>
      <c r="BK12" s="233"/>
      <c r="BL12" s="233"/>
      <c r="BM12" s="145"/>
    </row>
    <row r="13" spans="2:69"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827"/>
      <c r="BH13" s="825" t="s">
        <v>206</v>
      </c>
      <c r="BI13" s="826" t="s">
        <v>23</v>
      </c>
      <c r="BJ13" s="826" t="s">
        <v>23</v>
      </c>
      <c r="BK13" s="826" t="s">
        <v>210</v>
      </c>
      <c r="BL13" s="826" t="s">
        <v>211</v>
      </c>
      <c r="BM13" s="827" t="s">
        <v>212</v>
      </c>
      <c r="BO13" s="826" t="s">
        <v>600</v>
      </c>
      <c r="BQ13" s="126" t="s">
        <v>255</v>
      </c>
    </row>
    <row r="14" spans="2:69"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825" t="s">
        <v>22</v>
      </c>
      <c r="BF14" s="827" t="s">
        <v>35</v>
      </c>
      <c r="BH14" s="825" t="s">
        <v>207</v>
      </c>
      <c r="BI14" s="826" t="s">
        <v>208</v>
      </c>
      <c r="BJ14" s="826" t="s">
        <v>209</v>
      </c>
      <c r="BK14" s="826"/>
      <c r="BL14" s="826"/>
      <c r="BM14" s="827"/>
    </row>
    <row r="15" spans="2:69"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69" ht="15" customHeight="1" x14ac:dyDescent="0.25">
      <c r="B16" s="167" t="s">
        <v>41</v>
      </c>
      <c r="C16" s="151" t="s">
        <v>42</v>
      </c>
      <c r="D16" s="147"/>
      <c r="E16" s="148"/>
      <c r="G16" s="453">
        <f>SUM('DUoS (t-1)'!G16,'TUoS (t-1)'!G16,'JSO (t-1)'!G16)</f>
        <v>0</v>
      </c>
      <c r="H16" s="454">
        <f>SUM('DUoS (t-1)'!H16,'TUoS (t-1)'!H16,'JSO (t-1)'!H16)</f>
        <v>0</v>
      </c>
      <c r="I16" s="455">
        <f>SUM('DUoS (t-1)'!I16,'TUoS (t-1)'!I16,'JSO (t-1)'!I16)</f>
        <v>0</v>
      </c>
      <c r="J16" s="455">
        <f>SUM('DUoS (t-1)'!J16,'TUoS (t-1)'!J16,'JSO (t-1)'!J16)</f>
        <v>0</v>
      </c>
      <c r="K16" s="456">
        <f>SUM('DUoS (t-1)'!K16,'TUoS (t-1)'!K16,'JSO (t-1)'!K16)</f>
        <v>0</v>
      </c>
      <c r="L16" s="455">
        <f>SUM('DUoS (t-1)'!L16,'TUoS (t-1)'!L16,'JSO (t-1)'!L16)</f>
        <v>0</v>
      </c>
      <c r="M16" s="455">
        <f>SUM('DUoS (t-1)'!M16,'TUoS (t-1)'!M16,'JSO (t-1)'!M16)</f>
        <v>0</v>
      </c>
      <c r="N16" s="455">
        <f>SUM('DUoS (t-1)'!N16,'TUoS (t-1)'!N16,'JSO (t-1)'!N16)</f>
        <v>0</v>
      </c>
      <c r="O16" s="456">
        <f>SUM('DUoS (t-1)'!O16,'TUoS (t-1)'!O16,'JSO (t-1)'!O16)</f>
        <v>0</v>
      </c>
      <c r="P16" s="454">
        <f>SUM('DUoS (t-1)'!P16,'TUoS (t-1)'!P16,'JSO (t-1)'!P16)</f>
        <v>0</v>
      </c>
      <c r="Q16" s="455">
        <f>SUM('DUoS (t-1)'!Q16,'TUoS (t-1)'!Q16,'JSO (t-1)'!Q16)</f>
        <v>0</v>
      </c>
      <c r="R16" s="456">
        <f>SUM('DUoS (t-1)'!R16,'TUoS (t-1)'!R16,'JSO (t-1)'!R16)</f>
        <v>0</v>
      </c>
      <c r="S16" s="454">
        <f>SUM('DUoS (t-1)'!S16,'TUoS (t-1)'!S16,'JSO (t-1)'!S16)</f>
        <v>0</v>
      </c>
      <c r="T16" s="455">
        <f>SUM('DUoS (t-1)'!T16,'TUoS (t-1)'!T16,'JSO (t-1)'!T16)</f>
        <v>0</v>
      </c>
      <c r="U16" s="454">
        <f>SUM('DUoS (t-1)'!U16,'TUoS (t-1)'!U16,'JSO (t-1)'!U16)</f>
        <v>0</v>
      </c>
      <c r="V16" s="456">
        <f>SUM('DUoS (t-1)'!V16,'TUoS (t-1)'!V16,'JSO (t-1)'!V16)</f>
        <v>0</v>
      </c>
      <c r="X16" s="168"/>
      <c r="Y16" s="169"/>
      <c r="Z16" s="170"/>
      <c r="AA16" s="170"/>
      <c r="AB16" s="171"/>
      <c r="AC16" s="170"/>
      <c r="AD16" s="170"/>
      <c r="AE16" s="170"/>
      <c r="AF16" s="171"/>
      <c r="AG16" s="169"/>
      <c r="AH16" s="170"/>
      <c r="AI16" s="171"/>
      <c r="AJ16" s="169"/>
      <c r="AK16" s="170"/>
      <c r="AL16" s="169"/>
      <c r="AM16" s="171"/>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2"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136950.89371999999</v>
      </c>
      <c r="BI16" s="253">
        <f>SUBTOTAL(9,BI17:BI27)</f>
        <v>441306.09224000003</v>
      </c>
      <c r="BJ16" s="253">
        <f>SUBTOTAL(9,BJ17:BJ27)</f>
        <v>32116.050000000003</v>
      </c>
      <c r="BK16" s="253">
        <f>SUBTOTAL(9,BK17:BK27)</f>
        <v>0</v>
      </c>
      <c r="BL16" s="253">
        <f>SUBTOTAL(9,BL17:BL27)</f>
        <v>341.98320949999999</v>
      </c>
      <c r="BM16" s="254">
        <f>SUM(BH16:BL16)</f>
        <v>610715.01916949998</v>
      </c>
      <c r="BO16" s="714" t="str">
        <f>IF(BF16=0,"",BM16*1000/BF16)</f>
        <v/>
      </c>
    </row>
    <row r="17" spans="2:67" ht="15" customHeight="1" x14ac:dyDescent="0.25">
      <c r="B17" s="172"/>
      <c r="C17" s="126" t="s">
        <v>43</v>
      </c>
      <c r="D17" s="173"/>
      <c r="E17" s="145"/>
      <c r="G17" s="457">
        <f>SUM('DUoS (t-1)'!G17,'TUoS (t-1)'!G17,'JSO (t-1)'!G17)</f>
        <v>0</v>
      </c>
      <c r="H17" s="458">
        <f>SUM('DUoS (t-1)'!H17,'TUoS (t-1)'!H17,'JSO (t-1)'!H17)</f>
        <v>0</v>
      </c>
      <c r="I17" s="459">
        <f>SUM('DUoS (t-1)'!I17,'TUoS (t-1)'!I17,'JSO (t-1)'!I17)</f>
        <v>0</v>
      </c>
      <c r="J17" s="459">
        <f>SUM('DUoS (t-1)'!J17,'TUoS (t-1)'!J17,'JSO (t-1)'!J17)</f>
        <v>0</v>
      </c>
      <c r="K17" s="460">
        <f>SUM('DUoS (t-1)'!K17,'TUoS (t-1)'!K17,'JSO (t-1)'!K17)</f>
        <v>0</v>
      </c>
      <c r="L17" s="461">
        <f>SUM('DUoS (t-1)'!L17,'TUoS (t-1)'!L17,'JSO (t-1)'!L17)</f>
        <v>0</v>
      </c>
      <c r="M17" s="461">
        <f>SUM('DUoS (t-1)'!M17,'TUoS (t-1)'!M17,'JSO (t-1)'!M17)</f>
        <v>0</v>
      </c>
      <c r="N17" s="461">
        <f>SUM('DUoS (t-1)'!N17,'TUoS (t-1)'!N17,'JSO (t-1)'!N17)</f>
        <v>0</v>
      </c>
      <c r="O17" s="462">
        <f>SUM('DUoS (t-1)'!O17,'TUoS (t-1)'!O17,'JSO (t-1)'!O17)</f>
        <v>0</v>
      </c>
      <c r="P17" s="458">
        <f>SUM('DUoS (t-1)'!P17,'TUoS (t-1)'!P17,'JSO (t-1)'!P17)</f>
        <v>0</v>
      </c>
      <c r="Q17" s="459">
        <f>SUM('DUoS (t-1)'!Q17,'TUoS (t-1)'!Q17,'JSO (t-1)'!Q17)</f>
        <v>0</v>
      </c>
      <c r="R17" s="460">
        <f>SUM('DUoS (t-1)'!R17,'TUoS (t-1)'!R17,'JSO (t-1)'!R17)</f>
        <v>0</v>
      </c>
      <c r="S17" s="458">
        <f>SUM('DUoS (t-1)'!S17,'TUoS (t-1)'!S17,'JSO (t-1)'!S17)</f>
        <v>0</v>
      </c>
      <c r="T17" s="459">
        <f>SUM('DUoS (t-1)'!T17,'TUoS (t-1)'!T17,'JSO (t-1)'!T17)</f>
        <v>0</v>
      </c>
      <c r="U17" s="458">
        <f>SUM('DUoS (t-1)'!U17,'TUoS (t-1)'!U17,'JSO (t-1)'!U17)</f>
        <v>0</v>
      </c>
      <c r="V17" s="460">
        <f>SUM('DUoS (t-1)'!V17,'TUoS (t-1)'!V17,'JSO (t-1)'!V17)</f>
        <v>0</v>
      </c>
      <c r="X17" s="174"/>
      <c r="Y17" s="175"/>
      <c r="Z17" s="176"/>
      <c r="AA17" s="176"/>
      <c r="AB17" s="177"/>
      <c r="AC17" s="178"/>
      <c r="AD17" s="178"/>
      <c r="AE17" s="178"/>
      <c r="AF17" s="179"/>
      <c r="AG17" s="175"/>
      <c r="AH17" s="176"/>
      <c r="AI17" s="177"/>
      <c r="AJ17" s="175"/>
      <c r="AK17" s="176"/>
      <c r="AL17" s="175"/>
      <c r="AM17" s="177"/>
      <c r="AO17" s="174">
        <f t="shared" ref="AO17:AO80"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80" si="3">X17/$BE$7</f>
        <v>0</v>
      </c>
      <c r="BF17" s="245">
        <f t="shared" ref="BF17:BF51" si="4">SUM(Y17:AF17)</f>
        <v>0</v>
      </c>
      <c r="BH17" s="252">
        <f>SUBTOTAL(9,BH18:BH19)</f>
        <v>108049.20384</v>
      </c>
      <c r="BI17" s="252">
        <f>SUBTOTAL(9,BI18:BI19)</f>
        <v>330733.77999999997</v>
      </c>
      <c r="BJ17" s="252">
        <f>SUBTOTAL(9,BJ18:BJ19)</f>
        <v>24929.7</v>
      </c>
      <c r="BK17" s="260">
        <f>SUBTOTAL(9,BK18:BK19)</f>
        <v>0</v>
      </c>
      <c r="BL17" s="261">
        <f>SUBTOTAL(9,BL18:BL19)</f>
        <v>0</v>
      </c>
      <c r="BM17" s="257">
        <f t="shared" ref="BM17:BM79" si="5">SUM(BH17:BL17)</f>
        <v>463712.68384000001</v>
      </c>
      <c r="BO17" s="714" t="str">
        <f t="shared" ref="BO17:BO80" si="6">IF(BF17=0,"",BM17*1000/BF17)</f>
        <v/>
      </c>
    </row>
    <row r="18" spans="2:67" ht="15" customHeight="1" x14ac:dyDescent="0.25">
      <c r="B18" s="156">
        <v>1</v>
      </c>
      <c r="C18" s="180" t="s">
        <v>44</v>
      </c>
      <c r="D18" s="181" t="s">
        <v>44</v>
      </c>
      <c r="E18" s="182" t="s">
        <v>641</v>
      </c>
      <c r="G18" s="463">
        <f>SUM('DUoS (t-1)'!G18,'TUoS (t-1)'!G18,'JSO (t-1)'!G18)</f>
        <v>0.46579999999999999</v>
      </c>
      <c r="H18" s="464">
        <f>SUM('DUoS (t-1)'!H18,'TUoS (t-1)'!H18,'JSO (t-1)'!H18)</f>
        <v>0.13779999999999998</v>
      </c>
      <c r="I18" s="459">
        <f>SUM('DUoS (t-1)'!I18,'TUoS (t-1)'!I18,'JSO (t-1)'!I18)</f>
        <v>0</v>
      </c>
      <c r="J18" s="459">
        <f>SUM('DUoS (t-1)'!J18,'TUoS (t-1)'!J18,'JSO (t-1)'!J18)</f>
        <v>0</v>
      </c>
      <c r="K18" s="460">
        <f>SUM('DUoS (t-1)'!K18,'TUoS (t-1)'!K18,'JSO (t-1)'!K18)</f>
        <v>0</v>
      </c>
      <c r="L18" s="461">
        <f>SUM('DUoS (t-1)'!L18,'TUoS (t-1)'!L18,'JSO (t-1)'!L18)</f>
        <v>0</v>
      </c>
      <c r="M18" s="414">
        <f>SUM('DUoS (t-1)'!M18,'TUoS (t-1)'!M18,'JSO (t-1)'!M18)</f>
        <v>0</v>
      </c>
      <c r="N18" s="414">
        <f>SUM('DUoS (t-1)'!N18,'TUoS (t-1)'!N18,'JSO (t-1)'!N18)</f>
        <v>0</v>
      </c>
      <c r="O18" s="415">
        <f>SUM('DUoS (t-1)'!O18,'TUoS (t-1)'!O18,'JSO (t-1)'!O18)</f>
        <v>0</v>
      </c>
      <c r="P18" s="458">
        <f>SUM('DUoS (t-1)'!P18,'TUoS (t-1)'!P18,'JSO (t-1)'!P18)</f>
        <v>0</v>
      </c>
      <c r="Q18" s="459">
        <f>SUM('DUoS (t-1)'!Q18,'TUoS (t-1)'!Q18,'JSO (t-1)'!Q18)</f>
        <v>0</v>
      </c>
      <c r="R18" s="460">
        <f>SUM('DUoS (t-1)'!R18,'TUoS (t-1)'!R18,'JSO (t-1)'!R18)</f>
        <v>0</v>
      </c>
      <c r="S18" s="458">
        <f>SUM('DUoS (t-1)'!S18,'TUoS (t-1)'!S18,'JSO (t-1)'!S18)</f>
        <v>0</v>
      </c>
      <c r="T18" s="459">
        <f>SUM('DUoS (t-1)'!T18,'TUoS (t-1)'!T18,'JSO (t-1)'!T18)</f>
        <v>0</v>
      </c>
      <c r="U18" s="458">
        <f>SUM('DUoS (t-1)'!U18,'TUoS (t-1)'!U18,'JSO (t-1)'!U18)</f>
        <v>0</v>
      </c>
      <c r="V18" s="460">
        <f>SUM('DUoS (t-1)'!V18,'TUoS (t-1)'!V18,'JSO (t-1)'!V18)</f>
        <v>0</v>
      </c>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108049.20384</v>
      </c>
      <c r="AP18" s="184">
        <f t="shared" si="0"/>
        <v>330733.77999999997</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108049.20384</v>
      </c>
      <c r="BI18" s="255">
        <f>SUM(AP18:AS18)</f>
        <v>330733.77999999997</v>
      </c>
      <c r="BJ18" s="255">
        <f>SUM(AT18:AW18)</f>
        <v>0</v>
      </c>
      <c r="BK18" s="256">
        <f>SUM(AX18:BB18)</f>
        <v>0</v>
      </c>
      <c r="BL18" s="262">
        <f>SUM(BC18:BD18)</f>
        <v>0</v>
      </c>
      <c r="BM18" s="257">
        <f t="shared" si="5"/>
        <v>438782.98384</v>
      </c>
      <c r="BO18" s="714">
        <f t="shared" si="6"/>
        <v>182.81862582392398</v>
      </c>
    </row>
    <row r="19" spans="2:67" ht="15" customHeight="1" x14ac:dyDescent="0.25">
      <c r="B19" s="156">
        <f>B18+1</f>
        <v>2</v>
      </c>
      <c r="C19" s="180" t="s">
        <v>643</v>
      </c>
      <c r="D19" s="181" t="s">
        <v>643</v>
      </c>
      <c r="E19" s="182" t="s">
        <v>47</v>
      </c>
      <c r="G19" s="463">
        <f>SUM('DUoS (t-1)'!G19,'TUoS (t-1)'!G19,'JSO (t-1)'!G19)</f>
        <v>0.46579999999999999</v>
      </c>
      <c r="H19" s="464">
        <f>SUM('DUoS (t-1)'!H19,'TUoS (t-1)'!H19,'JSO (t-1)'!H19)</f>
        <v>0.13779999999999998</v>
      </c>
      <c r="I19" s="459">
        <f>SUM('DUoS (t-1)'!I19,'TUoS (t-1)'!I19,'JSO (t-1)'!I19)</f>
        <v>0</v>
      </c>
      <c r="J19" s="459">
        <f>SUM('DUoS (t-1)'!J19,'TUoS (t-1)'!J19,'JSO (t-1)'!J19)</f>
        <v>0</v>
      </c>
      <c r="K19" s="460">
        <f>SUM('DUoS (t-1)'!K19,'TUoS (t-1)'!K19,'JSO (t-1)'!K19)</f>
        <v>0</v>
      </c>
      <c r="L19" s="465">
        <f>SUM('DUoS (t-1)'!L19,'TUoS (t-1)'!L19,'JSO (t-1)'!L19)</f>
        <v>6.9000000000000006E-2</v>
      </c>
      <c r="M19" s="414">
        <f>SUM('DUoS (t-1)'!M19,'TUoS (t-1)'!M19,'JSO (t-1)'!M19)</f>
        <v>0</v>
      </c>
      <c r="N19" s="414">
        <f>SUM('DUoS (t-1)'!N19,'TUoS (t-1)'!N19,'JSO (t-1)'!N19)</f>
        <v>0</v>
      </c>
      <c r="O19" s="415">
        <f>SUM('DUoS (t-1)'!O19,'TUoS (t-1)'!O19,'JSO (t-1)'!O19)</f>
        <v>0</v>
      </c>
      <c r="P19" s="458">
        <f>SUM('DUoS (t-1)'!P19,'TUoS (t-1)'!P19,'JSO (t-1)'!P19)</f>
        <v>0</v>
      </c>
      <c r="Q19" s="459">
        <f>SUM('DUoS (t-1)'!Q19,'TUoS (t-1)'!Q19,'JSO (t-1)'!Q19)</f>
        <v>0</v>
      </c>
      <c r="R19" s="460">
        <f>SUM('DUoS (t-1)'!R19,'TUoS (t-1)'!R19,'JSO (t-1)'!R19)</f>
        <v>0</v>
      </c>
      <c r="S19" s="458">
        <f>SUM('DUoS (t-1)'!S19,'TUoS (t-1)'!S19,'JSO (t-1)'!S19)</f>
        <v>0</v>
      </c>
      <c r="T19" s="459">
        <f>SUM('DUoS (t-1)'!T19,'TUoS (t-1)'!T19,'JSO (t-1)'!T19)</f>
        <v>0</v>
      </c>
      <c r="U19" s="458">
        <f>SUM('DUoS (t-1)'!U19,'TUoS (t-1)'!U19,'JSO (t-1)'!U19)</f>
        <v>0</v>
      </c>
      <c r="V19" s="460">
        <f>SUM('DUoS (t-1)'!V19,'TUoS (t-1)'!V19,'JSO (t-1)'!V19)</f>
        <v>0</v>
      </c>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24929.7</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24929.7</v>
      </c>
      <c r="BK19" s="256">
        <f>SUM(AX19:BB19)</f>
        <v>0</v>
      </c>
      <c r="BL19" s="262">
        <f>SUM(BC19:BD19)</f>
        <v>0</v>
      </c>
      <c r="BM19" s="257">
        <f t="shared" si="5"/>
        <v>24929.7</v>
      </c>
      <c r="BO19" s="714">
        <f t="shared" si="6"/>
        <v>69</v>
      </c>
    </row>
    <row r="20" spans="2:67" ht="15" customHeight="1" x14ac:dyDescent="0.25">
      <c r="B20" s="172"/>
      <c r="C20" s="126" t="s">
        <v>48</v>
      </c>
      <c r="D20" s="173"/>
      <c r="E20" s="145"/>
      <c r="G20" s="457">
        <f>SUM('DUoS (t-1)'!G20,'TUoS (t-1)'!G20,'JSO (t-1)'!G20)</f>
        <v>0</v>
      </c>
      <c r="H20" s="458">
        <f>SUM('DUoS (t-1)'!H20,'TUoS (t-1)'!H20,'JSO (t-1)'!H20)</f>
        <v>0</v>
      </c>
      <c r="I20" s="459">
        <f>SUM('DUoS (t-1)'!I20,'TUoS (t-1)'!I20,'JSO (t-1)'!I20)</f>
        <v>0</v>
      </c>
      <c r="J20" s="459">
        <f>SUM('DUoS (t-1)'!J20,'TUoS (t-1)'!J20,'JSO (t-1)'!J20)</f>
        <v>0</v>
      </c>
      <c r="K20" s="460">
        <f>SUM('DUoS (t-1)'!K20,'TUoS (t-1)'!K20,'JSO (t-1)'!K20)</f>
        <v>0</v>
      </c>
      <c r="L20" s="459">
        <f>SUM('DUoS (t-1)'!L20,'TUoS (t-1)'!L20,'JSO (t-1)'!L20)</f>
        <v>0</v>
      </c>
      <c r="M20" s="459">
        <f>SUM('DUoS (t-1)'!M20,'TUoS (t-1)'!M20,'JSO (t-1)'!M20)</f>
        <v>0</v>
      </c>
      <c r="N20" s="459">
        <f>SUM('DUoS (t-1)'!N20,'TUoS (t-1)'!N20,'JSO (t-1)'!N20)</f>
        <v>0</v>
      </c>
      <c r="O20" s="460">
        <f>SUM('DUoS (t-1)'!O20,'TUoS (t-1)'!O20,'JSO (t-1)'!O20)</f>
        <v>0</v>
      </c>
      <c r="P20" s="458">
        <f>SUM('DUoS (t-1)'!P20,'TUoS (t-1)'!P20,'JSO (t-1)'!P20)</f>
        <v>0</v>
      </c>
      <c r="Q20" s="459">
        <f>SUM('DUoS (t-1)'!Q20,'TUoS (t-1)'!Q20,'JSO (t-1)'!Q20)</f>
        <v>0</v>
      </c>
      <c r="R20" s="460">
        <f>SUM('DUoS (t-1)'!R20,'TUoS (t-1)'!R20,'JSO (t-1)'!R20)</f>
        <v>0</v>
      </c>
      <c r="S20" s="458">
        <f>SUM('DUoS (t-1)'!S20,'TUoS (t-1)'!S20,'JSO (t-1)'!S20)</f>
        <v>0</v>
      </c>
      <c r="T20" s="459">
        <f>SUM('DUoS (t-1)'!T20,'TUoS (t-1)'!T20,'JSO (t-1)'!T20)</f>
        <v>0</v>
      </c>
      <c r="U20" s="458">
        <f>SUM('DUoS (t-1)'!U20,'TUoS (t-1)'!U20,'JSO (t-1)'!U20)</f>
        <v>0</v>
      </c>
      <c r="V20" s="460">
        <f>SUM('DUoS (t-1)'!V20,'TUoS (t-1)'!V20,'JSO (t-1)'!V20)</f>
        <v>0</v>
      </c>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28901.689880000002</v>
      </c>
      <c r="BI20" s="252">
        <f>SUBTOTAL(9,BI21:BI27)</f>
        <v>110572.31224</v>
      </c>
      <c r="BJ20" s="252">
        <f>SUBTOTAL(9,BJ21:BJ27)</f>
        <v>7186.35</v>
      </c>
      <c r="BK20" s="252">
        <f>SUBTOTAL(9,BK21:BK27)</f>
        <v>0</v>
      </c>
      <c r="BL20" s="252">
        <f>SUBTOTAL(9,BL21:BL27)</f>
        <v>341.98320949999999</v>
      </c>
      <c r="BM20" s="257">
        <f t="shared" si="5"/>
        <v>147002.3353295</v>
      </c>
      <c r="BO20" s="714" t="str">
        <f t="shared" si="6"/>
        <v/>
      </c>
    </row>
    <row r="21" spans="2:67" ht="15" customHeight="1" x14ac:dyDescent="0.25">
      <c r="B21" s="156">
        <f>B19+1</f>
        <v>3</v>
      </c>
      <c r="C21" s="180" t="s">
        <v>46</v>
      </c>
      <c r="D21" s="181" t="s">
        <v>46</v>
      </c>
      <c r="E21" s="182" t="s">
        <v>642</v>
      </c>
      <c r="G21" s="463">
        <f>SUM('DUoS (t-1)'!G21,'TUoS (t-1)'!G21,'JSO (t-1)'!G21)</f>
        <v>0.46579999999999999</v>
      </c>
      <c r="H21" s="758">
        <f>SUM('DUoS (t-1)'!H21,'TUoS (t-1)'!H21,'JSO (t-1)'!H21)</f>
        <v>0.13779999999999998</v>
      </c>
      <c r="I21" s="459">
        <f>SUM('DUoS (t-1)'!I21,'TUoS (t-1)'!I21,'JSO (t-1)'!I21)</f>
        <v>0</v>
      </c>
      <c r="J21" s="459">
        <f>SUM('DUoS (t-1)'!J21,'TUoS (t-1)'!J21,'JSO (t-1)'!J21)</f>
        <v>0</v>
      </c>
      <c r="K21" s="460">
        <f>SUM('DUoS (t-1)'!K21,'TUoS (t-1)'!K21,'JSO (t-1)'!K21)</f>
        <v>0</v>
      </c>
      <c r="L21" s="414">
        <f>SUM('DUoS (t-1)'!L21,'TUoS (t-1)'!L21,'JSO (t-1)'!L21)</f>
        <v>0</v>
      </c>
      <c r="M21" s="759">
        <f>SUM('DUoS (t-1)'!M21,'TUoS (t-1)'!M21,'JSO (t-1)'!M21)</f>
        <v>0.17230000000000001</v>
      </c>
      <c r="N21" s="759">
        <f>SUM('DUoS (t-1)'!N21,'TUoS (t-1)'!N21,'JSO (t-1)'!N21)</f>
        <v>6.9000000000000006E-2</v>
      </c>
      <c r="O21" s="760">
        <f>SUM('DUoS (t-1)'!O21,'TUoS (t-1)'!O21,'JSO (t-1)'!O21)</f>
        <v>3.4500000000000003E-2</v>
      </c>
      <c r="P21" s="458">
        <f>SUM('DUoS (t-1)'!P21,'TUoS (t-1)'!P21,'JSO (t-1)'!P21)</f>
        <v>0</v>
      </c>
      <c r="Q21" s="459">
        <f>SUM('DUoS (t-1)'!Q21,'TUoS (t-1)'!Q21,'JSO (t-1)'!Q21)</f>
        <v>0</v>
      </c>
      <c r="R21" s="460">
        <f>SUM('DUoS (t-1)'!R21,'TUoS (t-1)'!R21,'JSO (t-1)'!R21)</f>
        <v>0</v>
      </c>
      <c r="S21" s="458">
        <f>SUM('DUoS (t-1)'!S21,'TUoS (t-1)'!S21,'JSO (t-1)'!S21)</f>
        <v>0</v>
      </c>
      <c r="T21" s="459">
        <f>SUM('DUoS (t-1)'!T21,'TUoS (t-1)'!T21,'JSO (t-1)'!T21)</f>
        <v>0</v>
      </c>
      <c r="U21" s="458">
        <f>SUM('DUoS (t-1)'!U21,'TUoS (t-1)'!U21,'JSO (t-1)'!U21)</f>
        <v>0</v>
      </c>
      <c r="V21" s="460">
        <f>SUM('DUoS (t-1)'!V21,'TUoS (t-1)'!V21,'JSO (t-1)'!V21)</f>
        <v>0</v>
      </c>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 t="shared" si="2"/>
        <v>0</v>
      </c>
      <c r="AP21" s="175">
        <f t="shared" si="0"/>
        <v>0</v>
      </c>
      <c r="AQ21" s="178">
        <f t="shared" si="0"/>
        <v>0</v>
      </c>
      <c r="AR21" s="178">
        <f t="shared" si="0"/>
        <v>0</v>
      </c>
      <c r="AS21" s="179">
        <f t="shared" si="0"/>
        <v>0</v>
      </c>
      <c r="AT21" s="185">
        <f t="shared" si="0"/>
        <v>0</v>
      </c>
      <c r="AU21" s="185">
        <f t="shared" si="0"/>
        <v>0</v>
      </c>
      <c r="AV21" s="185">
        <f t="shared" si="0"/>
        <v>0</v>
      </c>
      <c r="AW21" s="186">
        <f t="shared" si="0"/>
        <v>0</v>
      </c>
      <c r="AX21" s="175">
        <f t="shared" si="1"/>
        <v>0</v>
      </c>
      <c r="AY21" s="176">
        <f t="shared" si="1"/>
        <v>0</v>
      </c>
      <c r="AZ21" s="177">
        <f t="shared" si="1"/>
        <v>0</v>
      </c>
      <c r="BA21" s="175">
        <f t="shared" si="1"/>
        <v>0</v>
      </c>
      <c r="BB21" s="176">
        <f t="shared" si="1"/>
        <v>0</v>
      </c>
      <c r="BC21" s="175">
        <f t="shared" si="1"/>
        <v>0</v>
      </c>
      <c r="BD21" s="176">
        <f t="shared" si="1"/>
        <v>0</v>
      </c>
      <c r="BE21" s="244">
        <f t="shared" si="3"/>
        <v>0</v>
      </c>
      <c r="BF21" s="245">
        <f t="shared" si="4"/>
        <v>0</v>
      </c>
      <c r="BH21" s="255">
        <f t="shared" ref="BH21:BH27" si="7">SUM(AO21)</f>
        <v>0</v>
      </c>
      <c r="BI21" s="255">
        <f t="shared" ref="BI21:BI27" si="8">SUM(AP21:AS21)</f>
        <v>0</v>
      </c>
      <c r="BJ21" s="255">
        <f t="shared" ref="BJ21:BJ27" si="9">SUM(AT21:AW21)</f>
        <v>0</v>
      </c>
      <c r="BK21" s="256">
        <f t="shared" ref="BK21:BK27" si="10">SUM(AX21:BB21)</f>
        <v>0</v>
      </c>
      <c r="BL21" s="262">
        <f t="shared" ref="BL21:BL27" si="11">SUM(BC21:BD21)</f>
        <v>0</v>
      </c>
      <c r="BM21" s="257">
        <f>SUM(BH21:BL21)</f>
        <v>0</v>
      </c>
      <c r="BO21" s="714" t="str">
        <f t="shared" si="6"/>
        <v/>
      </c>
    </row>
    <row r="22" spans="2:67" ht="15" customHeight="1" x14ac:dyDescent="0.25">
      <c r="B22" s="156">
        <f>B21+1</f>
        <v>4</v>
      </c>
      <c r="C22" s="180" t="s">
        <v>49</v>
      </c>
      <c r="D22" s="181" t="s">
        <v>49</v>
      </c>
      <c r="E22" s="182" t="s">
        <v>50</v>
      </c>
      <c r="G22" s="463">
        <f>SUM('DUoS (t-1)'!G22,'TUoS (t-1)'!G22,'JSO (t-1)'!G22)</f>
        <v>0.46579999999999999</v>
      </c>
      <c r="H22" s="458">
        <f>SUM('DUoS (t-1)'!H22,'TUoS (t-1)'!H22,'JSO (t-1)'!H22)</f>
        <v>0</v>
      </c>
      <c r="I22" s="465">
        <f>SUM('DUoS (t-1)'!I22,'TUoS (t-1)'!I22,'JSO (t-1)'!I22)</f>
        <v>0.17230000000000001</v>
      </c>
      <c r="J22" s="465">
        <f>SUM('DUoS (t-1)'!J22,'TUoS (t-1)'!J22,'JSO (t-1)'!J22)</f>
        <v>6.9000000000000006E-2</v>
      </c>
      <c r="K22" s="466">
        <f>SUM('DUoS (t-1)'!K22,'TUoS (t-1)'!K22,'JSO (t-1)'!K22)</f>
        <v>3.4500000000000003E-2</v>
      </c>
      <c r="L22" s="414">
        <f>SUM('DUoS (t-1)'!L22,'TUoS (t-1)'!L22,'JSO (t-1)'!L22)</f>
        <v>0</v>
      </c>
      <c r="M22" s="414">
        <f>SUM('DUoS (t-1)'!M22,'TUoS (t-1)'!M22,'JSO (t-1)'!M22)</f>
        <v>0</v>
      </c>
      <c r="N22" s="414">
        <f>SUM('DUoS (t-1)'!N22,'TUoS (t-1)'!N22,'JSO (t-1)'!N22)</f>
        <v>0</v>
      </c>
      <c r="O22" s="415">
        <f>SUM('DUoS (t-1)'!O22,'TUoS (t-1)'!O22,'JSO (t-1)'!O22)</f>
        <v>0</v>
      </c>
      <c r="P22" s="458">
        <f>SUM('DUoS (t-1)'!P22,'TUoS (t-1)'!P22,'JSO (t-1)'!P22)</f>
        <v>0</v>
      </c>
      <c r="Q22" s="459">
        <f>SUM('DUoS (t-1)'!Q22,'TUoS (t-1)'!Q22,'JSO (t-1)'!Q22)</f>
        <v>0</v>
      </c>
      <c r="R22" s="460">
        <f>SUM('DUoS (t-1)'!R22,'TUoS (t-1)'!R22,'JSO (t-1)'!R22)</f>
        <v>0</v>
      </c>
      <c r="S22" s="458">
        <f>SUM('DUoS (t-1)'!S22,'TUoS (t-1)'!S22,'JSO (t-1)'!S22)</f>
        <v>0</v>
      </c>
      <c r="T22" s="459">
        <f>SUM('DUoS (t-1)'!T22,'TUoS (t-1)'!T22,'JSO (t-1)'!T22)</f>
        <v>0</v>
      </c>
      <c r="U22" s="458">
        <f>SUM('DUoS (t-1)'!U22,'TUoS (t-1)'!U22,'JSO (t-1)'!U22)</f>
        <v>0</v>
      </c>
      <c r="V22" s="460">
        <f>SUM('DUoS (t-1)'!V22,'TUoS (t-1)'!V22,'JSO (t-1)'!V22)</f>
        <v>0</v>
      </c>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28545.004215000001</v>
      </c>
      <c r="AP22" s="175">
        <f t="shared" si="0"/>
        <v>0</v>
      </c>
      <c r="AQ22" s="178">
        <f t="shared" si="0"/>
        <v>98142.080000000002</v>
      </c>
      <c r="AR22" s="178">
        <f t="shared" si="0"/>
        <v>7859.1</v>
      </c>
      <c r="AS22" s="179">
        <f t="shared" si="0"/>
        <v>4371.1500000000005</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7"/>
        <v>28545.004215000001</v>
      </c>
      <c r="BI22" s="255">
        <f t="shared" si="8"/>
        <v>110372.33</v>
      </c>
      <c r="BJ22" s="255">
        <f t="shared" si="9"/>
        <v>0</v>
      </c>
      <c r="BK22" s="256">
        <f t="shared" si="10"/>
        <v>0</v>
      </c>
      <c r="BL22" s="262">
        <f t="shared" si="11"/>
        <v>0</v>
      </c>
      <c r="BM22" s="257">
        <f t="shared" si="5"/>
        <v>138917.33421500001</v>
      </c>
      <c r="BO22" s="714">
        <f t="shared" si="6"/>
        <v>171.46054580967663</v>
      </c>
    </row>
    <row r="23" spans="2:67" ht="15" customHeight="1" x14ac:dyDescent="0.25">
      <c r="B23" s="156">
        <f>B22+1</f>
        <v>5</v>
      </c>
      <c r="C23" s="180" t="s">
        <v>51</v>
      </c>
      <c r="D23" s="181" t="s">
        <v>51</v>
      </c>
      <c r="E23" s="182" t="s">
        <v>52</v>
      </c>
      <c r="G23" s="463">
        <f>SUM('DUoS (t-1)'!G23,'TUoS (t-1)'!G23,'JSO (t-1)'!G23)</f>
        <v>0.46579999999999999</v>
      </c>
      <c r="H23" s="458">
        <f>SUM('DUoS (t-1)'!H23,'TUoS (t-1)'!H23,'JSO (t-1)'!H23)</f>
        <v>0</v>
      </c>
      <c r="I23" s="465">
        <f>SUM('DUoS (t-1)'!I23,'TUoS (t-1)'!I23,'JSO (t-1)'!I23)</f>
        <v>0.17230000000000001</v>
      </c>
      <c r="J23" s="465">
        <f>SUM('DUoS (t-1)'!J23,'TUoS (t-1)'!J23,'JSO (t-1)'!J23)</f>
        <v>6.9000000000000006E-2</v>
      </c>
      <c r="K23" s="466">
        <f>SUM('DUoS (t-1)'!K23,'TUoS (t-1)'!K23,'JSO (t-1)'!K23)</f>
        <v>3.4500000000000003E-2</v>
      </c>
      <c r="L23" s="414">
        <f>SUM('DUoS (t-1)'!L23,'TUoS (t-1)'!L23,'JSO (t-1)'!L23)</f>
        <v>0</v>
      </c>
      <c r="M23" s="465">
        <f>SUM('DUoS (t-1)'!M23,'TUoS (t-1)'!M23,'JSO (t-1)'!M23)</f>
        <v>0.17230000000000001</v>
      </c>
      <c r="N23" s="465">
        <f>SUM('DUoS (t-1)'!N23,'TUoS (t-1)'!N23,'JSO (t-1)'!N23)</f>
        <v>6.9000000000000006E-2</v>
      </c>
      <c r="O23" s="465">
        <f>SUM('DUoS (t-1)'!O23,'TUoS (t-1)'!O23,'JSO (t-1)'!O23)</f>
        <v>3.4500000000000003E-2</v>
      </c>
      <c r="P23" s="458">
        <f>SUM('DUoS (t-1)'!P23,'TUoS (t-1)'!P23,'JSO (t-1)'!P23)</f>
        <v>0</v>
      </c>
      <c r="Q23" s="459">
        <f>SUM('DUoS (t-1)'!Q23,'TUoS (t-1)'!Q23,'JSO (t-1)'!Q23)</f>
        <v>0</v>
      </c>
      <c r="R23" s="460">
        <f>SUM('DUoS (t-1)'!R23,'TUoS (t-1)'!R23,'JSO (t-1)'!R23)</f>
        <v>0</v>
      </c>
      <c r="S23" s="458">
        <f>SUM('DUoS (t-1)'!S23,'TUoS (t-1)'!S23,'JSO (t-1)'!S23)</f>
        <v>0</v>
      </c>
      <c r="T23" s="459">
        <f>SUM('DUoS (t-1)'!T23,'TUoS (t-1)'!T23,'JSO (t-1)'!T23)</f>
        <v>0</v>
      </c>
      <c r="U23" s="458">
        <f>SUM('DUoS (t-1)'!U23,'TUoS (t-1)'!U23,'JSO (t-1)'!U23)</f>
        <v>0</v>
      </c>
      <c r="V23" s="460">
        <f>SUM('DUoS (t-1)'!V23,'TUoS (t-1)'!V23,'JSO (t-1)'!V23)</f>
        <v>0</v>
      </c>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6389.4000000000005</v>
      </c>
      <c r="AW23" s="178">
        <f t="shared" si="0"/>
        <v>796.95</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7"/>
        <v>0</v>
      </c>
      <c r="BI23" s="255">
        <f t="shared" si="8"/>
        <v>0</v>
      </c>
      <c r="BJ23" s="255">
        <f t="shared" si="9"/>
        <v>7186.35</v>
      </c>
      <c r="BK23" s="256">
        <f t="shared" si="10"/>
        <v>0</v>
      </c>
      <c r="BL23" s="262">
        <f t="shared" si="11"/>
        <v>0</v>
      </c>
      <c r="BM23" s="257">
        <f t="shared" si="5"/>
        <v>7186.35</v>
      </c>
      <c r="BO23" s="714">
        <f t="shared" si="6"/>
        <v>62.111927398444251</v>
      </c>
    </row>
    <row r="24" spans="2:67" ht="15" customHeight="1" x14ac:dyDescent="0.25">
      <c r="B24" s="156">
        <f>B23+1</f>
        <v>6</v>
      </c>
      <c r="C24" s="180" t="s">
        <v>53</v>
      </c>
      <c r="D24" s="181" t="s">
        <v>53</v>
      </c>
      <c r="E24" s="182" t="s">
        <v>54</v>
      </c>
      <c r="G24" s="463">
        <f>SUM('DUoS (t-1)'!G24,'TUoS (t-1)'!G24,'JSO (t-1)'!G24)</f>
        <v>0.46579999999999999</v>
      </c>
      <c r="H24" s="458">
        <f>SUM('DUoS (t-1)'!H24,'TUoS (t-1)'!H24,'JSO (t-1)'!H24)</f>
        <v>0</v>
      </c>
      <c r="I24" s="465">
        <f>SUM('DUoS (t-1)'!I24,'TUoS (t-1)'!I24,'JSO (t-1)'!I24)</f>
        <v>0.10329999999999999</v>
      </c>
      <c r="J24" s="465">
        <f>SUM('DUoS (t-1)'!J24,'TUoS (t-1)'!J24,'JSO (t-1)'!J24)</f>
        <v>4.1400000000000006E-2</v>
      </c>
      <c r="K24" s="466">
        <f>SUM('DUoS (t-1)'!K24,'TUoS (t-1)'!K24,'JSO (t-1)'!K24)</f>
        <v>2.06E-2</v>
      </c>
      <c r="L24" s="414">
        <f>SUM('DUoS (t-1)'!L24,'TUoS (t-1)'!L24,'JSO (t-1)'!L24)</f>
        <v>0</v>
      </c>
      <c r="M24" s="414">
        <f>SUM('DUoS (t-1)'!M24,'TUoS (t-1)'!M24,'JSO (t-1)'!M24)</f>
        <v>0</v>
      </c>
      <c r="N24" s="414">
        <f>SUM('DUoS (t-1)'!N24,'TUoS (t-1)'!N24,'JSO (t-1)'!N24)</f>
        <v>0</v>
      </c>
      <c r="O24" s="415">
        <f>SUM('DUoS (t-1)'!O24,'TUoS (t-1)'!O24,'JSO (t-1)'!O24)</f>
        <v>0</v>
      </c>
      <c r="P24" s="458">
        <f>SUM('DUoS (t-1)'!P24,'TUoS (t-1)'!P24,'JSO (t-1)'!P24)</f>
        <v>0</v>
      </c>
      <c r="Q24" s="459">
        <f>SUM('DUoS (t-1)'!Q24,'TUoS (t-1)'!Q24,'JSO (t-1)'!Q24)</f>
        <v>0</v>
      </c>
      <c r="R24" s="460">
        <f>SUM('DUoS (t-1)'!R24,'TUoS (t-1)'!R24,'JSO (t-1)'!R24)</f>
        <v>0</v>
      </c>
      <c r="S24" s="458">
        <f>SUM('DUoS (t-1)'!S24,'TUoS (t-1)'!S24,'JSO (t-1)'!S24)</f>
        <v>0</v>
      </c>
      <c r="T24" s="459">
        <f>SUM('DUoS (t-1)'!T24,'TUoS (t-1)'!T24,'JSO (t-1)'!T24)</f>
        <v>0</v>
      </c>
      <c r="U24" s="464">
        <f>SUM('DUoS (t-1)'!U24,'TUoS (t-1)'!U24,'JSO (t-1)'!U24)</f>
        <v>0.7661</v>
      </c>
      <c r="V24" s="460">
        <f>SUM('DUoS (t-1)'!V24,'TUoS (t-1)'!V24,'JSO (t-1)'!V24)</f>
        <v>0</v>
      </c>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173.24732299999999</v>
      </c>
      <c r="AP24" s="175">
        <f t="shared" si="0"/>
        <v>0</v>
      </c>
      <c r="AQ24" s="178">
        <f t="shared" si="0"/>
        <v>46.484999999999992</v>
      </c>
      <c r="AR24" s="178">
        <f t="shared" si="0"/>
        <v>18.630000000000003</v>
      </c>
      <c r="AS24" s="179">
        <f t="shared" si="0"/>
        <v>5.15</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341.98320949999999</v>
      </c>
      <c r="BD24" s="176">
        <f t="shared" si="1"/>
        <v>0</v>
      </c>
      <c r="BE24" s="244">
        <f t="shared" si="3"/>
        <v>1019</v>
      </c>
      <c r="BF24" s="245">
        <f t="shared" si="4"/>
        <v>1150</v>
      </c>
      <c r="BH24" s="255">
        <f t="shared" si="7"/>
        <v>173.24732299999999</v>
      </c>
      <c r="BI24" s="255">
        <f t="shared" si="8"/>
        <v>70.265000000000001</v>
      </c>
      <c r="BJ24" s="255">
        <f t="shared" si="9"/>
        <v>0</v>
      </c>
      <c r="BK24" s="256">
        <f t="shared" si="10"/>
        <v>0</v>
      </c>
      <c r="BL24" s="262">
        <f t="shared" si="11"/>
        <v>341.98320949999999</v>
      </c>
      <c r="BM24" s="257">
        <f t="shared" si="5"/>
        <v>585.49553249999997</v>
      </c>
      <c r="BO24" s="714"/>
    </row>
    <row r="25" spans="2:67" ht="15" customHeight="1" x14ac:dyDescent="0.25">
      <c r="B25" s="156">
        <f>B24+1</f>
        <v>7</v>
      </c>
      <c r="C25" s="180" t="s">
        <v>55</v>
      </c>
      <c r="D25" s="181" t="s">
        <v>55</v>
      </c>
      <c r="E25" s="182" t="s">
        <v>56</v>
      </c>
      <c r="G25" s="463">
        <f>SUM('DUoS (t-1)'!G25,'TUoS (t-1)'!G25,'JSO (t-1)'!G25)</f>
        <v>0.46579999999999999</v>
      </c>
      <c r="H25" s="458">
        <f>SUM('DUoS (t-1)'!H25,'TUoS (t-1)'!H25,'JSO (t-1)'!H25)</f>
        <v>0</v>
      </c>
      <c r="I25" s="465">
        <f>SUM('DUoS (t-1)'!I25,'TUoS (t-1)'!I25,'JSO (t-1)'!I25)</f>
        <v>0.10329999999999999</v>
      </c>
      <c r="J25" s="465">
        <f>SUM('DUoS (t-1)'!J25,'TUoS (t-1)'!J25,'JSO (t-1)'!J25)</f>
        <v>4.1400000000000006E-2</v>
      </c>
      <c r="K25" s="466">
        <f>SUM('DUoS (t-1)'!K25,'TUoS (t-1)'!K25,'JSO (t-1)'!K25)</f>
        <v>2.06E-2</v>
      </c>
      <c r="L25" s="414">
        <f>SUM('DUoS (t-1)'!L25,'TUoS (t-1)'!L25,'JSO (t-1)'!L25)</f>
        <v>0</v>
      </c>
      <c r="M25" s="465">
        <f>SUM('DUoS (t-1)'!M25,'TUoS (t-1)'!M25,'JSO (t-1)'!M25)</f>
        <v>0.17230000000000001</v>
      </c>
      <c r="N25" s="465">
        <f>SUM('DUoS (t-1)'!N25,'TUoS (t-1)'!N25,'JSO (t-1)'!N25)</f>
        <v>6.9000000000000006E-2</v>
      </c>
      <c r="O25" s="465">
        <f>SUM('DUoS (t-1)'!O25,'TUoS (t-1)'!O25,'JSO (t-1)'!O25)</f>
        <v>3.4500000000000003E-2</v>
      </c>
      <c r="P25" s="458">
        <f>SUM('DUoS (t-1)'!P25,'TUoS (t-1)'!P25,'JSO (t-1)'!P25)</f>
        <v>0</v>
      </c>
      <c r="Q25" s="459">
        <f>SUM('DUoS (t-1)'!Q25,'TUoS (t-1)'!Q25,'JSO (t-1)'!Q25)</f>
        <v>0</v>
      </c>
      <c r="R25" s="460">
        <f>SUM('DUoS (t-1)'!R25,'TUoS (t-1)'!R25,'JSO (t-1)'!R25)</f>
        <v>0</v>
      </c>
      <c r="S25" s="458">
        <f>SUM('DUoS (t-1)'!S25,'TUoS (t-1)'!S25,'JSO (t-1)'!S25)</f>
        <v>0</v>
      </c>
      <c r="T25" s="459">
        <f>SUM('DUoS (t-1)'!T25,'TUoS (t-1)'!T25,'JSO (t-1)'!T25)</f>
        <v>0</v>
      </c>
      <c r="U25" s="464">
        <f>SUM('DUoS (t-1)'!U25,'TUoS (t-1)'!U25,'JSO (t-1)'!U25)</f>
        <v>0.7661</v>
      </c>
      <c r="V25" s="460">
        <f>SUM('DUoS (t-1)'!V25,'TUoS (t-1)'!V25,'JSO (t-1)'!V25)</f>
        <v>0</v>
      </c>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7"/>
        <v>0</v>
      </c>
      <c r="BI25" s="255">
        <f t="shared" si="8"/>
        <v>0</v>
      </c>
      <c r="BJ25" s="255">
        <f t="shared" si="9"/>
        <v>0</v>
      </c>
      <c r="BK25" s="256">
        <f t="shared" si="10"/>
        <v>0</v>
      </c>
      <c r="BL25" s="262">
        <f t="shared" si="11"/>
        <v>0</v>
      </c>
      <c r="BM25" s="257">
        <f t="shared" si="5"/>
        <v>0</v>
      </c>
      <c r="BO25" s="714"/>
    </row>
    <row r="26" spans="2:67" ht="15" customHeight="1" x14ac:dyDescent="0.25">
      <c r="B26" s="156">
        <v>8</v>
      </c>
      <c r="C26" s="180" t="s">
        <v>699</v>
      </c>
      <c r="D26" s="181" t="s">
        <v>699</v>
      </c>
      <c r="E26" s="182" t="s">
        <v>701</v>
      </c>
      <c r="G26" s="463">
        <f>SUM('DUoS (t-1)'!G26,'TUoS (t-1)'!G26,'JSO (t-1)'!G26)</f>
        <v>0.49319999999999997</v>
      </c>
      <c r="H26" s="458">
        <f>SUM('DUoS (t-1)'!H26,'TUoS (t-1)'!H26,'JSO (t-1)'!H26)</f>
        <v>0</v>
      </c>
      <c r="I26" s="465">
        <f>SUM('DUoS (t-1)'!I26,'TUoS (t-1)'!I26,'JSO (t-1)'!I26)</f>
        <v>0.3382</v>
      </c>
      <c r="J26" s="465">
        <f>SUM('DUoS (t-1)'!J26,'TUoS (t-1)'!J26,'JSO (t-1)'!J26)</f>
        <v>9.5799999999999996E-2</v>
      </c>
      <c r="K26" s="466">
        <f>SUM('DUoS (t-1)'!K26,'TUoS (t-1)'!K26,'JSO (t-1)'!K26)</f>
        <v>2.46E-2</v>
      </c>
      <c r="L26" s="414">
        <f>SUM('DUoS (t-1)'!L26,'TUoS (t-1)'!L26,'JSO (t-1)'!L26)</f>
        <v>0</v>
      </c>
      <c r="M26" s="414">
        <f>SUM('DUoS (t-1)'!M26,'TUoS (t-1)'!M26,'JSO (t-1)'!M26)</f>
        <v>0</v>
      </c>
      <c r="N26" s="414">
        <f>SUM('DUoS (t-1)'!N26,'TUoS (t-1)'!N26,'JSO (t-1)'!N26)</f>
        <v>0</v>
      </c>
      <c r="O26" s="415">
        <f>SUM('DUoS (t-1)'!O26,'TUoS (t-1)'!O26,'JSO (t-1)'!O26)</f>
        <v>0</v>
      </c>
      <c r="P26" s="458">
        <f>SUM('DUoS (t-1)'!P26,'TUoS (t-1)'!P26,'JSO (t-1)'!P26)</f>
        <v>0</v>
      </c>
      <c r="Q26" s="459">
        <f>SUM('DUoS (t-1)'!Q26,'TUoS (t-1)'!Q26,'JSO (t-1)'!Q26)</f>
        <v>0</v>
      </c>
      <c r="R26" s="460">
        <f>SUM('DUoS (t-1)'!R26,'TUoS (t-1)'!R26,'JSO (t-1)'!R26)</f>
        <v>0</v>
      </c>
      <c r="S26" s="458">
        <f>SUM('DUoS (t-1)'!S26,'TUoS (t-1)'!S26,'JSO (t-1)'!S26)</f>
        <v>0</v>
      </c>
      <c r="T26" s="459">
        <f>SUM('DUoS (t-1)'!T26,'TUoS (t-1)'!T26,'JSO (t-1)'!T26)</f>
        <v>0</v>
      </c>
      <c r="U26" s="458">
        <f>SUM('DUoS (t-1)'!U26,'TUoS (t-1)'!U26,'JSO (t-1)'!U26)</f>
        <v>0</v>
      </c>
      <c r="V26" s="460">
        <f>SUM('DUoS (t-1)'!V26,'TUoS (t-1)'!V26,'JSO (t-1)'!V26)</f>
        <v>0</v>
      </c>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 t="shared" si="2"/>
        <v>183.43834199999998</v>
      </c>
      <c r="AP26" s="175">
        <f t="shared" si="0"/>
        <v>0</v>
      </c>
      <c r="AQ26" s="178">
        <f t="shared" si="0"/>
        <v>45.893739999999994</v>
      </c>
      <c r="AR26" s="178">
        <f t="shared" si="0"/>
        <v>79.212230000000005</v>
      </c>
      <c r="AS26" s="179">
        <f t="shared" si="0"/>
        <v>4.6112700000000002</v>
      </c>
      <c r="AT26" s="185">
        <f t="shared" si="0"/>
        <v>0</v>
      </c>
      <c r="AU26" s="185">
        <f t="shared" si="0"/>
        <v>0</v>
      </c>
      <c r="AV26" s="185">
        <f t="shared" si="0"/>
        <v>0</v>
      </c>
      <c r="AW26" s="186">
        <f t="shared" si="0"/>
        <v>0</v>
      </c>
      <c r="AX26" s="175">
        <f t="shared" si="1"/>
        <v>0</v>
      </c>
      <c r="AY26" s="176">
        <f t="shared" si="1"/>
        <v>0</v>
      </c>
      <c r="AZ26" s="177">
        <f t="shared" si="1"/>
        <v>0</v>
      </c>
      <c r="BA26" s="175">
        <f t="shared" si="1"/>
        <v>0</v>
      </c>
      <c r="BB26" s="176">
        <f t="shared" si="1"/>
        <v>0</v>
      </c>
      <c r="BC26" s="184">
        <f t="shared" si="1"/>
        <v>0</v>
      </c>
      <c r="BD26" s="176">
        <f t="shared" si="1"/>
        <v>0</v>
      </c>
      <c r="BE26" s="244">
        <f t="shared" si="3"/>
        <v>1019</v>
      </c>
      <c r="BF26" s="245">
        <f t="shared" si="4"/>
        <v>1150</v>
      </c>
      <c r="BH26" s="255">
        <f t="shared" si="7"/>
        <v>183.43834199999998</v>
      </c>
      <c r="BI26" s="255">
        <f t="shared" si="8"/>
        <v>129.71724</v>
      </c>
      <c r="BJ26" s="255">
        <f t="shared" si="9"/>
        <v>0</v>
      </c>
      <c r="BK26" s="256">
        <f t="shared" si="10"/>
        <v>0</v>
      </c>
      <c r="BL26" s="262">
        <f t="shared" si="11"/>
        <v>0</v>
      </c>
      <c r="BM26" s="257">
        <f>SUM(BH26:BL26)</f>
        <v>313.15558199999998</v>
      </c>
      <c r="BO26" s="714"/>
    </row>
    <row r="27" spans="2:67" ht="15" customHeight="1" x14ac:dyDescent="0.25">
      <c r="B27" s="162">
        <v>9</v>
      </c>
      <c r="C27" s="187" t="s">
        <v>700</v>
      </c>
      <c r="D27" s="188" t="s">
        <v>700</v>
      </c>
      <c r="E27" s="189" t="s">
        <v>702</v>
      </c>
      <c r="G27" s="467">
        <f>SUM('DUoS (t-1)'!G27,'TUoS (t-1)'!G27,'JSO (t-1)'!G27)</f>
        <v>0.49319999999999997</v>
      </c>
      <c r="H27" s="468">
        <f>SUM('DUoS (t-1)'!H27,'TUoS (t-1)'!H27,'JSO (t-1)'!H27)</f>
        <v>0</v>
      </c>
      <c r="I27" s="469">
        <f>SUM('DUoS (t-1)'!I27,'TUoS (t-1)'!I27,'JSO (t-1)'!I27)</f>
        <v>0.3382</v>
      </c>
      <c r="J27" s="469">
        <f>SUM('DUoS (t-1)'!J27,'TUoS (t-1)'!J27,'JSO (t-1)'!J27)</f>
        <v>9.5799999999999996E-2</v>
      </c>
      <c r="K27" s="470">
        <f>SUM('DUoS (t-1)'!K27,'TUoS (t-1)'!K27,'JSO (t-1)'!K27)</f>
        <v>2.46E-2</v>
      </c>
      <c r="L27" s="416">
        <f>SUM('DUoS (t-1)'!L27,'TUoS (t-1)'!L27,'JSO (t-1)'!L27)</f>
        <v>0</v>
      </c>
      <c r="M27" s="469">
        <f>SUM('DUoS (t-1)'!M27,'TUoS (t-1)'!M27,'JSO (t-1)'!M27)</f>
        <v>0.17230000000000001</v>
      </c>
      <c r="N27" s="469">
        <f>SUM('DUoS (t-1)'!N27,'TUoS (t-1)'!N27,'JSO (t-1)'!N27)</f>
        <v>6.9000000000000006E-2</v>
      </c>
      <c r="O27" s="469">
        <f>SUM('DUoS (t-1)'!O27,'TUoS (t-1)'!O27,'JSO (t-1)'!O27)</f>
        <v>3.4500000000000003E-2</v>
      </c>
      <c r="P27" s="468">
        <f>SUM('DUoS (t-1)'!P27,'TUoS (t-1)'!P27,'JSO (t-1)'!P27)</f>
        <v>0</v>
      </c>
      <c r="Q27" s="471">
        <f>SUM('DUoS (t-1)'!Q27,'TUoS (t-1)'!Q27,'JSO (t-1)'!Q27)</f>
        <v>0</v>
      </c>
      <c r="R27" s="472">
        <f>SUM('DUoS (t-1)'!R27,'TUoS (t-1)'!R27,'JSO (t-1)'!R27)</f>
        <v>0</v>
      </c>
      <c r="S27" s="468">
        <f>SUM('DUoS (t-1)'!S27,'TUoS (t-1)'!S27,'JSO (t-1)'!S27)</f>
        <v>0</v>
      </c>
      <c r="T27" s="471">
        <f>SUM('DUoS (t-1)'!T27,'TUoS (t-1)'!T27,'JSO (t-1)'!T27)</f>
        <v>0</v>
      </c>
      <c r="U27" s="458">
        <f>SUM('DUoS (t-1)'!U27,'TUoS (t-1)'!U27,'JSO (t-1)'!U27)</f>
        <v>0</v>
      </c>
      <c r="V27" s="472">
        <f>SUM('DUoS (t-1)'!V27,'TUoS (t-1)'!V27,'JSO (t-1)'!V27)</f>
        <v>0</v>
      </c>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 t="shared" si="2"/>
        <v>0</v>
      </c>
      <c r="AP27" s="191">
        <f t="shared" si="0"/>
        <v>0</v>
      </c>
      <c r="AQ27" s="192">
        <f t="shared" si="0"/>
        <v>0</v>
      </c>
      <c r="AR27" s="192">
        <f t="shared" si="0"/>
        <v>0</v>
      </c>
      <c r="AS27" s="193">
        <f t="shared" si="0"/>
        <v>0</v>
      </c>
      <c r="AT27" s="194">
        <f t="shared" si="0"/>
        <v>0</v>
      </c>
      <c r="AU27" s="192">
        <f t="shared" si="0"/>
        <v>0</v>
      </c>
      <c r="AV27" s="192">
        <f t="shared" si="0"/>
        <v>0</v>
      </c>
      <c r="AW27" s="192">
        <f t="shared" si="0"/>
        <v>0</v>
      </c>
      <c r="AX27" s="191">
        <f t="shared" si="1"/>
        <v>0</v>
      </c>
      <c r="AY27" s="195">
        <f t="shared" si="1"/>
        <v>0</v>
      </c>
      <c r="AZ27" s="196">
        <f t="shared" si="1"/>
        <v>0</v>
      </c>
      <c r="BA27" s="191">
        <f t="shared" si="1"/>
        <v>0</v>
      </c>
      <c r="BB27" s="195">
        <f t="shared" si="1"/>
        <v>0</v>
      </c>
      <c r="BC27" s="197">
        <f t="shared" si="1"/>
        <v>0</v>
      </c>
      <c r="BD27" s="195">
        <f t="shared" si="1"/>
        <v>0</v>
      </c>
      <c r="BE27" s="246">
        <f t="shared" si="3"/>
        <v>0</v>
      </c>
      <c r="BF27" s="247">
        <f t="shared" si="4"/>
        <v>0</v>
      </c>
      <c r="BH27" s="255">
        <f t="shared" si="7"/>
        <v>0</v>
      </c>
      <c r="BI27" s="255">
        <f t="shared" si="8"/>
        <v>0</v>
      </c>
      <c r="BJ27" s="255">
        <f t="shared" si="9"/>
        <v>0</v>
      </c>
      <c r="BK27" s="256">
        <f t="shared" si="10"/>
        <v>0</v>
      </c>
      <c r="BL27" s="262">
        <f t="shared" si="11"/>
        <v>0</v>
      </c>
      <c r="BM27" s="257">
        <f>SUM(BH27:BL27)</f>
        <v>0</v>
      </c>
      <c r="BO27" s="714" t="str">
        <f t="shared" si="6"/>
        <v/>
      </c>
    </row>
    <row r="28" spans="2:67" ht="15" customHeight="1" x14ac:dyDescent="0.25">
      <c r="B28" s="167" t="s">
        <v>57</v>
      </c>
      <c r="C28" s="151" t="s">
        <v>58</v>
      </c>
      <c r="D28" s="151"/>
      <c r="E28" s="148"/>
      <c r="G28" s="453">
        <f>SUM('DUoS (t-1)'!G28,'TUoS (t-1)'!G28,'JSO (t-1)'!G28)</f>
        <v>0</v>
      </c>
      <c r="H28" s="454">
        <f>SUM('DUoS (t-1)'!H28,'TUoS (t-1)'!H28,'JSO (t-1)'!H28)</f>
        <v>0</v>
      </c>
      <c r="I28" s="455">
        <f>SUM('DUoS (t-1)'!I28,'TUoS (t-1)'!I28,'JSO (t-1)'!I28)</f>
        <v>0</v>
      </c>
      <c r="J28" s="455">
        <f>SUM('DUoS (t-1)'!J28,'TUoS (t-1)'!J28,'JSO (t-1)'!J28)</f>
        <v>0</v>
      </c>
      <c r="K28" s="456">
        <f>SUM('DUoS (t-1)'!K28,'TUoS (t-1)'!K28,'JSO (t-1)'!K28)</f>
        <v>0</v>
      </c>
      <c r="L28" s="473">
        <f>SUM('DUoS (t-1)'!L28,'TUoS (t-1)'!L28,'JSO (t-1)'!L28)</f>
        <v>0</v>
      </c>
      <c r="M28" s="473">
        <f>SUM('DUoS (t-1)'!M28,'TUoS (t-1)'!M28,'JSO (t-1)'!M28)</f>
        <v>0</v>
      </c>
      <c r="N28" s="473">
        <f>SUM('DUoS (t-1)'!N28,'TUoS (t-1)'!N28,'JSO (t-1)'!N28)</f>
        <v>0</v>
      </c>
      <c r="O28" s="474">
        <f>SUM('DUoS (t-1)'!O28,'TUoS (t-1)'!O28,'JSO (t-1)'!O28)</f>
        <v>0</v>
      </c>
      <c r="P28" s="455">
        <f>SUM('DUoS (t-1)'!P28,'TUoS (t-1)'!P28,'JSO (t-1)'!P28)</f>
        <v>0</v>
      </c>
      <c r="Q28" s="455">
        <f>SUM('DUoS (t-1)'!Q28,'TUoS (t-1)'!Q28,'JSO (t-1)'!Q28)</f>
        <v>0</v>
      </c>
      <c r="R28" s="456">
        <f>SUM('DUoS (t-1)'!R28,'TUoS (t-1)'!R28,'JSO (t-1)'!R28)</f>
        <v>0</v>
      </c>
      <c r="S28" s="454">
        <f>SUM('DUoS (t-1)'!S28,'TUoS (t-1)'!S28,'JSO (t-1)'!S28)</f>
        <v>0</v>
      </c>
      <c r="T28" s="455">
        <f>SUM('DUoS (t-1)'!T28,'TUoS (t-1)'!T28,'JSO (t-1)'!T28)</f>
        <v>0</v>
      </c>
      <c r="U28" s="454">
        <f>SUM('DUoS (t-1)'!U28,'TUoS (t-1)'!U28,'JSO (t-1)'!U28)</f>
        <v>0</v>
      </c>
      <c r="V28" s="456">
        <f>SUM('DUoS (t-1)'!V28,'TUoS (t-1)'!V28,'JSO (t-1)'!V28)</f>
        <v>0</v>
      </c>
      <c r="X28" s="168"/>
      <c r="Y28" s="169"/>
      <c r="Z28" s="170"/>
      <c r="AA28" s="170"/>
      <c r="AB28" s="171"/>
      <c r="AC28" s="198"/>
      <c r="AD28" s="198"/>
      <c r="AE28" s="198"/>
      <c r="AF28" s="199"/>
      <c r="AG28" s="170"/>
      <c r="AH28" s="170"/>
      <c r="AI28" s="171"/>
      <c r="AJ28" s="169"/>
      <c r="AK28" s="170"/>
      <c r="AL28" s="169"/>
      <c r="AM28" s="171"/>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17918.473857999998</v>
      </c>
      <c r="BI28" s="253">
        <f>SUBTOTAL(9,BI29:BI41)</f>
        <v>169203.58</v>
      </c>
      <c r="BJ28" s="253">
        <f>SUBTOTAL(9,BJ29:BJ41)</f>
        <v>429.00000000000006</v>
      </c>
      <c r="BK28" s="253">
        <f>SUBTOTAL(9,BK29:BK41)</f>
        <v>3233.0323052000003</v>
      </c>
      <c r="BL28" s="253">
        <f>SUBTOTAL(9,BL29:BL41)</f>
        <v>0</v>
      </c>
      <c r="BM28" s="257">
        <f t="shared" si="5"/>
        <v>190784.08616319997</v>
      </c>
      <c r="BO28" s="714" t="str">
        <f t="shared" si="6"/>
        <v/>
      </c>
    </row>
    <row r="29" spans="2:67" ht="15" customHeight="1" x14ac:dyDescent="0.25">
      <c r="B29" s="172"/>
      <c r="C29" s="126" t="s">
        <v>59</v>
      </c>
      <c r="D29" s="173"/>
      <c r="E29" s="145"/>
      <c r="G29" s="457">
        <f>SUM('DUoS (t-1)'!G29,'TUoS (t-1)'!G29,'JSO (t-1)'!G29)</f>
        <v>0</v>
      </c>
      <c r="H29" s="458">
        <f>SUM('DUoS (t-1)'!H29,'TUoS (t-1)'!H29,'JSO (t-1)'!H29)</f>
        <v>0</v>
      </c>
      <c r="I29" s="459">
        <f>SUM('DUoS (t-1)'!I29,'TUoS (t-1)'!I29,'JSO (t-1)'!I29)</f>
        <v>0</v>
      </c>
      <c r="J29" s="459">
        <f>SUM('DUoS (t-1)'!J29,'TUoS (t-1)'!J29,'JSO (t-1)'!J29)</f>
        <v>0</v>
      </c>
      <c r="K29" s="460">
        <f>SUM('DUoS (t-1)'!K29,'TUoS (t-1)'!K29,'JSO (t-1)'!K29)</f>
        <v>0</v>
      </c>
      <c r="L29" s="475">
        <f>SUM('DUoS (t-1)'!L29,'TUoS (t-1)'!L29,'JSO (t-1)'!L29)</f>
        <v>0</v>
      </c>
      <c r="M29" s="475">
        <f>SUM('DUoS (t-1)'!M29,'TUoS (t-1)'!M29,'JSO (t-1)'!M29)</f>
        <v>0</v>
      </c>
      <c r="N29" s="475">
        <f>SUM('DUoS (t-1)'!N29,'TUoS (t-1)'!N29,'JSO (t-1)'!N29)</f>
        <v>0</v>
      </c>
      <c r="O29" s="476">
        <f>SUM('DUoS (t-1)'!O29,'TUoS (t-1)'!O29,'JSO (t-1)'!O29)</f>
        <v>0</v>
      </c>
      <c r="P29" s="459">
        <f>SUM('DUoS (t-1)'!P29,'TUoS (t-1)'!P29,'JSO (t-1)'!P29)</f>
        <v>0</v>
      </c>
      <c r="Q29" s="459">
        <f>SUM('DUoS (t-1)'!Q29,'TUoS (t-1)'!Q29,'JSO (t-1)'!Q29)</f>
        <v>0</v>
      </c>
      <c r="R29" s="460">
        <f>SUM('DUoS (t-1)'!R29,'TUoS (t-1)'!R29,'JSO (t-1)'!R29)</f>
        <v>0</v>
      </c>
      <c r="S29" s="458">
        <f>SUM('DUoS (t-1)'!S29,'TUoS (t-1)'!S29,'JSO (t-1)'!S29)</f>
        <v>0</v>
      </c>
      <c r="T29" s="459">
        <f>SUM('DUoS (t-1)'!T29,'TUoS (t-1)'!T29,'JSO (t-1)'!T29)</f>
        <v>0</v>
      </c>
      <c r="U29" s="458">
        <f>SUM('DUoS (t-1)'!U29,'TUoS (t-1)'!U29,'JSO (t-1)'!U29)</f>
        <v>0</v>
      </c>
      <c r="V29" s="460">
        <f>SUM('DUoS (t-1)'!V29,'TUoS (t-1)'!V29,'JSO (t-1)'!V29)</f>
        <v>0</v>
      </c>
      <c r="X29" s="174"/>
      <c r="Y29" s="175"/>
      <c r="Z29" s="176"/>
      <c r="AA29" s="176"/>
      <c r="AB29" s="177"/>
      <c r="AC29" s="185"/>
      <c r="AD29" s="185"/>
      <c r="AE29" s="185"/>
      <c r="AF29" s="186"/>
      <c r="AG29" s="176"/>
      <c r="AH29" s="176"/>
      <c r="AI29" s="177"/>
      <c r="AJ29" s="175"/>
      <c r="AK29" s="176"/>
      <c r="AL29" s="175"/>
      <c r="AM29" s="177"/>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10627.199999999999</v>
      </c>
      <c r="BJ29" s="252">
        <f>SUBTOTAL(9,BJ30:BJ31)</f>
        <v>0</v>
      </c>
      <c r="BK29" s="260">
        <f>SUBTOTAL(9,BK30:BK31)</f>
        <v>0</v>
      </c>
      <c r="BL29" s="261">
        <f>SUBTOTAL(9,BL30:BL31)</f>
        <v>0</v>
      </c>
      <c r="BM29" s="257">
        <f t="shared" si="5"/>
        <v>10627.199999999999</v>
      </c>
      <c r="BO29" s="714" t="str">
        <f t="shared" si="6"/>
        <v/>
      </c>
    </row>
    <row r="30" spans="2:67" ht="15" customHeight="1" x14ac:dyDescent="0.25">
      <c r="B30" s="156">
        <v>1</v>
      </c>
      <c r="C30" s="180" t="s">
        <v>60</v>
      </c>
      <c r="D30" s="181" t="str">
        <f>C30</f>
        <v>LVUU</v>
      </c>
      <c r="E30" s="200" t="s">
        <v>61</v>
      </c>
      <c r="G30" s="477">
        <f>SUM('DUoS (t-1)'!G30,'TUoS (t-1)'!G30,'JSO (t-1)'!G30)</f>
        <v>0</v>
      </c>
      <c r="H30" s="478">
        <f>SUM('DUoS (t-1)'!H30,'TUoS (t-1)'!H30,'JSO (t-1)'!H30)</f>
        <v>9.8400000000000001E-2</v>
      </c>
      <c r="I30" s="461">
        <f>SUM('DUoS (t-1)'!I30,'TUoS (t-1)'!I30,'JSO (t-1)'!I30)</f>
        <v>0</v>
      </c>
      <c r="J30" s="461">
        <f>SUM('DUoS (t-1)'!J30,'TUoS (t-1)'!J30,'JSO (t-1)'!J30)</f>
        <v>0</v>
      </c>
      <c r="K30" s="462">
        <f>SUM('DUoS (t-1)'!K30,'TUoS (t-1)'!K30,'JSO (t-1)'!K30)</f>
        <v>0</v>
      </c>
      <c r="L30" s="461">
        <f>SUM('DUoS (t-1)'!L30,'TUoS (t-1)'!L30,'JSO (t-1)'!L30)</f>
        <v>0</v>
      </c>
      <c r="M30" s="461">
        <f>SUM('DUoS (t-1)'!M30,'TUoS (t-1)'!M30,'JSO (t-1)'!M30)</f>
        <v>0</v>
      </c>
      <c r="N30" s="461">
        <f>SUM('DUoS (t-1)'!N30,'TUoS (t-1)'!N30,'JSO (t-1)'!N30)</f>
        <v>0</v>
      </c>
      <c r="O30" s="462">
        <f>SUM('DUoS (t-1)'!O30,'TUoS (t-1)'!O30,'JSO (t-1)'!O30)</f>
        <v>0</v>
      </c>
      <c r="P30" s="461">
        <f>SUM('DUoS (t-1)'!P30,'TUoS (t-1)'!P30,'JSO (t-1)'!P30)</f>
        <v>0</v>
      </c>
      <c r="Q30" s="461">
        <f>SUM('DUoS (t-1)'!Q30,'TUoS (t-1)'!Q30,'JSO (t-1)'!Q30)</f>
        <v>0</v>
      </c>
      <c r="R30" s="462">
        <f>SUM('DUoS (t-1)'!R30,'TUoS (t-1)'!R30,'JSO (t-1)'!R30)</f>
        <v>0</v>
      </c>
      <c r="S30" s="479">
        <f>SUM('DUoS (t-1)'!S30,'TUoS (t-1)'!S30,'JSO (t-1)'!S30)</f>
        <v>0</v>
      </c>
      <c r="T30" s="461">
        <f>SUM('DUoS (t-1)'!T30,'TUoS (t-1)'!T30,'JSO (t-1)'!T30)</f>
        <v>0</v>
      </c>
      <c r="U30" s="480">
        <f>SUM('DUoS (t-1)'!U30,'TUoS (t-1)'!U30,'JSO (t-1)'!U30)</f>
        <v>0</v>
      </c>
      <c r="V30" s="481">
        <f>SUM('DUoS (t-1)'!V30,'TUoS (t-1)'!V30,'JSO (t-1)'!V30)</f>
        <v>0</v>
      </c>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8954.4</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8954.4</v>
      </c>
      <c r="BJ30" s="255">
        <f>SUM(AT30:AW30)</f>
        <v>0</v>
      </c>
      <c r="BK30" s="256">
        <f>SUM(AX30:BB30)</f>
        <v>0</v>
      </c>
      <c r="BL30" s="262">
        <f>SUM(BC30:BD30)</f>
        <v>0</v>
      </c>
      <c r="BM30" s="257">
        <f t="shared" si="5"/>
        <v>8954.4</v>
      </c>
      <c r="BO30" s="714">
        <f t="shared" si="6"/>
        <v>98.4</v>
      </c>
    </row>
    <row r="31" spans="2:67" ht="15" customHeight="1" x14ac:dyDescent="0.25">
      <c r="B31" s="156">
        <f t="shared" ref="B31:B41" si="12">B30+1</f>
        <v>2</v>
      </c>
      <c r="C31" s="180" t="s">
        <v>62</v>
      </c>
      <c r="D31" s="181" t="str">
        <f>C31</f>
        <v>LVUU24</v>
      </c>
      <c r="E31" s="200" t="s">
        <v>63</v>
      </c>
      <c r="G31" s="477">
        <f>SUM('DUoS (t-1)'!G31,'TUoS (t-1)'!G31,'JSO (t-1)'!G31)</f>
        <v>0</v>
      </c>
      <c r="H31" s="478">
        <f>SUM('DUoS (t-1)'!H31,'TUoS (t-1)'!H31,'JSO (t-1)'!H31)</f>
        <v>9.8400000000000001E-2</v>
      </c>
      <c r="I31" s="461">
        <f>SUM('DUoS (t-1)'!I31,'TUoS (t-1)'!I31,'JSO (t-1)'!I31)</f>
        <v>0</v>
      </c>
      <c r="J31" s="461">
        <f>SUM('DUoS (t-1)'!J31,'TUoS (t-1)'!J31,'JSO (t-1)'!J31)</f>
        <v>0</v>
      </c>
      <c r="K31" s="462">
        <f>SUM('DUoS (t-1)'!K31,'TUoS (t-1)'!K31,'JSO (t-1)'!K31)</f>
        <v>0</v>
      </c>
      <c r="L31" s="461">
        <f>SUM('DUoS (t-1)'!L31,'TUoS (t-1)'!L31,'JSO (t-1)'!L31)</f>
        <v>0</v>
      </c>
      <c r="M31" s="461">
        <f>SUM('DUoS (t-1)'!M31,'TUoS (t-1)'!M31,'JSO (t-1)'!M31)</f>
        <v>0</v>
      </c>
      <c r="N31" s="461">
        <f>SUM('DUoS (t-1)'!N31,'TUoS (t-1)'!N31,'JSO (t-1)'!N31)</f>
        <v>0</v>
      </c>
      <c r="O31" s="462">
        <f>SUM('DUoS (t-1)'!O31,'TUoS (t-1)'!O31,'JSO (t-1)'!O31)</f>
        <v>0</v>
      </c>
      <c r="P31" s="461">
        <f>SUM('DUoS (t-1)'!P31,'TUoS (t-1)'!P31,'JSO (t-1)'!P31)</f>
        <v>0</v>
      </c>
      <c r="Q31" s="461">
        <f>SUM('DUoS (t-1)'!Q31,'TUoS (t-1)'!Q31,'JSO (t-1)'!Q31)</f>
        <v>0</v>
      </c>
      <c r="R31" s="462">
        <f>SUM('DUoS (t-1)'!R31,'TUoS (t-1)'!R31,'JSO (t-1)'!R31)</f>
        <v>0</v>
      </c>
      <c r="S31" s="479">
        <f>SUM('DUoS (t-1)'!S31,'TUoS (t-1)'!S31,'JSO (t-1)'!S31)</f>
        <v>0</v>
      </c>
      <c r="T31" s="461">
        <f>SUM('DUoS (t-1)'!T31,'TUoS (t-1)'!T31,'JSO (t-1)'!T31)</f>
        <v>0</v>
      </c>
      <c r="U31" s="480">
        <f>SUM('DUoS (t-1)'!U31,'TUoS (t-1)'!U31,'JSO (t-1)'!U31)</f>
        <v>0</v>
      </c>
      <c r="V31" s="481">
        <f>SUM('DUoS (t-1)'!V31,'TUoS (t-1)'!V31,'JSO (t-1)'!V31)</f>
        <v>0</v>
      </c>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1672.8</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1672.8</v>
      </c>
      <c r="BJ31" s="255">
        <f>SUM(AT31:AW31)</f>
        <v>0</v>
      </c>
      <c r="BK31" s="256">
        <f>SUM(AX31:BB31)</f>
        <v>0</v>
      </c>
      <c r="BL31" s="262">
        <f>SUM(BC31:BD31)</f>
        <v>0</v>
      </c>
      <c r="BM31" s="257">
        <f t="shared" si="5"/>
        <v>1672.8</v>
      </c>
      <c r="BO31" s="714">
        <f t="shared" si="6"/>
        <v>98.4</v>
      </c>
    </row>
    <row r="32" spans="2:67" ht="15" customHeight="1" x14ac:dyDescent="0.25">
      <c r="B32" s="156"/>
      <c r="C32" s="201" t="s">
        <v>64</v>
      </c>
      <c r="D32" s="202"/>
      <c r="E32" s="202"/>
      <c r="G32" s="482">
        <f>SUM('DUoS (t-1)'!G32,'TUoS (t-1)'!G32,'JSO (t-1)'!G32)</f>
        <v>0</v>
      </c>
      <c r="H32" s="479">
        <f>SUM('DUoS (t-1)'!H32,'TUoS (t-1)'!H32,'JSO (t-1)'!H32)</f>
        <v>0</v>
      </c>
      <c r="I32" s="461">
        <f>SUM('DUoS (t-1)'!I32,'TUoS (t-1)'!I32,'JSO (t-1)'!I32)</f>
        <v>0</v>
      </c>
      <c r="J32" s="461">
        <f>SUM('DUoS (t-1)'!J32,'TUoS (t-1)'!J32,'JSO (t-1)'!J32)</f>
        <v>0</v>
      </c>
      <c r="K32" s="462">
        <f>SUM('DUoS (t-1)'!K32,'TUoS (t-1)'!K32,'JSO (t-1)'!K32)</f>
        <v>0</v>
      </c>
      <c r="L32" s="461">
        <f>SUM('DUoS (t-1)'!L32,'TUoS (t-1)'!L32,'JSO (t-1)'!L32)</f>
        <v>0</v>
      </c>
      <c r="M32" s="461">
        <f>SUM('DUoS (t-1)'!M32,'TUoS (t-1)'!M32,'JSO (t-1)'!M32)</f>
        <v>0</v>
      </c>
      <c r="N32" s="461">
        <f>SUM('DUoS (t-1)'!N32,'TUoS (t-1)'!N32,'JSO (t-1)'!N32)</f>
        <v>0</v>
      </c>
      <c r="O32" s="462">
        <f>SUM('DUoS (t-1)'!O32,'TUoS (t-1)'!O32,'JSO (t-1)'!O32)</f>
        <v>0</v>
      </c>
      <c r="P32" s="461">
        <f>SUM('DUoS (t-1)'!P32,'TUoS (t-1)'!P32,'JSO (t-1)'!P32)</f>
        <v>0</v>
      </c>
      <c r="Q32" s="461">
        <f>SUM('DUoS (t-1)'!Q32,'TUoS (t-1)'!Q32,'JSO (t-1)'!Q32)</f>
        <v>0</v>
      </c>
      <c r="R32" s="462">
        <f>SUM('DUoS (t-1)'!R32,'TUoS (t-1)'!R32,'JSO (t-1)'!R32)</f>
        <v>0</v>
      </c>
      <c r="S32" s="479">
        <f>SUM('DUoS (t-1)'!S32,'TUoS (t-1)'!S32,'JSO (t-1)'!S32)</f>
        <v>0</v>
      </c>
      <c r="T32" s="461">
        <f>SUM('DUoS (t-1)'!T32,'TUoS (t-1)'!T32,'JSO (t-1)'!T32)</f>
        <v>0</v>
      </c>
      <c r="U32" s="479">
        <f>SUM('DUoS (t-1)'!U32,'TUoS (t-1)'!U32,'JSO (t-1)'!U32)</f>
        <v>0</v>
      </c>
      <c r="V32" s="462">
        <f>SUM('DUoS (t-1)'!V32,'TUoS (t-1)'!V32,'JSO (t-1)'!V32)</f>
        <v>0</v>
      </c>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12778.926523999999</v>
      </c>
      <c r="BI32" s="252">
        <f>SUBTOTAL(9,BI33:BI37)</f>
        <v>88495.889999999985</v>
      </c>
      <c r="BJ32" s="252">
        <f>SUBTOTAL(9,BJ33:BJ37)</f>
        <v>429.00000000000006</v>
      </c>
      <c r="BK32" s="252">
        <f>SUBTOTAL(9,BK33:BK37)</f>
        <v>0</v>
      </c>
      <c r="BL32" s="252">
        <f>SUBTOTAL(9,BL33:BL37)</f>
        <v>0</v>
      </c>
      <c r="BM32" s="257">
        <f t="shared" si="5"/>
        <v>101703.81652399998</v>
      </c>
      <c r="BO32" s="714" t="str">
        <f t="shared" si="6"/>
        <v/>
      </c>
    </row>
    <row r="33" spans="2:67" ht="15" customHeight="1" x14ac:dyDescent="0.25">
      <c r="B33" s="156">
        <f>B31+1</f>
        <v>3</v>
      </c>
      <c r="C33" s="180" t="s">
        <v>65</v>
      </c>
      <c r="D33" s="181" t="str">
        <f>C33</f>
        <v>BSR</v>
      </c>
      <c r="E33" s="200" t="s">
        <v>66</v>
      </c>
      <c r="G33" s="477">
        <f>SUM('DUoS (t-1)'!G33,'TUoS (t-1)'!G33,'JSO (t-1)'!G33)</f>
        <v>0.50680000000000003</v>
      </c>
      <c r="H33" s="478">
        <f>SUM('DUoS (t-1)'!H33,'TUoS (t-1)'!H33,'JSO (t-1)'!H33)</f>
        <v>0.15009999999999998</v>
      </c>
      <c r="I33" s="461">
        <f>SUM('DUoS (t-1)'!I33,'TUoS (t-1)'!I33,'JSO (t-1)'!I33)</f>
        <v>0</v>
      </c>
      <c r="J33" s="461">
        <f>SUM('DUoS (t-1)'!J33,'TUoS (t-1)'!J33,'JSO (t-1)'!J33)</f>
        <v>0</v>
      </c>
      <c r="K33" s="462">
        <f>SUM('DUoS (t-1)'!K33,'TUoS (t-1)'!K33,'JSO (t-1)'!K33)</f>
        <v>0</v>
      </c>
      <c r="L33" s="461">
        <f>SUM('DUoS (t-1)'!L33,'TUoS (t-1)'!L33,'JSO (t-1)'!L33)</f>
        <v>0</v>
      </c>
      <c r="M33" s="461">
        <f>SUM('DUoS (t-1)'!M33,'TUoS (t-1)'!M33,'JSO (t-1)'!M33)</f>
        <v>0</v>
      </c>
      <c r="N33" s="461">
        <f>SUM('DUoS (t-1)'!N33,'TUoS (t-1)'!N33,'JSO (t-1)'!N33)</f>
        <v>0</v>
      </c>
      <c r="O33" s="462">
        <f>SUM('DUoS (t-1)'!O33,'TUoS (t-1)'!O33,'JSO (t-1)'!O33)</f>
        <v>0</v>
      </c>
      <c r="P33" s="461">
        <f>SUM('DUoS (t-1)'!P33,'TUoS (t-1)'!P33,'JSO (t-1)'!P33)</f>
        <v>0</v>
      </c>
      <c r="Q33" s="461">
        <f>SUM('DUoS (t-1)'!Q33,'TUoS (t-1)'!Q33,'JSO (t-1)'!Q33)</f>
        <v>0</v>
      </c>
      <c r="R33" s="462">
        <f>SUM('DUoS (t-1)'!R33,'TUoS (t-1)'!R33,'JSO (t-1)'!R33)</f>
        <v>0</v>
      </c>
      <c r="S33" s="479">
        <f>SUM('DUoS (t-1)'!S33,'TUoS (t-1)'!S33,'JSO (t-1)'!S33)</f>
        <v>0</v>
      </c>
      <c r="T33" s="461">
        <f>SUM('DUoS (t-1)'!T33,'TUoS (t-1)'!T33,'JSO (t-1)'!T33)</f>
        <v>0</v>
      </c>
      <c r="U33" s="480">
        <f>SUM('DUoS (t-1)'!U33,'TUoS (t-1)'!U33,'JSO (t-1)'!U33)</f>
        <v>0</v>
      </c>
      <c r="V33" s="481">
        <f>SUM('DUoS (t-1)'!V33,'TUoS (t-1)'!V33,'JSO (t-1)'!V33)</f>
        <v>0</v>
      </c>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8495.2983499999991</v>
      </c>
      <c r="AP33" s="184">
        <f t="shared" si="0"/>
        <v>48362.219999999994</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8495.2983499999991</v>
      </c>
      <c r="BI33" s="255">
        <f>SUM(AP33:AS33)</f>
        <v>48362.219999999994</v>
      </c>
      <c r="BJ33" s="255">
        <f>SUM(AT33:AW33)</f>
        <v>0</v>
      </c>
      <c r="BK33" s="256">
        <f>SUM(AX33:BB33)</f>
        <v>0</v>
      </c>
      <c r="BL33" s="262">
        <f>SUM(BC33:BD33)</f>
        <v>0</v>
      </c>
      <c r="BM33" s="257">
        <f t="shared" si="5"/>
        <v>56857.518349999991</v>
      </c>
      <c r="BO33" s="714">
        <f t="shared" si="6"/>
        <v>176.46653739913094</v>
      </c>
    </row>
    <row r="34" spans="2:67" ht="15" customHeight="1" x14ac:dyDescent="0.25">
      <c r="B34" s="156">
        <f t="shared" si="12"/>
        <v>4</v>
      </c>
      <c r="C34" s="180" t="s">
        <v>67</v>
      </c>
      <c r="D34" s="181" t="str">
        <f>C34</f>
        <v>BSRCL</v>
      </c>
      <c r="E34" s="200" t="s">
        <v>68</v>
      </c>
      <c r="G34" s="477">
        <f>SUM('DUoS (t-1)'!G34,'TUoS (t-1)'!G34,'JSO (t-1)'!G34)</f>
        <v>0.50680000000000003</v>
      </c>
      <c r="H34" s="478">
        <f>SUM('DUoS (t-1)'!H34,'TUoS (t-1)'!H34,'JSO (t-1)'!H34)</f>
        <v>0.15009999999999998</v>
      </c>
      <c r="I34" s="461">
        <f>SUM('DUoS (t-1)'!I34,'TUoS (t-1)'!I34,'JSO (t-1)'!I34)</f>
        <v>0</v>
      </c>
      <c r="J34" s="461">
        <f>SUM('DUoS (t-1)'!J34,'TUoS (t-1)'!J34,'JSO (t-1)'!J34)</f>
        <v>0</v>
      </c>
      <c r="K34" s="462">
        <f>SUM('DUoS (t-1)'!K34,'TUoS (t-1)'!K34,'JSO (t-1)'!K34)</f>
        <v>0</v>
      </c>
      <c r="L34" s="483">
        <f>SUM('DUoS (t-1)'!L34,'TUoS (t-1)'!L34,'JSO (t-1)'!L34)</f>
        <v>7.1500000000000008E-2</v>
      </c>
      <c r="M34" s="461">
        <f>SUM('DUoS (t-1)'!M34,'TUoS (t-1)'!M34,'JSO (t-1)'!M34)</f>
        <v>0</v>
      </c>
      <c r="N34" s="461">
        <f>SUM('DUoS (t-1)'!N34,'TUoS (t-1)'!N34,'JSO (t-1)'!N34)</f>
        <v>0</v>
      </c>
      <c r="O34" s="462">
        <f>SUM('DUoS (t-1)'!O34,'TUoS (t-1)'!O34,'JSO (t-1)'!O34)</f>
        <v>0</v>
      </c>
      <c r="P34" s="461">
        <f>SUM('DUoS (t-1)'!P34,'TUoS (t-1)'!P34,'JSO (t-1)'!P34)</f>
        <v>0</v>
      </c>
      <c r="Q34" s="461">
        <f>SUM('DUoS (t-1)'!Q34,'TUoS (t-1)'!Q34,'JSO (t-1)'!Q34)</f>
        <v>0</v>
      </c>
      <c r="R34" s="462">
        <f>SUM('DUoS (t-1)'!R34,'TUoS (t-1)'!R34,'JSO (t-1)'!R34)</f>
        <v>0</v>
      </c>
      <c r="S34" s="479">
        <f>SUM('DUoS (t-1)'!S34,'TUoS (t-1)'!S34,'JSO (t-1)'!S34)</f>
        <v>0</v>
      </c>
      <c r="T34" s="461">
        <f>SUM('DUoS (t-1)'!T34,'TUoS (t-1)'!T34,'JSO (t-1)'!T34)</f>
        <v>0</v>
      </c>
      <c r="U34" s="480">
        <f>SUM('DUoS (t-1)'!U34,'TUoS (t-1)'!U34,'JSO (t-1)'!U34)</f>
        <v>0</v>
      </c>
      <c r="V34" s="481">
        <f>SUM('DUoS (t-1)'!V34,'TUoS (t-1)'!V34,'JSO (t-1)'!V34)</f>
        <v>0</v>
      </c>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214.50000000000003</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214.50000000000003</v>
      </c>
      <c r="BK34" s="256">
        <f>SUM(AX34:BB34)</f>
        <v>0</v>
      </c>
      <c r="BL34" s="262">
        <f>SUM(BC34:BD34)</f>
        <v>0</v>
      </c>
      <c r="BM34" s="257">
        <f t="shared" si="5"/>
        <v>214.50000000000003</v>
      </c>
      <c r="BO34" s="714">
        <f t="shared" si="6"/>
        <v>71.500000000000014</v>
      </c>
    </row>
    <row r="35" spans="2:67" ht="15" customHeight="1" x14ac:dyDescent="0.25">
      <c r="B35" s="156">
        <f t="shared" si="12"/>
        <v>5</v>
      </c>
      <c r="C35" s="180" t="s">
        <v>69</v>
      </c>
      <c r="D35" s="181" t="str">
        <f>C35</f>
        <v>B2R</v>
      </c>
      <c r="E35" s="200" t="s">
        <v>70</v>
      </c>
      <c r="G35" s="477">
        <f>SUM('DUoS (t-1)'!G35,'TUoS (t-1)'!G35,'JSO (t-1)'!G35)</f>
        <v>0.50680000000000003</v>
      </c>
      <c r="H35" s="479">
        <f>SUM('DUoS (t-1)'!H35,'TUoS (t-1)'!H35,'JSO (t-1)'!H35)</f>
        <v>0</v>
      </c>
      <c r="I35" s="465">
        <f>SUM('DUoS (t-1)'!I35,'TUoS (t-1)'!I35,'JSO (t-1)'!I35)</f>
        <v>0.16930000000000001</v>
      </c>
      <c r="J35" s="461">
        <f>SUM('DUoS (t-1)'!J35,'TUoS (t-1)'!J35,'JSO (t-1)'!J35)</f>
        <v>0</v>
      </c>
      <c r="K35" s="466">
        <f>SUM('DUoS (t-1)'!K35,'TUoS (t-1)'!K35,'JSO (t-1)'!K35)</f>
        <v>8.4599999999999995E-2</v>
      </c>
      <c r="L35" s="461">
        <f>SUM('DUoS (t-1)'!L35,'TUoS (t-1)'!L35,'JSO (t-1)'!L35)</f>
        <v>0</v>
      </c>
      <c r="M35" s="461">
        <f>SUM('DUoS (t-1)'!M35,'TUoS (t-1)'!M35,'JSO (t-1)'!M35)</f>
        <v>0</v>
      </c>
      <c r="N35" s="461">
        <f>SUM('DUoS (t-1)'!N35,'TUoS (t-1)'!N35,'JSO (t-1)'!N35)</f>
        <v>0</v>
      </c>
      <c r="O35" s="462">
        <f>SUM('DUoS (t-1)'!O35,'TUoS (t-1)'!O35,'JSO (t-1)'!O35)</f>
        <v>0</v>
      </c>
      <c r="P35" s="461">
        <f>SUM('DUoS (t-1)'!P35,'TUoS (t-1)'!P35,'JSO (t-1)'!P35)</f>
        <v>0</v>
      </c>
      <c r="Q35" s="461">
        <f>SUM('DUoS (t-1)'!Q35,'TUoS (t-1)'!Q35,'JSO (t-1)'!Q35)</f>
        <v>0</v>
      </c>
      <c r="R35" s="462">
        <f>SUM('DUoS (t-1)'!R35,'TUoS (t-1)'!R35,'JSO (t-1)'!R35)</f>
        <v>0</v>
      </c>
      <c r="S35" s="479">
        <f>SUM('DUoS (t-1)'!S35,'TUoS (t-1)'!S35,'JSO (t-1)'!S35)</f>
        <v>0</v>
      </c>
      <c r="T35" s="461">
        <f>SUM('DUoS (t-1)'!T35,'TUoS (t-1)'!T35,'JSO (t-1)'!T35)</f>
        <v>0</v>
      </c>
      <c r="U35" s="480">
        <f>SUM('DUoS (t-1)'!U35,'TUoS (t-1)'!U35,'JSO (t-1)'!U35)</f>
        <v>0</v>
      </c>
      <c r="V35" s="481">
        <f>SUM('DUoS (t-1)'!V35,'TUoS (t-1)'!V35,'JSO (t-1)'!V35)</f>
        <v>0</v>
      </c>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4283.6281740000004</v>
      </c>
      <c r="AP35" s="184">
        <f t="shared" si="0"/>
        <v>0</v>
      </c>
      <c r="AQ35" s="178">
        <f t="shared" si="0"/>
        <v>27680.55</v>
      </c>
      <c r="AR35" s="178">
        <f t="shared" si="0"/>
        <v>0</v>
      </c>
      <c r="AS35" s="179">
        <f t="shared" si="0"/>
        <v>12453.119999999999</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4283.6281740000004</v>
      </c>
      <c r="BI35" s="255">
        <f>SUM(AP35:AS35)</f>
        <v>40133.67</v>
      </c>
      <c r="BJ35" s="255">
        <f>SUM(AT35:AW35)</f>
        <v>0</v>
      </c>
      <c r="BK35" s="256">
        <f>SUM(AX35:BB35)</f>
        <v>0</v>
      </c>
      <c r="BL35" s="262">
        <f>SUM(BC35:BD35)</f>
        <v>0</v>
      </c>
      <c r="BM35" s="257">
        <f t="shared" si="5"/>
        <v>44417.298173999996</v>
      </c>
      <c r="BO35" s="714">
        <f t="shared" si="6"/>
        <v>142.95879682652074</v>
      </c>
    </row>
    <row r="36" spans="2:67" ht="15" customHeight="1" x14ac:dyDescent="0.25">
      <c r="B36" s="156">
        <f t="shared" si="12"/>
        <v>6</v>
      </c>
      <c r="C36" s="180" t="s">
        <v>71</v>
      </c>
      <c r="D36" s="181" t="str">
        <f>C36</f>
        <v>B2RCL</v>
      </c>
      <c r="E36" s="200" t="s">
        <v>72</v>
      </c>
      <c r="G36" s="477">
        <f>SUM('DUoS (t-1)'!G36,'TUoS (t-1)'!G36,'JSO (t-1)'!G36)</f>
        <v>0.50680000000000003</v>
      </c>
      <c r="H36" s="479">
        <f>SUM('DUoS (t-1)'!H36,'TUoS (t-1)'!H36,'JSO (t-1)'!H36)</f>
        <v>0</v>
      </c>
      <c r="I36" s="465">
        <f>SUM('DUoS (t-1)'!I36,'TUoS (t-1)'!I36,'JSO (t-1)'!I36)</f>
        <v>0.16930000000000001</v>
      </c>
      <c r="J36" s="461">
        <f>SUM('DUoS (t-1)'!J36,'TUoS (t-1)'!J36,'JSO (t-1)'!J36)</f>
        <v>0</v>
      </c>
      <c r="K36" s="466">
        <f>SUM('DUoS (t-1)'!K36,'TUoS (t-1)'!K36,'JSO (t-1)'!K36)</f>
        <v>8.4599999999999995E-2</v>
      </c>
      <c r="L36" s="483">
        <f>SUM('DUoS (t-1)'!L36,'TUoS (t-1)'!L36,'JSO (t-1)'!L36)</f>
        <v>7.1500000000000008E-2</v>
      </c>
      <c r="M36" s="461">
        <f>SUM('DUoS (t-1)'!M36,'TUoS (t-1)'!M36,'JSO (t-1)'!M36)</f>
        <v>0</v>
      </c>
      <c r="N36" s="461">
        <f>SUM('DUoS (t-1)'!N36,'TUoS (t-1)'!N36,'JSO (t-1)'!N36)</f>
        <v>0</v>
      </c>
      <c r="O36" s="462">
        <f>SUM('DUoS (t-1)'!O36,'TUoS (t-1)'!O36,'JSO (t-1)'!O36)</f>
        <v>0</v>
      </c>
      <c r="P36" s="461">
        <f>SUM('DUoS (t-1)'!P36,'TUoS (t-1)'!P36,'JSO (t-1)'!P36)</f>
        <v>0</v>
      </c>
      <c r="Q36" s="461">
        <f>SUM('DUoS (t-1)'!Q36,'TUoS (t-1)'!Q36,'JSO (t-1)'!Q36)</f>
        <v>0</v>
      </c>
      <c r="R36" s="462">
        <f>SUM('DUoS (t-1)'!R36,'TUoS (t-1)'!R36,'JSO (t-1)'!R36)</f>
        <v>0</v>
      </c>
      <c r="S36" s="479">
        <f>SUM('DUoS (t-1)'!S36,'TUoS (t-1)'!S36,'JSO (t-1)'!S36)</f>
        <v>0</v>
      </c>
      <c r="T36" s="461">
        <f>SUM('DUoS (t-1)'!T36,'TUoS (t-1)'!T36,'JSO (t-1)'!T36)</f>
        <v>0</v>
      </c>
      <c r="U36" s="480">
        <f>SUM('DUoS (t-1)'!U36,'TUoS (t-1)'!U36,'JSO (t-1)'!U36)</f>
        <v>0</v>
      </c>
      <c r="V36" s="481">
        <f>SUM('DUoS (t-1)'!V36,'TUoS (t-1)'!V36,'JSO (t-1)'!V36)</f>
        <v>0</v>
      </c>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53" si="13">H36*Y36</f>
        <v>0</v>
      </c>
      <c r="AQ36" s="178">
        <f t="shared" si="13"/>
        <v>0</v>
      </c>
      <c r="AR36" s="178">
        <f t="shared" si="13"/>
        <v>0</v>
      </c>
      <c r="AS36" s="179">
        <f t="shared" si="13"/>
        <v>0</v>
      </c>
      <c r="AT36" s="178">
        <f t="shared" si="13"/>
        <v>214.50000000000003</v>
      </c>
      <c r="AU36" s="178">
        <f t="shared" si="13"/>
        <v>0</v>
      </c>
      <c r="AV36" s="178">
        <f t="shared" si="13"/>
        <v>0</v>
      </c>
      <c r="AW36" s="179">
        <f t="shared" si="13"/>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214.50000000000003</v>
      </c>
      <c r="BK36" s="256">
        <f>SUM(AX36:BB36)</f>
        <v>0</v>
      </c>
      <c r="BL36" s="262">
        <f>SUM(BC36:BD36)</f>
        <v>0</v>
      </c>
      <c r="BM36" s="257">
        <f t="shared" si="5"/>
        <v>214.50000000000003</v>
      </c>
      <c r="BO36" s="714">
        <f t="shared" si="6"/>
        <v>71.500000000000014</v>
      </c>
    </row>
    <row r="37" spans="2:67" ht="15" customHeight="1" x14ac:dyDescent="0.25">
      <c r="B37" s="156">
        <f t="shared" si="12"/>
        <v>7</v>
      </c>
      <c r="C37" s="180" t="s">
        <v>73</v>
      </c>
      <c r="D37" s="181" t="str">
        <f>C37</f>
        <v>BCL</v>
      </c>
      <c r="E37" s="200" t="s">
        <v>74</v>
      </c>
      <c r="G37" s="477">
        <f>SUM('DUoS (t-1)'!G37,'TUoS (t-1)'!G37,'JSO (t-1)'!G37)</f>
        <v>0</v>
      </c>
      <c r="H37" s="479">
        <f>SUM('DUoS (t-1)'!H37,'TUoS (t-1)'!H37,'JSO (t-1)'!H37)</f>
        <v>0</v>
      </c>
      <c r="I37" s="461">
        <f>SUM('DUoS (t-1)'!I37,'TUoS (t-1)'!I37,'JSO (t-1)'!I37)</f>
        <v>0</v>
      </c>
      <c r="J37" s="461">
        <f>SUM('DUoS (t-1)'!J37,'TUoS (t-1)'!J37,'JSO (t-1)'!J37)</f>
        <v>0</v>
      </c>
      <c r="K37" s="462">
        <f>SUM('DUoS (t-1)'!K37,'TUoS (t-1)'!K37,'JSO (t-1)'!K37)</f>
        <v>0</v>
      </c>
      <c r="L37" s="483">
        <f>SUM('DUoS (t-1)'!L37,'TUoS (t-1)'!L37,'JSO (t-1)'!L37)</f>
        <v>7.1500000000000008E-2</v>
      </c>
      <c r="M37" s="461">
        <f>SUM('DUoS (t-1)'!M37,'TUoS (t-1)'!M37,'JSO (t-1)'!M37)</f>
        <v>0</v>
      </c>
      <c r="N37" s="461">
        <f>SUM('DUoS (t-1)'!N37,'TUoS (t-1)'!N37,'JSO (t-1)'!N37)</f>
        <v>0</v>
      </c>
      <c r="O37" s="462">
        <f>SUM('DUoS (t-1)'!O37,'TUoS (t-1)'!O37,'JSO (t-1)'!O37)</f>
        <v>0</v>
      </c>
      <c r="P37" s="461">
        <f>SUM('DUoS (t-1)'!P37,'TUoS (t-1)'!P37,'JSO (t-1)'!P37)</f>
        <v>0</v>
      </c>
      <c r="Q37" s="461">
        <f>SUM('DUoS (t-1)'!Q37,'TUoS (t-1)'!Q37,'JSO (t-1)'!Q37)</f>
        <v>0</v>
      </c>
      <c r="R37" s="462">
        <f>SUM('DUoS (t-1)'!R37,'TUoS (t-1)'!R37,'JSO (t-1)'!R37)</f>
        <v>0</v>
      </c>
      <c r="S37" s="479">
        <f>SUM('DUoS (t-1)'!S37,'TUoS (t-1)'!S37,'JSO (t-1)'!S37)</f>
        <v>0</v>
      </c>
      <c r="T37" s="461">
        <f>SUM('DUoS (t-1)'!T37,'TUoS (t-1)'!T37,'JSO (t-1)'!T37)</f>
        <v>0</v>
      </c>
      <c r="U37" s="480">
        <f>SUM('DUoS (t-1)'!U37,'TUoS (t-1)'!U37,'JSO (t-1)'!U37)</f>
        <v>0</v>
      </c>
      <c r="V37" s="481">
        <f>SUM('DUoS (t-1)'!V37,'TUoS (t-1)'!V37,'JSO (t-1)'!V37)</f>
        <v>0</v>
      </c>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3"/>
        <v>0</v>
      </c>
      <c r="AQ37" s="178">
        <f t="shared" si="13"/>
        <v>0</v>
      </c>
      <c r="AR37" s="178">
        <f t="shared" si="13"/>
        <v>0</v>
      </c>
      <c r="AS37" s="179">
        <f t="shared" si="13"/>
        <v>0</v>
      </c>
      <c r="AT37" s="178">
        <f t="shared" si="13"/>
        <v>0</v>
      </c>
      <c r="AU37" s="178">
        <f t="shared" si="13"/>
        <v>0</v>
      </c>
      <c r="AV37" s="178">
        <f t="shared" si="13"/>
        <v>0</v>
      </c>
      <c r="AW37" s="179">
        <f t="shared" si="13"/>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f>SUM('DUoS (t-1)'!G38,'TUoS (t-1)'!G38,'JSO (t-1)'!G38)</f>
        <v>0</v>
      </c>
      <c r="H38" s="479">
        <f>SUM('DUoS (t-1)'!H38,'TUoS (t-1)'!H38,'JSO (t-1)'!H38)</f>
        <v>0</v>
      </c>
      <c r="I38" s="461">
        <f>SUM('DUoS (t-1)'!I38,'TUoS (t-1)'!I38,'JSO (t-1)'!I38)</f>
        <v>0</v>
      </c>
      <c r="J38" s="461">
        <f>SUM('DUoS (t-1)'!J38,'TUoS (t-1)'!J38,'JSO (t-1)'!J38)</f>
        <v>0</v>
      </c>
      <c r="K38" s="462">
        <f>SUM('DUoS (t-1)'!K38,'TUoS (t-1)'!K38,'JSO (t-1)'!K38)</f>
        <v>0</v>
      </c>
      <c r="L38" s="461">
        <f>SUM('DUoS (t-1)'!L38,'TUoS (t-1)'!L38,'JSO (t-1)'!L38)</f>
        <v>0</v>
      </c>
      <c r="M38" s="461">
        <f>SUM('DUoS (t-1)'!M38,'TUoS (t-1)'!M38,'JSO (t-1)'!M38)</f>
        <v>0</v>
      </c>
      <c r="N38" s="461">
        <f>SUM('DUoS (t-1)'!N38,'TUoS (t-1)'!N38,'JSO (t-1)'!N38)</f>
        <v>0</v>
      </c>
      <c r="O38" s="462">
        <f>SUM('DUoS (t-1)'!O38,'TUoS (t-1)'!O38,'JSO (t-1)'!O38)</f>
        <v>0</v>
      </c>
      <c r="P38" s="461">
        <f>SUM('DUoS (t-1)'!P38,'TUoS (t-1)'!P38,'JSO (t-1)'!P38)</f>
        <v>0</v>
      </c>
      <c r="Q38" s="461">
        <f>SUM('DUoS (t-1)'!Q38,'TUoS (t-1)'!Q38,'JSO (t-1)'!Q38)</f>
        <v>0</v>
      </c>
      <c r="R38" s="462">
        <f>SUM('DUoS (t-1)'!R38,'TUoS (t-1)'!R38,'JSO (t-1)'!R38)</f>
        <v>0</v>
      </c>
      <c r="S38" s="479">
        <f>SUM('DUoS (t-1)'!S38,'TUoS (t-1)'!S38,'JSO (t-1)'!S38)</f>
        <v>0</v>
      </c>
      <c r="T38" s="461">
        <f>SUM('DUoS (t-1)'!T38,'TUoS (t-1)'!T38,'JSO (t-1)'!T38)</f>
        <v>0</v>
      </c>
      <c r="U38" s="479">
        <f>SUM('DUoS (t-1)'!U38,'TUoS (t-1)'!U38,'JSO (t-1)'!U38)</f>
        <v>0</v>
      </c>
      <c r="V38" s="462">
        <f>SUM('DUoS (t-1)'!V38,'TUoS (t-1)'!V38,'JSO (t-1)'!V38)</f>
        <v>0</v>
      </c>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3"/>
        <v>0</v>
      </c>
      <c r="AQ38" s="178">
        <f t="shared" si="13"/>
        <v>0</v>
      </c>
      <c r="AR38" s="178">
        <f t="shared" si="13"/>
        <v>0</v>
      </c>
      <c r="AS38" s="179">
        <f t="shared" si="13"/>
        <v>0</v>
      </c>
      <c r="AT38" s="178">
        <f t="shared" si="13"/>
        <v>0</v>
      </c>
      <c r="AU38" s="178">
        <f t="shared" si="13"/>
        <v>0</v>
      </c>
      <c r="AV38" s="178">
        <f t="shared" si="13"/>
        <v>0</v>
      </c>
      <c r="AW38" s="179">
        <f t="shared" si="13"/>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5139.5473339999999</v>
      </c>
      <c r="BI38" s="252">
        <f>SUBTOTAL(9,BI39:BI41)</f>
        <v>70080.490000000005</v>
      </c>
      <c r="BJ38" s="252">
        <f>SUBTOTAL(9,BJ39:BJ41)</f>
        <v>0</v>
      </c>
      <c r="BK38" s="252">
        <f>SUBTOTAL(9,BK39:BK41)</f>
        <v>3233.0323052000003</v>
      </c>
      <c r="BL38" s="252">
        <f>SUBTOTAL(9,BL39:BL41)</f>
        <v>0</v>
      </c>
      <c r="BM38" s="257">
        <f t="shared" si="5"/>
        <v>78453.06963920001</v>
      </c>
      <c r="BO38" s="714" t="str">
        <f t="shared" si="6"/>
        <v/>
      </c>
    </row>
    <row r="39" spans="2:67" ht="15" customHeight="1" x14ac:dyDescent="0.25">
      <c r="B39" s="156">
        <f>B37+1</f>
        <v>8</v>
      </c>
      <c r="C39" s="180" t="s">
        <v>76</v>
      </c>
      <c r="D39" s="181" t="str">
        <f>C39</f>
        <v>SBTOU</v>
      </c>
      <c r="E39" s="200" t="s">
        <v>77</v>
      </c>
      <c r="G39" s="477">
        <f>SUM('DUoS (t-1)'!G39,'TUoS (t-1)'!G39,'JSO (t-1)'!G39)</f>
        <v>0.50680000000000003</v>
      </c>
      <c r="H39" s="479">
        <f>SUM('DUoS (t-1)'!H39,'TUoS (t-1)'!H39,'JSO (t-1)'!H39)</f>
        <v>0</v>
      </c>
      <c r="I39" s="483">
        <f>SUM('DUoS (t-1)'!I39,'TUoS (t-1)'!I39,'JSO (t-1)'!I39)</f>
        <v>0.2253</v>
      </c>
      <c r="J39" s="483">
        <f>SUM('DUoS (t-1)'!J39,'TUoS (t-1)'!J39,'JSO (t-1)'!J39)</f>
        <v>0.15679999999999999</v>
      </c>
      <c r="K39" s="484">
        <f>SUM('DUoS (t-1)'!K39,'TUoS (t-1)'!K39,'JSO (t-1)'!K39)</f>
        <v>8.4599999999999995E-2</v>
      </c>
      <c r="L39" s="461">
        <f>SUM('DUoS (t-1)'!L39,'TUoS (t-1)'!L39,'JSO (t-1)'!L39)</f>
        <v>0</v>
      </c>
      <c r="M39" s="461">
        <f>SUM('DUoS (t-1)'!M39,'TUoS (t-1)'!M39,'JSO (t-1)'!M39)</f>
        <v>0</v>
      </c>
      <c r="N39" s="461">
        <f>SUM('DUoS (t-1)'!N39,'TUoS (t-1)'!N39,'JSO (t-1)'!N39)</f>
        <v>0</v>
      </c>
      <c r="O39" s="462">
        <f>SUM('DUoS (t-1)'!O39,'TUoS (t-1)'!O39,'JSO (t-1)'!O39)</f>
        <v>0</v>
      </c>
      <c r="P39" s="461">
        <f>SUM('DUoS (t-1)'!P39,'TUoS (t-1)'!P39,'JSO (t-1)'!P39)</f>
        <v>0</v>
      </c>
      <c r="Q39" s="461">
        <f>SUM('DUoS (t-1)'!Q39,'TUoS (t-1)'!Q39,'JSO (t-1)'!Q39)</f>
        <v>0</v>
      </c>
      <c r="R39" s="462">
        <f>SUM('DUoS (t-1)'!R39,'TUoS (t-1)'!R39,'JSO (t-1)'!R39)</f>
        <v>0</v>
      </c>
      <c r="S39" s="479">
        <f>SUM('DUoS (t-1)'!S39,'TUoS (t-1)'!S39,'JSO (t-1)'!S39)</f>
        <v>0</v>
      </c>
      <c r="T39" s="461">
        <f>SUM('DUoS (t-1)'!T39,'TUoS (t-1)'!T39,'JSO (t-1)'!T39)</f>
        <v>0</v>
      </c>
      <c r="U39" s="480">
        <f>SUM('DUoS (t-1)'!U39,'TUoS (t-1)'!U39,'JSO (t-1)'!U39)</f>
        <v>0</v>
      </c>
      <c r="V39" s="481">
        <f>SUM('DUoS (t-1)'!V39,'TUoS (t-1)'!V39,'JSO (t-1)'!V39)</f>
        <v>0</v>
      </c>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4153.2158639999998</v>
      </c>
      <c r="AP39" s="184">
        <f t="shared" si="13"/>
        <v>0</v>
      </c>
      <c r="AQ39" s="178">
        <f t="shared" si="13"/>
        <v>7299.72</v>
      </c>
      <c r="AR39" s="178">
        <f t="shared" si="13"/>
        <v>36299.199999999997</v>
      </c>
      <c r="AS39" s="179">
        <f t="shared" si="13"/>
        <v>17292.239999999998</v>
      </c>
      <c r="AT39" s="178">
        <f t="shared" si="13"/>
        <v>0</v>
      </c>
      <c r="AU39" s="178">
        <f t="shared" si="13"/>
        <v>0</v>
      </c>
      <c r="AV39" s="178">
        <f t="shared" si="13"/>
        <v>0</v>
      </c>
      <c r="AW39" s="179">
        <f t="shared" si="13"/>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4153.2158639999998</v>
      </c>
      <c r="BI39" s="255">
        <f>SUM(AP39:AS39)</f>
        <v>60891.159999999996</v>
      </c>
      <c r="BJ39" s="255">
        <f>SUM(AT39:AW39)</f>
        <v>0</v>
      </c>
      <c r="BK39" s="256">
        <f>SUM(AX39:BB39)</f>
        <v>0</v>
      </c>
      <c r="BL39" s="262">
        <f>SUM(BC39:BD39)</f>
        <v>0</v>
      </c>
      <c r="BM39" s="257">
        <f t="shared" si="5"/>
        <v>65044.375863999994</v>
      </c>
      <c r="BO39" s="714">
        <f t="shared" si="6"/>
        <v>138.8946740636344</v>
      </c>
    </row>
    <row r="40" spans="2:67" ht="15" customHeight="1" x14ac:dyDescent="0.25">
      <c r="B40" s="156">
        <f t="shared" si="12"/>
        <v>9</v>
      </c>
      <c r="C40" s="180" t="s">
        <v>78</v>
      </c>
      <c r="D40" s="181" t="str">
        <f>C40</f>
        <v>SBTOUD</v>
      </c>
      <c r="E40" s="200" t="s">
        <v>79</v>
      </c>
      <c r="G40" s="477">
        <f>SUM('DUoS (t-1)'!G40,'TUoS (t-1)'!G40,'JSO (t-1)'!G40)</f>
        <v>0.50680000000000003</v>
      </c>
      <c r="H40" s="479">
        <f>SUM('DUoS (t-1)'!H40,'TUoS (t-1)'!H40,'JSO (t-1)'!H40)</f>
        <v>0</v>
      </c>
      <c r="I40" s="483">
        <f>SUM('DUoS (t-1)'!I40,'TUoS (t-1)'!I40,'JSO (t-1)'!I40)</f>
        <v>0.18029999999999999</v>
      </c>
      <c r="J40" s="483">
        <f>SUM('DUoS (t-1)'!J40,'TUoS (t-1)'!J40,'JSO (t-1)'!J40)</f>
        <v>0.12540000000000001</v>
      </c>
      <c r="K40" s="484">
        <f>SUM('DUoS (t-1)'!K40,'TUoS (t-1)'!K40,'JSO (t-1)'!K40)</f>
        <v>6.7699999999999996E-2</v>
      </c>
      <c r="L40" s="461">
        <f>SUM('DUoS (t-1)'!L40,'TUoS (t-1)'!L40,'JSO (t-1)'!L40)</f>
        <v>0</v>
      </c>
      <c r="M40" s="461">
        <f>SUM('DUoS (t-1)'!M40,'TUoS (t-1)'!M40,'JSO (t-1)'!M40)</f>
        <v>0</v>
      </c>
      <c r="N40" s="461">
        <f>SUM('DUoS (t-1)'!N40,'TUoS (t-1)'!N40,'JSO (t-1)'!N40)</f>
        <v>0</v>
      </c>
      <c r="O40" s="462">
        <f>SUM('DUoS (t-1)'!O40,'TUoS (t-1)'!O40,'JSO (t-1)'!O40)</f>
        <v>0</v>
      </c>
      <c r="P40" s="461">
        <f>SUM('DUoS (t-1)'!P40,'TUoS (t-1)'!P40,'JSO (t-1)'!P40)</f>
        <v>0</v>
      </c>
      <c r="Q40" s="461">
        <f>SUM('DUoS (t-1)'!Q40,'TUoS (t-1)'!Q40,'JSO (t-1)'!Q40)</f>
        <v>0</v>
      </c>
      <c r="R40" s="462">
        <f>SUM('DUoS (t-1)'!R40,'TUoS (t-1)'!R40,'JSO (t-1)'!R40)</f>
        <v>0</v>
      </c>
      <c r="S40" s="479">
        <f>SUM('DUoS (t-1)'!S40,'TUoS (t-1)'!S40,'JSO (t-1)'!S40)</f>
        <v>0</v>
      </c>
      <c r="T40" s="483">
        <f>SUM('DUoS (t-1)'!T40,'TUoS (t-1)'!T40,'JSO (t-1)'!T40)</f>
        <v>8.14E-2</v>
      </c>
      <c r="U40" s="480">
        <f>SUM('DUoS (t-1)'!U40,'TUoS (t-1)'!U40,'JSO (t-1)'!U40)</f>
        <v>0</v>
      </c>
      <c r="V40" s="481">
        <f>SUM('DUoS (t-1)'!V40,'TUoS (t-1)'!V40,'JSO (t-1)'!V40)</f>
        <v>0</v>
      </c>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288.016974</v>
      </c>
      <c r="AP40" s="184">
        <f t="shared" si="13"/>
        <v>0</v>
      </c>
      <c r="AQ40" s="178">
        <f t="shared" si="13"/>
        <v>847.41</v>
      </c>
      <c r="AR40" s="178">
        <f t="shared" si="13"/>
        <v>5116.3200000000006</v>
      </c>
      <c r="AS40" s="179">
        <f t="shared" si="13"/>
        <v>1868.52</v>
      </c>
      <c r="AT40" s="178">
        <f t="shared" si="13"/>
        <v>0</v>
      </c>
      <c r="AU40" s="178">
        <f t="shared" si="13"/>
        <v>0</v>
      </c>
      <c r="AV40" s="178">
        <f t="shared" si="13"/>
        <v>0</v>
      </c>
      <c r="AW40" s="179">
        <f t="shared" si="13"/>
        <v>0</v>
      </c>
      <c r="AX40" s="178">
        <f t="shared" si="1"/>
        <v>0</v>
      </c>
      <c r="AY40" s="178">
        <f t="shared" si="1"/>
        <v>0</v>
      </c>
      <c r="AZ40" s="179">
        <f t="shared" si="1"/>
        <v>0</v>
      </c>
      <c r="BA40" s="184">
        <f t="shared" si="1"/>
        <v>0</v>
      </c>
      <c r="BB40" s="178">
        <f t="shared" si="1"/>
        <v>2276.189421</v>
      </c>
      <c r="BC40" s="184">
        <f t="shared" si="1"/>
        <v>0</v>
      </c>
      <c r="BD40" s="178">
        <f t="shared" si="1"/>
        <v>0</v>
      </c>
      <c r="BE40" s="244">
        <f t="shared" si="3"/>
        <v>1557</v>
      </c>
      <c r="BF40" s="245">
        <f t="shared" si="4"/>
        <v>73100</v>
      </c>
      <c r="BH40" s="255">
        <f>SUM(AO40)</f>
        <v>288.016974</v>
      </c>
      <c r="BI40" s="255">
        <f>SUM(AP40:AS40)</f>
        <v>7832.25</v>
      </c>
      <c r="BJ40" s="255">
        <f>SUM(AT40:AW40)</f>
        <v>0</v>
      </c>
      <c r="BK40" s="256">
        <f>SUM(AX40:BB40)</f>
        <v>2276.189421</v>
      </c>
      <c r="BL40" s="262">
        <f>SUM(BC40:BD40)</f>
        <v>0</v>
      </c>
      <c r="BM40" s="257">
        <f t="shared" si="5"/>
        <v>10396.456395000001</v>
      </c>
      <c r="BO40" s="714">
        <f t="shared" si="6"/>
        <v>142.22238570451438</v>
      </c>
    </row>
    <row r="41" spans="2:67" ht="15" customHeight="1" x14ac:dyDescent="0.25">
      <c r="B41" s="162">
        <f t="shared" si="12"/>
        <v>10</v>
      </c>
      <c r="C41" s="187" t="s">
        <v>80</v>
      </c>
      <c r="D41" s="188" t="str">
        <f>C41</f>
        <v>SBD</v>
      </c>
      <c r="E41" s="203" t="s">
        <v>81</v>
      </c>
      <c r="G41" s="485">
        <f>SUM('DUoS (t-1)'!G41,'TUoS (t-1)'!G41,'JSO (t-1)'!G41)</f>
        <v>2.7808000000000002</v>
      </c>
      <c r="H41" s="486">
        <f>SUM('DUoS (t-1)'!H41,'TUoS (t-1)'!H41,'JSO (t-1)'!H41)</f>
        <v>7.8899999999999998E-2</v>
      </c>
      <c r="I41" s="487">
        <f>SUM('DUoS (t-1)'!I41,'TUoS (t-1)'!I41,'JSO (t-1)'!I41)</f>
        <v>0</v>
      </c>
      <c r="J41" s="487">
        <f>SUM('DUoS (t-1)'!J41,'TUoS (t-1)'!J41,'JSO (t-1)'!J41)</f>
        <v>0</v>
      </c>
      <c r="K41" s="488">
        <f>SUM('DUoS (t-1)'!K41,'TUoS (t-1)'!K41,'JSO (t-1)'!K41)</f>
        <v>0</v>
      </c>
      <c r="L41" s="487">
        <f>SUM('DUoS (t-1)'!L41,'TUoS (t-1)'!L41,'JSO (t-1)'!L41)</f>
        <v>0</v>
      </c>
      <c r="M41" s="487">
        <f>SUM('DUoS (t-1)'!M41,'TUoS (t-1)'!M41,'JSO (t-1)'!M41)</f>
        <v>0</v>
      </c>
      <c r="N41" s="487">
        <f>SUM('DUoS (t-1)'!N41,'TUoS (t-1)'!N41,'JSO (t-1)'!N41)</f>
        <v>0</v>
      </c>
      <c r="O41" s="488">
        <f>SUM('DUoS (t-1)'!O41,'TUoS (t-1)'!O41,'JSO (t-1)'!O41)</f>
        <v>0</v>
      </c>
      <c r="P41" s="487">
        <f>SUM('DUoS (t-1)'!P41,'TUoS (t-1)'!P41,'JSO (t-1)'!P41)</f>
        <v>0</v>
      </c>
      <c r="Q41" s="489">
        <f>SUM('DUoS (t-1)'!Q41,'TUoS (t-1)'!Q41,'JSO (t-1)'!Q41)</f>
        <v>0.3962</v>
      </c>
      <c r="R41" s="490">
        <f>SUM('DUoS (t-1)'!R41,'TUoS (t-1)'!R41,'JSO (t-1)'!R41)</f>
        <v>0.19600000000000001</v>
      </c>
      <c r="S41" s="491">
        <f>SUM('DUoS (t-1)'!S41,'TUoS (t-1)'!S41,'JSO (t-1)'!S41)</f>
        <v>0</v>
      </c>
      <c r="T41" s="487">
        <f>SUM('DUoS (t-1)'!T41,'TUoS (t-1)'!T41,'JSO (t-1)'!T41)</f>
        <v>0</v>
      </c>
      <c r="U41" s="492">
        <f>SUM('DUoS (t-1)'!U41,'TUoS (t-1)'!U41,'JSO (t-1)'!U41)</f>
        <v>0</v>
      </c>
      <c r="V41" s="493">
        <f>SUM('DUoS (t-1)'!V41,'TUoS (t-1)'!V41,'JSO (t-1)'!V41)</f>
        <v>0</v>
      </c>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698.31449600000008</v>
      </c>
      <c r="AP41" s="197">
        <f t="shared" si="13"/>
        <v>1357.08</v>
      </c>
      <c r="AQ41" s="192">
        <f t="shared" si="13"/>
        <v>0</v>
      </c>
      <c r="AR41" s="192">
        <f t="shared" si="13"/>
        <v>0</v>
      </c>
      <c r="AS41" s="193">
        <f t="shared" si="13"/>
        <v>0</v>
      </c>
      <c r="AT41" s="192">
        <f t="shared" si="13"/>
        <v>0</v>
      </c>
      <c r="AU41" s="192">
        <f t="shared" si="13"/>
        <v>0</v>
      </c>
      <c r="AV41" s="192">
        <f t="shared" si="13"/>
        <v>0</v>
      </c>
      <c r="AW41" s="193">
        <f t="shared" si="13"/>
        <v>0</v>
      </c>
      <c r="AX41" s="192">
        <f t="shared" si="1"/>
        <v>0</v>
      </c>
      <c r="AY41" s="192">
        <f t="shared" si="1"/>
        <v>424.22758419999997</v>
      </c>
      <c r="AZ41" s="193">
        <f t="shared" si="1"/>
        <v>532.61530000000005</v>
      </c>
      <c r="BA41" s="197">
        <f t="shared" si="1"/>
        <v>0</v>
      </c>
      <c r="BB41" s="192">
        <f t="shared" si="1"/>
        <v>0</v>
      </c>
      <c r="BC41" s="197">
        <f t="shared" si="1"/>
        <v>0</v>
      </c>
      <c r="BD41" s="192">
        <f t="shared" si="1"/>
        <v>0</v>
      </c>
      <c r="BE41" s="246">
        <f t="shared" si="3"/>
        <v>688</v>
      </c>
      <c r="BF41" s="247">
        <f t="shared" si="4"/>
        <v>17200</v>
      </c>
      <c r="BH41" s="255">
        <f>SUM(AO41)</f>
        <v>698.31449600000008</v>
      </c>
      <c r="BI41" s="255">
        <f>SUM(AP41:AS41)</f>
        <v>1357.08</v>
      </c>
      <c r="BJ41" s="255">
        <f>SUM(AT41:AW41)</f>
        <v>0</v>
      </c>
      <c r="BK41" s="256">
        <f>SUM(AX41:BB41)</f>
        <v>956.84288420000007</v>
      </c>
      <c r="BL41" s="262">
        <f>SUM(BC41:BD41)</f>
        <v>0</v>
      </c>
      <c r="BM41" s="257">
        <f t="shared" si="5"/>
        <v>3012.2373802000002</v>
      </c>
      <c r="BO41" s="714">
        <f t="shared" si="6"/>
        <v>175.13008024418605</v>
      </c>
    </row>
    <row r="42" spans="2:67" ht="15" customHeight="1" x14ac:dyDescent="0.25">
      <c r="B42" s="30" t="s">
        <v>82</v>
      </c>
      <c r="C42" s="14" t="s">
        <v>83</v>
      </c>
      <c r="D42" s="14"/>
      <c r="E42" s="99"/>
      <c r="G42" s="494">
        <f>SUM('DUoS (t-1)'!G42,'TUoS (t-1)'!G42,'JSO (t-1)'!G42)</f>
        <v>0</v>
      </c>
      <c r="H42" s="495">
        <f>SUM('DUoS (t-1)'!H42,'TUoS (t-1)'!H42,'JSO (t-1)'!H42)</f>
        <v>0</v>
      </c>
      <c r="I42" s="496">
        <f>SUM('DUoS (t-1)'!I42,'TUoS (t-1)'!I42,'JSO (t-1)'!I42)</f>
        <v>0</v>
      </c>
      <c r="J42" s="496">
        <f>SUM('DUoS (t-1)'!J42,'TUoS (t-1)'!J42,'JSO (t-1)'!J42)</f>
        <v>0</v>
      </c>
      <c r="K42" s="497">
        <f>SUM('DUoS (t-1)'!K42,'TUoS (t-1)'!K42,'JSO (t-1)'!K42)</f>
        <v>0</v>
      </c>
      <c r="L42" s="496">
        <f>SUM('DUoS (t-1)'!L42,'TUoS (t-1)'!L42,'JSO (t-1)'!L42)</f>
        <v>0</v>
      </c>
      <c r="M42" s="496">
        <f>SUM('DUoS (t-1)'!M42,'TUoS (t-1)'!M42,'JSO (t-1)'!M42)</f>
        <v>0</v>
      </c>
      <c r="N42" s="496">
        <f>SUM('DUoS (t-1)'!N42,'TUoS (t-1)'!N42,'JSO (t-1)'!N42)</f>
        <v>0</v>
      </c>
      <c r="O42" s="497">
        <f>SUM('DUoS (t-1)'!O42,'TUoS (t-1)'!O42,'JSO (t-1)'!O42)</f>
        <v>0</v>
      </c>
      <c r="P42" s="496">
        <f>SUM('DUoS (t-1)'!P42,'TUoS (t-1)'!P42,'JSO (t-1)'!P42)</f>
        <v>0</v>
      </c>
      <c r="Q42" s="496">
        <f>SUM('DUoS (t-1)'!Q42,'TUoS (t-1)'!Q42,'JSO (t-1)'!Q42)</f>
        <v>0</v>
      </c>
      <c r="R42" s="497">
        <f>SUM('DUoS (t-1)'!R42,'TUoS (t-1)'!R42,'JSO (t-1)'!R42)</f>
        <v>0</v>
      </c>
      <c r="S42" s="495">
        <f>SUM('DUoS (t-1)'!S42,'TUoS (t-1)'!S42,'JSO (t-1)'!S42)</f>
        <v>0</v>
      </c>
      <c r="T42" s="496">
        <f>SUM('DUoS (t-1)'!T42,'TUoS (t-1)'!T42,'JSO (t-1)'!T42)</f>
        <v>0</v>
      </c>
      <c r="U42" s="495">
        <f>SUM('DUoS (t-1)'!U42,'TUoS (t-1)'!U42,'JSO (t-1)'!U42)</f>
        <v>0</v>
      </c>
      <c r="V42" s="497">
        <f>SUM('DUoS (t-1)'!V42,'TUoS (t-1)'!V42,'JSO (t-1)'!V42)</f>
        <v>0</v>
      </c>
      <c r="X42" s="205"/>
      <c r="Y42" s="206"/>
      <c r="Z42" s="207"/>
      <c r="AA42" s="207"/>
      <c r="AB42" s="208"/>
      <c r="AC42" s="207"/>
      <c r="AD42" s="207"/>
      <c r="AE42" s="207"/>
      <c r="AF42" s="208"/>
      <c r="AG42" s="207"/>
      <c r="AH42" s="207"/>
      <c r="AI42" s="208"/>
      <c r="AJ42" s="206"/>
      <c r="AK42" s="207"/>
      <c r="AL42" s="206"/>
      <c r="AM42" s="208"/>
      <c r="AO42" s="205">
        <f t="shared" si="2"/>
        <v>0</v>
      </c>
      <c r="AP42" s="206">
        <f t="shared" si="13"/>
        <v>0</v>
      </c>
      <c r="AQ42" s="207">
        <f t="shared" si="13"/>
        <v>0</v>
      </c>
      <c r="AR42" s="207">
        <f t="shared" si="13"/>
        <v>0</v>
      </c>
      <c r="AS42" s="208">
        <f t="shared" si="13"/>
        <v>0</v>
      </c>
      <c r="AT42" s="207">
        <f t="shared" si="13"/>
        <v>0</v>
      </c>
      <c r="AU42" s="207">
        <f t="shared" si="13"/>
        <v>0</v>
      </c>
      <c r="AV42" s="207">
        <f t="shared" si="13"/>
        <v>0</v>
      </c>
      <c r="AW42" s="208">
        <f t="shared" si="13"/>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13418.970229999999</v>
      </c>
      <c r="BI42" s="253">
        <f>SUBTOTAL(9,BI43:BI69)</f>
        <v>143363.55980000005</v>
      </c>
      <c r="BJ42" s="253">
        <f>SUBTOTAL(9,BJ43:BJ69)</f>
        <v>0</v>
      </c>
      <c r="BK42" s="253">
        <f>SUBTOTAL(9,BK43:BK69)</f>
        <v>98453.707972499964</v>
      </c>
      <c r="BL42" s="253">
        <f>SUBTOTAL(9,BL43:BL69)</f>
        <v>0</v>
      </c>
      <c r="BM42" s="257">
        <f t="shared" si="5"/>
        <v>255236.23800250003</v>
      </c>
      <c r="BO42" s="714" t="str">
        <f t="shared" si="6"/>
        <v/>
      </c>
    </row>
    <row r="43" spans="2:67" ht="15" customHeight="1" x14ac:dyDescent="0.25">
      <c r="B43" s="19"/>
      <c r="C43" s="36" t="s">
        <v>84</v>
      </c>
      <c r="D43" s="37"/>
      <c r="E43" s="85"/>
      <c r="G43" s="482">
        <f>SUM('DUoS (t-1)'!G43,'TUoS (t-1)'!G43,'JSO (t-1)'!G43)</f>
        <v>0</v>
      </c>
      <c r="H43" s="479">
        <f>SUM('DUoS (t-1)'!H43,'TUoS (t-1)'!H43,'JSO (t-1)'!H43)</f>
        <v>0</v>
      </c>
      <c r="I43" s="461">
        <f>SUM('DUoS (t-1)'!I43,'TUoS (t-1)'!I43,'JSO (t-1)'!I43)</f>
        <v>0</v>
      </c>
      <c r="J43" s="461">
        <f>SUM('DUoS (t-1)'!J43,'TUoS (t-1)'!J43,'JSO (t-1)'!J43)</f>
        <v>0</v>
      </c>
      <c r="K43" s="462">
        <f>SUM('DUoS (t-1)'!K43,'TUoS (t-1)'!K43,'JSO (t-1)'!K43)</f>
        <v>0</v>
      </c>
      <c r="L43" s="461">
        <f>SUM('DUoS (t-1)'!L43,'TUoS (t-1)'!L43,'JSO (t-1)'!L43)</f>
        <v>0</v>
      </c>
      <c r="M43" s="461">
        <f>SUM('DUoS (t-1)'!M43,'TUoS (t-1)'!M43,'JSO (t-1)'!M43)</f>
        <v>0</v>
      </c>
      <c r="N43" s="461">
        <f>SUM('DUoS (t-1)'!N43,'TUoS (t-1)'!N43,'JSO (t-1)'!N43)</f>
        <v>0</v>
      </c>
      <c r="O43" s="462">
        <f>SUM('DUoS (t-1)'!O43,'TUoS (t-1)'!O43,'JSO (t-1)'!O43)</f>
        <v>0</v>
      </c>
      <c r="P43" s="461">
        <f>SUM('DUoS (t-1)'!P43,'TUoS (t-1)'!P43,'JSO (t-1)'!P43)</f>
        <v>0</v>
      </c>
      <c r="Q43" s="461">
        <f>SUM('DUoS (t-1)'!Q43,'TUoS (t-1)'!Q43,'JSO (t-1)'!Q43)</f>
        <v>0</v>
      </c>
      <c r="R43" s="462">
        <f>SUM('DUoS (t-1)'!R43,'TUoS (t-1)'!R43,'JSO (t-1)'!R43)</f>
        <v>0</v>
      </c>
      <c r="S43" s="479">
        <f>SUM('DUoS (t-1)'!S43,'TUoS (t-1)'!S43,'JSO (t-1)'!S43)</f>
        <v>0</v>
      </c>
      <c r="T43" s="461">
        <f>SUM('DUoS (t-1)'!T43,'TUoS (t-1)'!T43,'JSO (t-1)'!T43)</f>
        <v>0</v>
      </c>
      <c r="U43" s="479">
        <f>SUM('DUoS (t-1)'!U43,'TUoS (t-1)'!U43,'JSO (t-1)'!U43)</f>
        <v>0</v>
      </c>
      <c r="V43" s="462">
        <f>SUM('DUoS (t-1)'!V43,'TUoS (t-1)'!V43,'JSO (t-1)'!V43)</f>
        <v>0</v>
      </c>
      <c r="X43" s="183"/>
      <c r="Y43" s="184"/>
      <c r="Z43" s="178"/>
      <c r="AA43" s="178"/>
      <c r="AB43" s="179"/>
      <c r="AC43" s="178"/>
      <c r="AD43" s="178"/>
      <c r="AE43" s="178"/>
      <c r="AF43" s="179"/>
      <c r="AG43" s="178"/>
      <c r="AH43" s="178"/>
      <c r="AI43" s="179"/>
      <c r="AJ43" s="184"/>
      <c r="AK43" s="178"/>
      <c r="AL43" s="184"/>
      <c r="AM43" s="179"/>
      <c r="AO43" s="183">
        <f t="shared" si="2"/>
        <v>0</v>
      </c>
      <c r="AP43" s="184">
        <f t="shared" si="13"/>
        <v>0</v>
      </c>
      <c r="AQ43" s="178">
        <f t="shared" si="13"/>
        <v>0</v>
      </c>
      <c r="AR43" s="178">
        <f t="shared" si="13"/>
        <v>0</v>
      </c>
      <c r="AS43" s="179">
        <f t="shared" si="13"/>
        <v>0</v>
      </c>
      <c r="AT43" s="178">
        <f t="shared" si="13"/>
        <v>0</v>
      </c>
      <c r="AU43" s="178">
        <f t="shared" si="13"/>
        <v>0</v>
      </c>
      <c r="AV43" s="178">
        <f t="shared" si="13"/>
        <v>0</v>
      </c>
      <c r="AW43" s="179">
        <f t="shared" si="13"/>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4">B43+1</f>
        <v>1</v>
      </c>
      <c r="C44" s="44" t="s">
        <v>85</v>
      </c>
      <c r="D44" s="45" t="str">
        <f>C44</f>
        <v>LBSR</v>
      </c>
      <c r="E44" s="76" t="s">
        <v>86</v>
      </c>
      <c r="G44" s="477">
        <f>SUM('DUoS (t-1)'!G44,'TUoS (t-1)'!G44,'JSO (t-1)'!G44)</f>
        <v>0.50680000000000003</v>
      </c>
      <c r="H44" s="478">
        <f>SUM('DUoS (t-1)'!H44,'TUoS (t-1)'!H44,'JSO (t-1)'!H44)</f>
        <v>0.18029999999999999</v>
      </c>
      <c r="I44" s="461">
        <f>SUM('DUoS (t-1)'!I44,'TUoS (t-1)'!I44,'JSO (t-1)'!I44)</f>
        <v>0</v>
      </c>
      <c r="J44" s="461">
        <f>SUM('DUoS (t-1)'!J44,'TUoS (t-1)'!J44,'JSO (t-1)'!J44)</f>
        <v>0</v>
      </c>
      <c r="K44" s="462">
        <f>SUM('DUoS (t-1)'!K44,'TUoS (t-1)'!K44,'JSO (t-1)'!K44)</f>
        <v>0</v>
      </c>
      <c r="L44" s="461">
        <f>SUM('DUoS (t-1)'!L44,'TUoS (t-1)'!L44,'JSO (t-1)'!L44)</f>
        <v>0</v>
      </c>
      <c r="M44" s="461">
        <f>SUM('DUoS (t-1)'!M44,'TUoS (t-1)'!M44,'JSO (t-1)'!M44)</f>
        <v>0</v>
      </c>
      <c r="N44" s="461">
        <f>SUM('DUoS (t-1)'!N44,'TUoS (t-1)'!N44,'JSO (t-1)'!N44)</f>
        <v>0</v>
      </c>
      <c r="O44" s="462">
        <f>SUM('DUoS (t-1)'!O44,'TUoS (t-1)'!O44,'JSO (t-1)'!O44)</f>
        <v>0</v>
      </c>
      <c r="P44" s="461">
        <f>SUM('DUoS (t-1)'!P44,'TUoS (t-1)'!P44,'JSO (t-1)'!P44)</f>
        <v>0</v>
      </c>
      <c r="Q44" s="461">
        <f>SUM('DUoS (t-1)'!Q44,'TUoS (t-1)'!Q44,'JSO (t-1)'!Q44)</f>
        <v>0</v>
      </c>
      <c r="R44" s="462">
        <f>SUM('DUoS (t-1)'!R44,'TUoS (t-1)'!R44,'JSO (t-1)'!R44)</f>
        <v>0</v>
      </c>
      <c r="S44" s="479">
        <f>SUM('DUoS (t-1)'!S44,'TUoS (t-1)'!S44,'JSO (t-1)'!S44)</f>
        <v>0</v>
      </c>
      <c r="T44" s="461">
        <f>SUM('DUoS (t-1)'!T44,'TUoS (t-1)'!T44,'JSO (t-1)'!T44)</f>
        <v>0</v>
      </c>
      <c r="U44" s="480">
        <f>SUM('DUoS (t-1)'!U44,'TUoS (t-1)'!U44,'JSO (t-1)'!U44)</f>
        <v>0</v>
      </c>
      <c r="V44" s="481">
        <f>SUM('DUoS (t-1)'!V44,'TUoS (t-1)'!V44,'JSO (t-1)'!V44)</f>
        <v>0</v>
      </c>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3"/>
        <v>0</v>
      </c>
      <c r="AQ44" s="178">
        <f t="shared" si="13"/>
        <v>0</v>
      </c>
      <c r="AR44" s="178">
        <f t="shared" si="13"/>
        <v>0</v>
      </c>
      <c r="AS44" s="179">
        <f t="shared" si="13"/>
        <v>0</v>
      </c>
      <c r="AT44" s="178">
        <f t="shared" si="13"/>
        <v>0</v>
      </c>
      <c r="AU44" s="178">
        <f t="shared" si="13"/>
        <v>0</v>
      </c>
      <c r="AV44" s="178">
        <f t="shared" si="13"/>
        <v>0</v>
      </c>
      <c r="AW44" s="179">
        <f t="shared" si="13"/>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4"/>
        <v>2</v>
      </c>
      <c r="C45" s="44" t="s">
        <v>87</v>
      </c>
      <c r="D45" s="45" t="str">
        <f>C45</f>
        <v>LBSRCL</v>
      </c>
      <c r="E45" s="76" t="s">
        <v>88</v>
      </c>
      <c r="G45" s="477">
        <f>SUM('DUoS (t-1)'!G45,'TUoS (t-1)'!G45,'JSO (t-1)'!G45)</f>
        <v>0.50680000000000003</v>
      </c>
      <c r="H45" s="478">
        <f>SUM('DUoS (t-1)'!H45,'TUoS (t-1)'!H45,'JSO (t-1)'!H45)</f>
        <v>0.18029999999999999</v>
      </c>
      <c r="I45" s="461">
        <f>SUM('DUoS (t-1)'!I45,'TUoS (t-1)'!I45,'JSO (t-1)'!I45)</f>
        <v>0</v>
      </c>
      <c r="J45" s="461">
        <f>SUM('DUoS (t-1)'!J45,'TUoS (t-1)'!J45,'JSO (t-1)'!J45)</f>
        <v>0</v>
      </c>
      <c r="K45" s="462">
        <f>SUM('DUoS (t-1)'!K45,'TUoS (t-1)'!K45,'JSO (t-1)'!K45)</f>
        <v>0</v>
      </c>
      <c r="L45" s="483">
        <f>SUM('DUoS (t-1)'!L45,'TUoS (t-1)'!L45,'JSO (t-1)'!L45)</f>
        <v>7.1500000000000008E-2</v>
      </c>
      <c r="M45" s="461">
        <f>SUM('DUoS (t-1)'!M45,'TUoS (t-1)'!M45,'JSO (t-1)'!M45)</f>
        <v>0</v>
      </c>
      <c r="N45" s="461">
        <f>SUM('DUoS (t-1)'!N45,'TUoS (t-1)'!N45,'JSO (t-1)'!N45)</f>
        <v>0</v>
      </c>
      <c r="O45" s="462">
        <f>SUM('DUoS (t-1)'!O45,'TUoS (t-1)'!O45,'JSO (t-1)'!O45)</f>
        <v>0</v>
      </c>
      <c r="P45" s="461">
        <f>SUM('DUoS (t-1)'!P45,'TUoS (t-1)'!P45,'JSO (t-1)'!P45)</f>
        <v>0</v>
      </c>
      <c r="Q45" s="461">
        <f>SUM('DUoS (t-1)'!Q45,'TUoS (t-1)'!Q45,'JSO (t-1)'!Q45)</f>
        <v>0</v>
      </c>
      <c r="R45" s="462">
        <f>SUM('DUoS (t-1)'!R45,'TUoS (t-1)'!R45,'JSO (t-1)'!R45)</f>
        <v>0</v>
      </c>
      <c r="S45" s="479">
        <f>SUM('DUoS (t-1)'!S45,'TUoS (t-1)'!S45,'JSO (t-1)'!S45)</f>
        <v>0</v>
      </c>
      <c r="T45" s="461">
        <f>SUM('DUoS (t-1)'!T45,'TUoS (t-1)'!T45,'JSO (t-1)'!T45)</f>
        <v>0</v>
      </c>
      <c r="U45" s="480">
        <f>SUM('DUoS (t-1)'!U45,'TUoS (t-1)'!U45,'JSO (t-1)'!U45)</f>
        <v>0</v>
      </c>
      <c r="V45" s="481">
        <f>SUM('DUoS (t-1)'!V45,'TUoS (t-1)'!V45,'JSO (t-1)'!V45)</f>
        <v>0</v>
      </c>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3"/>
        <v>0</v>
      </c>
      <c r="AQ45" s="178">
        <f t="shared" si="13"/>
        <v>0</v>
      </c>
      <c r="AR45" s="178">
        <f t="shared" si="13"/>
        <v>0</v>
      </c>
      <c r="AS45" s="179">
        <f t="shared" si="13"/>
        <v>0</v>
      </c>
      <c r="AT45" s="178">
        <f t="shared" si="13"/>
        <v>0</v>
      </c>
      <c r="AU45" s="178">
        <f t="shared" si="13"/>
        <v>0</v>
      </c>
      <c r="AV45" s="178">
        <f t="shared" si="13"/>
        <v>0</v>
      </c>
      <c r="AW45" s="179">
        <f t="shared" si="13"/>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4"/>
        <v>3</v>
      </c>
      <c r="C46" s="44" t="s">
        <v>89</v>
      </c>
      <c r="D46" s="45" t="str">
        <f>C46</f>
        <v>LB2R</v>
      </c>
      <c r="E46" s="76" t="s">
        <v>90</v>
      </c>
      <c r="G46" s="477">
        <f>SUM('DUoS (t-1)'!G46,'TUoS (t-1)'!G46,'JSO (t-1)'!G46)</f>
        <v>0.50680000000000003</v>
      </c>
      <c r="H46" s="479">
        <f>SUM('DUoS (t-1)'!H46,'TUoS (t-1)'!H46,'JSO (t-1)'!H46)</f>
        <v>0</v>
      </c>
      <c r="I46" s="483">
        <f>SUM('DUoS (t-1)'!I46,'TUoS (t-1)'!I46,'JSO (t-1)'!I46)</f>
        <v>0.20319999999999999</v>
      </c>
      <c r="J46" s="461">
        <f>SUM('DUoS (t-1)'!J46,'TUoS (t-1)'!J46,'JSO (t-1)'!J46)</f>
        <v>0</v>
      </c>
      <c r="K46" s="484">
        <f>SUM('DUoS (t-1)'!K46,'TUoS (t-1)'!K46,'JSO (t-1)'!K46)</f>
        <v>0.1016</v>
      </c>
      <c r="L46" s="461">
        <f>SUM('DUoS (t-1)'!L46,'TUoS (t-1)'!L46,'JSO (t-1)'!L46)</f>
        <v>0</v>
      </c>
      <c r="M46" s="461">
        <f>SUM('DUoS (t-1)'!M46,'TUoS (t-1)'!M46,'JSO (t-1)'!M46)</f>
        <v>0</v>
      </c>
      <c r="N46" s="461">
        <f>SUM('DUoS (t-1)'!N46,'TUoS (t-1)'!N46,'JSO (t-1)'!N46)</f>
        <v>0</v>
      </c>
      <c r="O46" s="462">
        <f>SUM('DUoS (t-1)'!O46,'TUoS (t-1)'!O46,'JSO (t-1)'!O46)</f>
        <v>0</v>
      </c>
      <c r="P46" s="461">
        <f>SUM('DUoS (t-1)'!P46,'TUoS (t-1)'!P46,'JSO (t-1)'!P46)</f>
        <v>0</v>
      </c>
      <c r="Q46" s="461">
        <f>SUM('DUoS (t-1)'!Q46,'TUoS (t-1)'!Q46,'JSO (t-1)'!Q46)</f>
        <v>0</v>
      </c>
      <c r="R46" s="462">
        <f>SUM('DUoS (t-1)'!R46,'TUoS (t-1)'!R46,'JSO (t-1)'!R46)</f>
        <v>0</v>
      </c>
      <c r="S46" s="479">
        <f>SUM('DUoS (t-1)'!S46,'TUoS (t-1)'!S46,'JSO (t-1)'!S46)</f>
        <v>0</v>
      </c>
      <c r="T46" s="461">
        <f>SUM('DUoS (t-1)'!T46,'TUoS (t-1)'!T46,'JSO (t-1)'!T46)</f>
        <v>0</v>
      </c>
      <c r="U46" s="480">
        <f>SUM('DUoS (t-1)'!U46,'TUoS (t-1)'!U46,'JSO (t-1)'!U46)</f>
        <v>0</v>
      </c>
      <c r="V46" s="481">
        <f>SUM('DUoS (t-1)'!V46,'TUoS (t-1)'!V46,'JSO (t-1)'!V46)</f>
        <v>0</v>
      </c>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3"/>
        <v>0</v>
      </c>
      <c r="AQ46" s="178">
        <f t="shared" si="13"/>
        <v>0</v>
      </c>
      <c r="AR46" s="178">
        <f t="shared" si="13"/>
        <v>0</v>
      </c>
      <c r="AS46" s="179">
        <f t="shared" si="13"/>
        <v>0</v>
      </c>
      <c r="AT46" s="178">
        <f t="shared" si="13"/>
        <v>0</v>
      </c>
      <c r="AU46" s="178">
        <f t="shared" si="13"/>
        <v>0</v>
      </c>
      <c r="AV46" s="178">
        <f t="shared" si="13"/>
        <v>0</v>
      </c>
      <c r="AW46" s="179">
        <f t="shared" si="13"/>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4"/>
        <v>4</v>
      </c>
      <c r="C47" s="44" t="s">
        <v>91</v>
      </c>
      <c r="D47" s="45" t="str">
        <f>C47</f>
        <v>LB2RCL</v>
      </c>
      <c r="E47" s="104" t="s">
        <v>92</v>
      </c>
      <c r="G47" s="477">
        <f>SUM('DUoS (t-1)'!G47,'TUoS (t-1)'!G47,'JSO (t-1)'!G47)</f>
        <v>0.50680000000000003</v>
      </c>
      <c r="H47" s="479">
        <f>SUM('DUoS (t-1)'!H47,'TUoS (t-1)'!H47,'JSO (t-1)'!H47)</f>
        <v>0</v>
      </c>
      <c r="I47" s="483">
        <f>SUM('DUoS (t-1)'!I47,'TUoS (t-1)'!I47,'JSO (t-1)'!I47)</f>
        <v>0.20319999999999999</v>
      </c>
      <c r="J47" s="461">
        <f>SUM('DUoS (t-1)'!J47,'TUoS (t-1)'!J47,'JSO (t-1)'!J47)</f>
        <v>0</v>
      </c>
      <c r="K47" s="484">
        <f>SUM('DUoS (t-1)'!K47,'TUoS (t-1)'!K47,'JSO (t-1)'!K47)</f>
        <v>0.1016</v>
      </c>
      <c r="L47" s="483">
        <f>SUM('DUoS (t-1)'!L47,'TUoS (t-1)'!L47,'JSO (t-1)'!L47)</f>
        <v>7.1500000000000008E-2</v>
      </c>
      <c r="M47" s="461">
        <f>SUM('DUoS (t-1)'!M47,'TUoS (t-1)'!M47,'JSO (t-1)'!M47)</f>
        <v>0</v>
      </c>
      <c r="N47" s="461">
        <f>SUM('DUoS (t-1)'!N47,'TUoS (t-1)'!N47,'JSO (t-1)'!N47)</f>
        <v>0</v>
      </c>
      <c r="O47" s="462">
        <f>SUM('DUoS (t-1)'!O47,'TUoS (t-1)'!O47,'JSO (t-1)'!O47)</f>
        <v>0</v>
      </c>
      <c r="P47" s="461">
        <f>SUM('DUoS (t-1)'!P47,'TUoS (t-1)'!P47,'JSO (t-1)'!P47)</f>
        <v>0</v>
      </c>
      <c r="Q47" s="461">
        <f>SUM('DUoS (t-1)'!Q47,'TUoS (t-1)'!Q47,'JSO (t-1)'!Q47)</f>
        <v>0</v>
      </c>
      <c r="R47" s="462">
        <f>SUM('DUoS (t-1)'!R47,'TUoS (t-1)'!R47,'JSO (t-1)'!R47)</f>
        <v>0</v>
      </c>
      <c r="S47" s="479">
        <f>SUM('DUoS (t-1)'!S47,'TUoS (t-1)'!S47,'JSO (t-1)'!S47)</f>
        <v>0</v>
      </c>
      <c r="T47" s="461">
        <f>SUM('DUoS (t-1)'!T47,'TUoS (t-1)'!T47,'JSO (t-1)'!T47)</f>
        <v>0</v>
      </c>
      <c r="U47" s="480">
        <f>SUM('DUoS (t-1)'!U47,'TUoS (t-1)'!U47,'JSO (t-1)'!U47)</f>
        <v>0</v>
      </c>
      <c r="V47" s="481">
        <f>SUM('DUoS (t-1)'!V47,'TUoS (t-1)'!V47,'JSO (t-1)'!V47)</f>
        <v>0</v>
      </c>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3"/>
        <v>0</v>
      </c>
      <c r="AQ47" s="178">
        <f t="shared" si="13"/>
        <v>0</v>
      </c>
      <c r="AR47" s="178">
        <f t="shared" si="13"/>
        <v>0</v>
      </c>
      <c r="AS47" s="179">
        <f t="shared" si="13"/>
        <v>0</v>
      </c>
      <c r="AT47" s="178">
        <f t="shared" si="13"/>
        <v>0</v>
      </c>
      <c r="AU47" s="178">
        <f t="shared" si="13"/>
        <v>0</v>
      </c>
      <c r="AV47" s="178">
        <f t="shared" si="13"/>
        <v>0</v>
      </c>
      <c r="AW47" s="179">
        <f t="shared" si="13"/>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f>SUM('DUoS (t-1)'!G48,'TUoS (t-1)'!G48,'JSO (t-1)'!G48)</f>
        <v>0</v>
      </c>
      <c r="H48" s="479">
        <f>SUM('DUoS (t-1)'!H48,'TUoS (t-1)'!H48,'JSO (t-1)'!H48)</f>
        <v>0</v>
      </c>
      <c r="I48" s="461">
        <f>SUM('DUoS (t-1)'!I48,'TUoS (t-1)'!I48,'JSO (t-1)'!I48)</f>
        <v>0</v>
      </c>
      <c r="J48" s="461">
        <f>SUM('DUoS (t-1)'!J48,'TUoS (t-1)'!J48,'JSO (t-1)'!J48)</f>
        <v>0</v>
      </c>
      <c r="K48" s="462">
        <f>SUM('DUoS (t-1)'!K48,'TUoS (t-1)'!K48,'JSO (t-1)'!K48)</f>
        <v>0</v>
      </c>
      <c r="L48" s="461">
        <f>SUM('DUoS (t-1)'!L48,'TUoS (t-1)'!L48,'JSO (t-1)'!L48)</f>
        <v>0</v>
      </c>
      <c r="M48" s="461">
        <f>SUM('DUoS (t-1)'!M48,'TUoS (t-1)'!M48,'JSO (t-1)'!M48)</f>
        <v>0</v>
      </c>
      <c r="N48" s="461">
        <f>SUM('DUoS (t-1)'!N48,'TUoS (t-1)'!N48,'JSO (t-1)'!N48)</f>
        <v>0</v>
      </c>
      <c r="O48" s="462">
        <f>SUM('DUoS (t-1)'!O48,'TUoS (t-1)'!O48,'JSO (t-1)'!O48)</f>
        <v>0</v>
      </c>
      <c r="P48" s="461">
        <f>SUM('DUoS (t-1)'!P48,'TUoS (t-1)'!P48,'JSO (t-1)'!P48)</f>
        <v>0</v>
      </c>
      <c r="Q48" s="461">
        <f>SUM('DUoS (t-1)'!Q48,'TUoS (t-1)'!Q48,'JSO (t-1)'!Q48)</f>
        <v>0</v>
      </c>
      <c r="R48" s="462">
        <f>SUM('DUoS (t-1)'!R48,'TUoS (t-1)'!R48,'JSO (t-1)'!R48)</f>
        <v>0</v>
      </c>
      <c r="S48" s="479">
        <f>SUM('DUoS (t-1)'!S48,'TUoS (t-1)'!S48,'JSO (t-1)'!S48)</f>
        <v>0</v>
      </c>
      <c r="T48" s="461">
        <f>SUM('DUoS (t-1)'!T48,'TUoS (t-1)'!T48,'JSO (t-1)'!T48)</f>
        <v>0</v>
      </c>
      <c r="U48" s="479">
        <f>SUM('DUoS (t-1)'!U48,'TUoS (t-1)'!U48,'JSO (t-1)'!U48)</f>
        <v>0</v>
      </c>
      <c r="V48" s="462">
        <f>SUM('DUoS (t-1)'!V48,'TUoS (t-1)'!V48,'JSO (t-1)'!V48)</f>
        <v>0</v>
      </c>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3"/>
        <v>0</v>
      </c>
      <c r="AQ48" s="178">
        <f t="shared" si="13"/>
        <v>0</v>
      </c>
      <c r="AR48" s="178">
        <f t="shared" si="13"/>
        <v>0</v>
      </c>
      <c r="AS48" s="179">
        <f t="shared" si="13"/>
        <v>0</v>
      </c>
      <c r="AT48" s="178">
        <f t="shared" si="13"/>
        <v>0</v>
      </c>
      <c r="AU48" s="178">
        <f t="shared" si="13"/>
        <v>0</v>
      </c>
      <c r="AV48" s="178">
        <f t="shared" si="13"/>
        <v>0</v>
      </c>
      <c r="AW48" s="179">
        <f t="shared" si="13"/>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13418.970229999999</v>
      </c>
      <c r="BI48" s="252">
        <f>SUBTOTAL(9,BI49:BI69)</f>
        <v>143363.55980000005</v>
      </c>
      <c r="BJ48" s="252">
        <f>SUBTOTAL(9,BJ49:BJ69)</f>
        <v>0</v>
      </c>
      <c r="BK48" s="252">
        <f>SUBTOTAL(9,BK49:BK69)</f>
        <v>98453.707972499964</v>
      </c>
      <c r="BL48" s="252">
        <f>SUBTOTAL(9,BL49:BL69)</f>
        <v>0</v>
      </c>
      <c r="BM48" s="257">
        <f t="shared" si="5"/>
        <v>255236.23800250003</v>
      </c>
      <c r="BO48" s="714" t="str">
        <f t="shared" si="6"/>
        <v/>
      </c>
    </row>
    <row r="49" spans="2:67" ht="15" customHeight="1" x14ac:dyDescent="0.25">
      <c r="B49" s="19">
        <f>B47+1</f>
        <v>5</v>
      </c>
      <c r="C49" s="44" t="s">
        <v>579</v>
      </c>
      <c r="D49" s="45" t="s">
        <v>580</v>
      </c>
      <c r="E49" s="105" t="s">
        <v>94</v>
      </c>
      <c r="G49" s="477">
        <f>SUM('DUoS (t-1)'!G49,'TUoS (t-1)'!G49,'JSO (t-1)'!G49)</f>
        <v>6.8493000000000004</v>
      </c>
      <c r="H49" s="479">
        <f>SUM('DUoS (t-1)'!H49,'TUoS (t-1)'!H49,'JSO (t-1)'!H49)</f>
        <v>0</v>
      </c>
      <c r="I49" s="483">
        <f>SUM('DUoS (t-1)'!I49,'TUoS (t-1)'!I49,'JSO (t-1)'!I49)</f>
        <v>6.6200000000000009E-2</v>
      </c>
      <c r="J49" s="461">
        <f>SUM('DUoS (t-1)'!J49,'TUoS (t-1)'!J49,'JSO (t-1)'!J49)</f>
        <v>0</v>
      </c>
      <c r="K49" s="484">
        <f>SUM('DUoS (t-1)'!K49,'TUoS (t-1)'!K49,'JSO (t-1)'!K49)</f>
        <v>4.1399999999999999E-2</v>
      </c>
      <c r="L49" s="461">
        <f>SUM('DUoS (t-1)'!L49,'TUoS (t-1)'!L49,'JSO (t-1)'!L49)</f>
        <v>0</v>
      </c>
      <c r="M49" s="461">
        <f>SUM('DUoS (t-1)'!M49,'TUoS (t-1)'!M49,'JSO (t-1)'!M49)</f>
        <v>0</v>
      </c>
      <c r="N49" s="461">
        <f>SUM('DUoS (t-1)'!N49,'TUoS (t-1)'!N49,'JSO (t-1)'!N49)</f>
        <v>0</v>
      </c>
      <c r="O49" s="462">
        <f>SUM('DUoS (t-1)'!O49,'TUoS (t-1)'!O49,'JSO (t-1)'!O49)</f>
        <v>0</v>
      </c>
      <c r="P49" s="461">
        <f>SUM('DUoS (t-1)'!P49,'TUoS (t-1)'!P49,'JSO (t-1)'!P49)</f>
        <v>0</v>
      </c>
      <c r="Q49" s="461">
        <f>SUM('DUoS (t-1)'!Q49,'TUoS (t-1)'!Q49,'JSO (t-1)'!Q49)</f>
        <v>0</v>
      </c>
      <c r="R49" s="462">
        <f>SUM('DUoS (t-1)'!R49,'TUoS (t-1)'!R49,'JSO (t-1)'!R49)</f>
        <v>0</v>
      </c>
      <c r="S49" s="478">
        <f>SUM('DUoS (t-1)'!S49,'TUoS (t-1)'!S49,'JSO (t-1)'!S49)</f>
        <v>0.25329999999999997</v>
      </c>
      <c r="T49" s="483">
        <f>SUM('DUoS (t-1)'!T49,'TUoS (t-1)'!T49,'JSO (t-1)'!T49)</f>
        <v>0.1036</v>
      </c>
      <c r="U49" s="480">
        <f>SUM('DUoS (t-1)'!U49,'TUoS (t-1)'!U49,'JSO (t-1)'!U49)</f>
        <v>0</v>
      </c>
      <c r="V49" s="481">
        <f>SUM('DUoS (t-1)'!V49,'TUoS (t-1)'!V49,'JSO (t-1)'!V49)</f>
        <v>0</v>
      </c>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12562.472362500001</v>
      </c>
      <c r="AP49" s="184">
        <f t="shared" si="13"/>
        <v>0</v>
      </c>
      <c r="AQ49" s="178">
        <f t="shared" si="13"/>
        <v>85388.003800000006</v>
      </c>
      <c r="AR49" s="178">
        <f t="shared" si="13"/>
        <v>0</v>
      </c>
      <c r="AS49" s="179">
        <f t="shared" si="13"/>
        <v>47682.325799999999</v>
      </c>
      <c r="AT49" s="178">
        <f t="shared" si="13"/>
        <v>0</v>
      </c>
      <c r="AU49" s="178">
        <f t="shared" si="13"/>
        <v>0</v>
      </c>
      <c r="AV49" s="178">
        <f t="shared" si="13"/>
        <v>0</v>
      </c>
      <c r="AW49" s="179">
        <f t="shared" si="13"/>
        <v>0</v>
      </c>
      <c r="AX49" s="178">
        <f t="shared" si="1"/>
        <v>0</v>
      </c>
      <c r="AY49" s="178">
        <f t="shared" si="1"/>
        <v>0</v>
      </c>
      <c r="AZ49" s="179">
        <f t="shared" si="1"/>
        <v>0</v>
      </c>
      <c r="BA49" s="184">
        <f t="shared" si="1"/>
        <v>57546.361980499991</v>
      </c>
      <c r="BB49" s="178">
        <f t="shared" si="1"/>
        <v>32228.267175999998</v>
      </c>
      <c r="BC49" s="184">
        <f t="shared" si="1"/>
        <v>0</v>
      </c>
      <c r="BD49" s="178">
        <f t="shared" si="1"/>
        <v>0</v>
      </c>
      <c r="BE49" s="244">
        <f t="shared" si="3"/>
        <v>5025</v>
      </c>
      <c r="BF49" s="245">
        <f t="shared" si="4"/>
        <v>2441596</v>
      </c>
      <c r="BH49" s="255">
        <f t="shared" ref="BH49:BH69" si="15">SUM(AO49)</f>
        <v>12562.472362500001</v>
      </c>
      <c r="BI49" s="255">
        <f t="shared" ref="BI49:BI69" si="16">SUM(AP49:AS49)</f>
        <v>133070.3296</v>
      </c>
      <c r="BJ49" s="255">
        <f t="shared" ref="BJ49:BJ69" si="17">SUM(AT49:AW49)</f>
        <v>0</v>
      </c>
      <c r="BK49" s="256">
        <f t="shared" ref="BK49:BK69" si="18">SUM(AX49:BB49)</f>
        <v>89774.629156499985</v>
      </c>
      <c r="BL49" s="262">
        <f t="shared" ref="BL49:BL69" si="19">SUM(BC49:BD49)</f>
        <v>0</v>
      </c>
      <c r="BM49" s="257">
        <f t="shared" si="5"/>
        <v>235407.43111899999</v>
      </c>
      <c r="BO49" s="714">
        <f t="shared" si="6"/>
        <v>96.41539022794926</v>
      </c>
    </row>
    <row r="50" spans="2:67" ht="15" customHeight="1" x14ac:dyDescent="0.25">
      <c r="B50" s="19">
        <f t="shared" si="14"/>
        <v>6</v>
      </c>
      <c r="C50" s="44" t="s">
        <v>577</v>
      </c>
      <c r="D50" s="45" t="s">
        <v>581</v>
      </c>
      <c r="E50" s="105" t="s">
        <v>95</v>
      </c>
      <c r="G50" s="477">
        <f>SUM('DUoS (t-1)'!G50,'TUoS (t-1)'!G50,'JSO (t-1)'!G50)</f>
        <v>6.8493000000000004</v>
      </c>
      <c r="H50" s="479">
        <f>SUM('DUoS (t-1)'!H50,'TUoS (t-1)'!H50,'JSO (t-1)'!H50)</f>
        <v>0</v>
      </c>
      <c r="I50" s="483">
        <f>SUM('DUoS (t-1)'!I50,'TUoS (t-1)'!I50,'JSO (t-1)'!I50)</f>
        <v>6.6200000000000009E-2</v>
      </c>
      <c r="J50" s="461">
        <f>SUM('DUoS (t-1)'!J50,'TUoS (t-1)'!J50,'JSO (t-1)'!J50)</f>
        <v>0</v>
      </c>
      <c r="K50" s="484">
        <f>SUM('DUoS (t-1)'!K50,'TUoS (t-1)'!K50,'JSO (t-1)'!K50)</f>
        <v>4.1399999999999999E-2</v>
      </c>
      <c r="L50" s="461">
        <f>SUM('DUoS (t-1)'!L50,'TUoS (t-1)'!L50,'JSO (t-1)'!L50)</f>
        <v>0</v>
      </c>
      <c r="M50" s="461">
        <f>SUM('DUoS (t-1)'!M50,'TUoS (t-1)'!M50,'JSO (t-1)'!M50)</f>
        <v>0</v>
      </c>
      <c r="N50" s="461">
        <f>SUM('DUoS (t-1)'!N50,'TUoS (t-1)'!N50,'JSO (t-1)'!N50)</f>
        <v>0</v>
      </c>
      <c r="O50" s="462">
        <f>SUM('DUoS (t-1)'!O50,'TUoS (t-1)'!O50,'JSO (t-1)'!O50)</f>
        <v>0</v>
      </c>
      <c r="P50" s="483">
        <f>SUM('DUoS (t-1)'!P50,'TUoS (t-1)'!P50,'JSO (t-1)'!P50)</f>
        <v>0.91829999999999989</v>
      </c>
      <c r="Q50" s="461">
        <f>SUM('DUoS (t-1)'!Q50,'TUoS (t-1)'!Q50,'JSO (t-1)'!Q50)</f>
        <v>0</v>
      </c>
      <c r="R50" s="462">
        <f>SUM('DUoS (t-1)'!R50,'TUoS (t-1)'!R50,'JSO (t-1)'!R50)</f>
        <v>0</v>
      </c>
      <c r="S50" s="479">
        <f>SUM('DUoS (t-1)'!S50,'TUoS (t-1)'!S50,'JSO (t-1)'!S50)</f>
        <v>0</v>
      </c>
      <c r="T50" s="483">
        <f>SUM('DUoS (t-1)'!T50,'TUoS (t-1)'!T50,'JSO (t-1)'!T50)</f>
        <v>0.1036</v>
      </c>
      <c r="U50" s="479">
        <f>SUM('DUoS (t-1)'!U50,'TUoS (t-1)'!U50,'JSO (t-1)'!U50)</f>
        <v>0</v>
      </c>
      <c r="V50" s="462">
        <f>SUM('DUoS (t-1)'!V50,'TUoS (t-1)'!V50,'JSO (t-1)'!V50)</f>
        <v>0</v>
      </c>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692.49847650000004</v>
      </c>
      <c r="AP50" s="184">
        <f t="shared" si="13"/>
        <v>0</v>
      </c>
      <c r="AQ50" s="178">
        <f>I50*Z50</f>
        <v>4794.2040000000006</v>
      </c>
      <c r="AR50" s="178">
        <f t="shared" si="13"/>
        <v>0</v>
      </c>
      <c r="AS50" s="179">
        <f t="shared" si="13"/>
        <v>2162.3220000000001</v>
      </c>
      <c r="AT50" s="178">
        <f t="shared" si="13"/>
        <v>0</v>
      </c>
      <c r="AU50" s="178">
        <f t="shared" si="13"/>
        <v>0</v>
      </c>
      <c r="AV50" s="178">
        <f t="shared" si="13"/>
        <v>0</v>
      </c>
      <c r="AW50" s="179">
        <f t="shared" si="13"/>
        <v>0</v>
      </c>
      <c r="AX50" s="178">
        <f t="shared" si="1"/>
        <v>3153.6194318999997</v>
      </c>
      <c r="AY50" s="178">
        <f t="shared" si="1"/>
        <v>0</v>
      </c>
      <c r="AZ50" s="179">
        <f t="shared" si="1"/>
        <v>0</v>
      </c>
      <c r="BA50" s="184">
        <f t="shared" si="1"/>
        <v>0</v>
      </c>
      <c r="BB50" s="178">
        <f t="shared" si="1"/>
        <v>2840.7389359999997</v>
      </c>
      <c r="BC50" s="184">
        <f t="shared" si="1"/>
        <v>0</v>
      </c>
      <c r="BD50" s="178">
        <f t="shared" si="1"/>
        <v>0</v>
      </c>
      <c r="BE50" s="244">
        <f t="shared" si="3"/>
        <v>277</v>
      </c>
      <c r="BF50" s="245">
        <f t="shared" si="4"/>
        <v>124650</v>
      </c>
      <c r="BH50" s="255">
        <f t="shared" si="15"/>
        <v>692.49847650000004</v>
      </c>
      <c r="BI50" s="255">
        <f t="shared" si="16"/>
        <v>6956.5260000000007</v>
      </c>
      <c r="BJ50" s="255">
        <f t="shared" si="17"/>
        <v>0</v>
      </c>
      <c r="BK50" s="256">
        <f t="shared" si="18"/>
        <v>5994.3583678999994</v>
      </c>
      <c r="BL50" s="262">
        <f t="shared" si="19"/>
        <v>0</v>
      </c>
      <c r="BM50" s="257">
        <f t="shared" si="5"/>
        <v>13643.382844399999</v>
      </c>
      <c r="BO50" s="714">
        <f t="shared" si="6"/>
        <v>109.45353264661051</v>
      </c>
    </row>
    <row r="51" spans="2:67" ht="15" customHeight="1" x14ac:dyDescent="0.25">
      <c r="B51" s="19">
        <f t="shared" si="14"/>
        <v>7</v>
      </c>
      <c r="C51" s="833" t="s">
        <v>578</v>
      </c>
      <c r="D51" s="834" t="s">
        <v>582</v>
      </c>
      <c r="E51" s="835" t="s">
        <v>96</v>
      </c>
      <c r="G51" s="477">
        <f>SUM('DUoS (t-1)'!G51,'TUoS (t-1)'!G51,'JSO (t-1)'!G51)</f>
        <v>0</v>
      </c>
      <c r="H51" s="479">
        <f>SUM('DUoS (t-1)'!H51,'TUoS (t-1)'!H51,'JSO (t-1)'!H51)</f>
        <v>0</v>
      </c>
      <c r="I51" s="483">
        <f>SUM('DUoS (t-1)'!I51,'TUoS (t-1)'!I51,'JSO (t-1)'!I51)</f>
        <v>0</v>
      </c>
      <c r="J51" s="461">
        <f>SUM('DUoS (t-1)'!J51,'TUoS (t-1)'!J51,'JSO (t-1)'!J51)</f>
        <v>0</v>
      </c>
      <c r="K51" s="484">
        <f>SUM('DUoS (t-1)'!K51,'TUoS (t-1)'!K51,'JSO (t-1)'!K51)</f>
        <v>0</v>
      </c>
      <c r="L51" s="461">
        <f>SUM('DUoS (t-1)'!L51,'TUoS (t-1)'!L51,'JSO (t-1)'!L51)</f>
        <v>0</v>
      </c>
      <c r="M51" s="461">
        <f>SUM('DUoS (t-1)'!M51,'TUoS (t-1)'!M51,'JSO (t-1)'!M51)</f>
        <v>0</v>
      </c>
      <c r="N51" s="461">
        <f>SUM('DUoS (t-1)'!N51,'TUoS (t-1)'!N51,'JSO (t-1)'!N51)</f>
        <v>0</v>
      </c>
      <c r="O51" s="462">
        <f>SUM('DUoS (t-1)'!O51,'TUoS (t-1)'!O51,'JSO (t-1)'!O51)</f>
        <v>0</v>
      </c>
      <c r="P51" s="461">
        <f>SUM('DUoS (t-1)'!P51,'TUoS (t-1)'!P51,'JSO (t-1)'!P51)</f>
        <v>0</v>
      </c>
      <c r="Q51" s="461">
        <f>SUM('DUoS (t-1)'!Q51,'TUoS (t-1)'!Q51,'JSO (t-1)'!Q51)</f>
        <v>0</v>
      </c>
      <c r="R51" s="462">
        <f>SUM('DUoS (t-1)'!R51,'TUoS (t-1)'!R51,'JSO (t-1)'!R51)</f>
        <v>0</v>
      </c>
      <c r="S51" s="479">
        <f>SUM('DUoS (t-1)'!S51,'TUoS (t-1)'!S51,'JSO (t-1)'!S51)</f>
        <v>0</v>
      </c>
      <c r="T51" s="461">
        <f>SUM('DUoS (t-1)'!T51,'TUoS (t-1)'!T51,'JSO (t-1)'!T51)</f>
        <v>0</v>
      </c>
      <c r="U51" s="479">
        <f>SUM('DUoS (t-1)'!U51,'TUoS (t-1)'!U51,'JSO (t-1)'!U51)</f>
        <v>0</v>
      </c>
      <c r="V51" s="462">
        <f>SUM('DUoS (t-1)'!V51,'TUoS (t-1)'!V51,'JSO (t-1)'!V51)</f>
        <v>0</v>
      </c>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3"/>
        <v>0</v>
      </c>
      <c r="AQ51" s="178">
        <f t="shared" si="13"/>
        <v>0</v>
      </c>
      <c r="AR51" s="178">
        <f t="shared" si="13"/>
        <v>0</v>
      </c>
      <c r="AS51" s="179">
        <f t="shared" si="13"/>
        <v>0</v>
      </c>
      <c r="AT51" s="178">
        <f t="shared" si="13"/>
        <v>0</v>
      </c>
      <c r="AU51" s="178">
        <f t="shared" si="13"/>
        <v>0</v>
      </c>
      <c r="AV51" s="178">
        <f t="shared" si="13"/>
        <v>0</v>
      </c>
      <c r="AW51" s="179">
        <f t="shared" si="13"/>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15"/>
        <v>0</v>
      </c>
      <c r="BI51" s="255">
        <f t="shared" si="16"/>
        <v>0</v>
      </c>
      <c r="BJ51" s="255">
        <f t="shared" si="17"/>
        <v>0</v>
      </c>
      <c r="BK51" s="256">
        <f t="shared" si="18"/>
        <v>0</v>
      </c>
      <c r="BL51" s="262">
        <f t="shared" si="19"/>
        <v>0</v>
      </c>
      <c r="BM51" s="257">
        <f t="shared" si="5"/>
        <v>0</v>
      </c>
      <c r="BO51" s="714" t="str">
        <f t="shared" si="6"/>
        <v/>
      </c>
    </row>
    <row r="52" spans="2:67" ht="15" customHeight="1" x14ac:dyDescent="0.25">
      <c r="B52" s="19">
        <f t="shared" si="14"/>
        <v>8</v>
      </c>
      <c r="C52" s="44" t="s">
        <v>97</v>
      </c>
      <c r="D52" s="45" t="s">
        <v>97</v>
      </c>
      <c r="E52" s="105" t="s">
        <v>98</v>
      </c>
      <c r="G52" s="477">
        <f>SUM('DUoS (t-1)'!G52,'TUoS (t-1)'!G52,'JSO (t-1)'!G52)</f>
        <v>2.7397</v>
      </c>
      <c r="H52" s="478">
        <f>SUM('DUoS (t-1)'!H52,'TUoS (t-1)'!H52,'JSO (t-1)'!H52)</f>
        <v>7.6999999999999999E-2</v>
      </c>
      <c r="I52" s="461">
        <f>SUM('DUoS (t-1)'!I52,'TUoS (t-1)'!I52,'JSO (t-1)'!I52)</f>
        <v>0</v>
      </c>
      <c r="J52" s="461">
        <f>SUM('DUoS (t-1)'!J52,'TUoS (t-1)'!J52,'JSO (t-1)'!J52)</f>
        <v>0</v>
      </c>
      <c r="K52" s="462">
        <f>SUM('DUoS (t-1)'!K52,'TUoS (t-1)'!K52,'JSO (t-1)'!K52)</f>
        <v>0</v>
      </c>
      <c r="L52" s="461">
        <f>SUM('DUoS (t-1)'!L52,'TUoS (t-1)'!L52,'JSO (t-1)'!L52)</f>
        <v>0</v>
      </c>
      <c r="M52" s="461">
        <f>SUM('DUoS (t-1)'!M52,'TUoS (t-1)'!M52,'JSO (t-1)'!M52)</f>
        <v>0</v>
      </c>
      <c r="N52" s="461">
        <f>SUM('DUoS (t-1)'!N52,'TUoS (t-1)'!N52,'JSO (t-1)'!N52)</f>
        <v>0</v>
      </c>
      <c r="O52" s="462">
        <f>SUM('DUoS (t-1)'!O52,'TUoS (t-1)'!O52,'JSO (t-1)'!O52)</f>
        <v>0</v>
      </c>
      <c r="P52" s="461">
        <f>SUM('DUoS (t-1)'!P52,'TUoS (t-1)'!P52,'JSO (t-1)'!P52)</f>
        <v>0</v>
      </c>
      <c r="Q52" s="483">
        <f>SUM('DUoS (t-1)'!Q52,'TUoS (t-1)'!Q52,'JSO (t-1)'!Q52)</f>
        <v>0.3962</v>
      </c>
      <c r="R52" s="484">
        <f>SUM('DUoS (t-1)'!R52,'TUoS (t-1)'!R52,'JSO (t-1)'!R52)</f>
        <v>0.19600000000000001</v>
      </c>
      <c r="S52" s="479">
        <f>SUM('DUoS (t-1)'!S52,'TUoS (t-1)'!S52,'JSO (t-1)'!S52)</f>
        <v>0</v>
      </c>
      <c r="T52" s="461">
        <f>SUM('DUoS (t-1)'!T52,'TUoS (t-1)'!T52,'JSO (t-1)'!T52)</f>
        <v>0</v>
      </c>
      <c r="U52" s="479">
        <f>SUM('DUoS (t-1)'!U52,'TUoS (t-1)'!U52,'JSO (t-1)'!U52)</f>
        <v>0</v>
      </c>
      <c r="V52" s="462">
        <f>SUM('DUoS (t-1)'!V52,'TUoS (t-1)'!V52,'JSO (t-1)'!V52)</f>
        <v>0</v>
      </c>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33.999677000000005</v>
      </c>
      <c r="AP52" s="184">
        <f t="shared" si="13"/>
        <v>770</v>
      </c>
      <c r="AQ52" s="178">
        <f t="shared" si="13"/>
        <v>0</v>
      </c>
      <c r="AR52" s="178">
        <f t="shared" si="13"/>
        <v>0</v>
      </c>
      <c r="AS52" s="179">
        <f t="shared" si="13"/>
        <v>0</v>
      </c>
      <c r="AT52" s="178">
        <f t="shared" si="13"/>
        <v>0</v>
      </c>
      <c r="AU52" s="178">
        <f t="shared" si="13"/>
        <v>0</v>
      </c>
      <c r="AV52" s="178">
        <f t="shared" si="13"/>
        <v>0</v>
      </c>
      <c r="AW52" s="179">
        <f t="shared" si="13"/>
        <v>0</v>
      </c>
      <c r="AX52" s="178">
        <f t="shared" si="1"/>
        <v>0</v>
      </c>
      <c r="AY52" s="178">
        <f t="shared" si="1"/>
        <v>300.26769780000001</v>
      </c>
      <c r="AZ52" s="179">
        <f t="shared" si="1"/>
        <v>319.85534000000001</v>
      </c>
      <c r="BA52" s="184">
        <f t="shared" ref="AX52:BD89" si="20">S52*AJ52/1000</f>
        <v>0</v>
      </c>
      <c r="BB52" s="178">
        <f t="shared" si="20"/>
        <v>0</v>
      </c>
      <c r="BC52" s="184">
        <f t="shared" si="20"/>
        <v>0</v>
      </c>
      <c r="BD52" s="178">
        <f t="shared" si="20"/>
        <v>0</v>
      </c>
      <c r="BE52" s="244">
        <f t="shared" si="3"/>
        <v>34</v>
      </c>
      <c r="BF52" s="245">
        <f t="shared" ref="BF52:BF79" si="21">SUM(Y52:AF52)</f>
        <v>10000</v>
      </c>
      <c r="BH52" s="255">
        <f t="shared" si="15"/>
        <v>33.999677000000005</v>
      </c>
      <c r="BI52" s="255">
        <f t="shared" si="16"/>
        <v>770</v>
      </c>
      <c r="BJ52" s="255">
        <f t="shared" si="17"/>
        <v>0</v>
      </c>
      <c r="BK52" s="256">
        <f t="shared" si="18"/>
        <v>620.12303780000002</v>
      </c>
      <c r="BL52" s="262">
        <f t="shared" si="19"/>
        <v>0</v>
      </c>
      <c r="BM52" s="257">
        <f t="shared" si="5"/>
        <v>1424.1227148</v>
      </c>
      <c r="BO52" s="714">
        <f t="shared" si="6"/>
        <v>142.41227147999999</v>
      </c>
    </row>
    <row r="53" spans="2:67" ht="15" customHeight="1" x14ac:dyDescent="0.25">
      <c r="B53" s="19">
        <f t="shared" si="14"/>
        <v>9</v>
      </c>
      <c r="C53" s="44" t="s">
        <v>583</v>
      </c>
      <c r="D53" s="45" t="s">
        <v>584</v>
      </c>
      <c r="E53" s="105" t="s">
        <v>99</v>
      </c>
      <c r="G53" s="477">
        <f>SUM('DUoS (t-1)'!G53,'TUoS (t-1)'!G53,'JSO (t-1)'!G53)</f>
        <v>6.8493000000000004</v>
      </c>
      <c r="H53" s="479">
        <f>SUM('DUoS (t-1)'!H53,'TUoS (t-1)'!H53,'JSO (t-1)'!H53)</f>
        <v>0</v>
      </c>
      <c r="I53" s="461">
        <f>SUM('DUoS (t-1)'!I53,'TUoS (t-1)'!I53,'JSO (t-1)'!I53)</f>
        <v>0</v>
      </c>
      <c r="J53" s="461">
        <f>SUM('DUoS (t-1)'!J53,'TUoS (t-1)'!J53,'JSO (t-1)'!J53)</f>
        <v>0</v>
      </c>
      <c r="K53" s="462">
        <f>SUM('DUoS (t-1)'!K53,'TUoS (t-1)'!K53,'JSO (t-1)'!K53)</f>
        <v>0</v>
      </c>
      <c r="L53" s="461">
        <f>SUM('DUoS (t-1)'!L53,'TUoS (t-1)'!L53,'JSO (t-1)'!L53)</f>
        <v>0</v>
      </c>
      <c r="M53" s="461">
        <f>SUM('DUoS (t-1)'!M53,'TUoS (t-1)'!M53,'JSO (t-1)'!M53)</f>
        <v>0</v>
      </c>
      <c r="N53" s="461">
        <f>SUM('DUoS (t-1)'!N53,'TUoS (t-1)'!N53,'JSO (t-1)'!N53)</f>
        <v>0</v>
      </c>
      <c r="O53" s="462">
        <f>SUM('DUoS (t-1)'!O53,'TUoS (t-1)'!O53,'JSO (t-1)'!O53)</f>
        <v>0</v>
      </c>
      <c r="P53" s="461">
        <f>SUM('DUoS (t-1)'!P53,'TUoS (t-1)'!P53,'JSO (t-1)'!P53)</f>
        <v>0</v>
      </c>
      <c r="Q53" s="461">
        <f>SUM('DUoS (t-1)'!Q53,'TUoS (t-1)'!Q53,'JSO (t-1)'!Q53)</f>
        <v>0</v>
      </c>
      <c r="R53" s="462">
        <f>SUM('DUoS (t-1)'!R53,'TUoS (t-1)'!R53,'JSO (t-1)'!R53)</f>
        <v>0</v>
      </c>
      <c r="S53" s="478">
        <f>SUM('DUoS (t-1)'!S53,'TUoS (t-1)'!S53,'JSO (t-1)'!S53)</f>
        <v>0.25329999999999997</v>
      </c>
      <c r="T53" s="483">
        <f>SUM('DUoS (t-1)'!T53,'TUoS (t-1)'!T53,'JSO (t-1)'!T53)</f>
        <v>0.1036</v>
      </c>
      <c r="U53" s="479">
        <f>SUM('DUoS (t-1)'!U53,'TUoS (t-1)'!U53,'JSO (t-1)'!U53)</f>
        <v>0</v>
      </c>
      <c r="V53" s="462">
        <f>SUM('DUoS (t-1)'!V53,'TUoS (t-1)'!V53,'JSO (t-1)'!V53)</f>
        <v>0</v>
      </c>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9.9999780000000005</v>
      </c>
      <c r="AP53" s="184">
        <f t="shared" si="13"/>
        <v>0</v>
      </c>
      <c r="AQ53" s="178">
        <f t="shared" si="13"/>
        <v>0</v>
      </c>
      <c r="AR53" s="178">
        <f t="shared" si="13"/>
        <v>0</v>
      </c>
      <c r="AS53" s="179">
        <f t="shared" si="13"/>
        <v>0</v>
      </c>
      <c r="AT53" s="178">
        <f t="shared" si="13"/>
        <v>0</v>
      </c>
      <c r="AU53" s="178">
        <f t="shared" si="13"/>
        <v>0</v>
      </c>
      <c r="AV53" s="178">
        <f t="shared" si="13"/>
        <v>0</v>
      </c>
      <c r="AW53" s="179">
        <f t="shared" si="13"/>
        <v>0</v>
      </c>
      <c r="AX53" s="178">
        <f t="shared" si="20"/>
        <v>0</v>
      </c>
      <c r="AY53" s="178">
        <f t="shared" si="20"/>
        <v>0</v>
      </c>
      <c r="AZ53" s="179">
        <f t="shared" si="20"/>
        <v>0</v>
      </c>
      <c r="BA53" s="184">
        <f t="shared" si="20"/>
        <v>0</v>
      </c>
      <c r="BB53" s="178">
        <f t="shared" si="20"/>
        <v>16.902858000000002</v>
      </c>
      <c r="BC53" s="184">
        <f t="shared" si="20"/>
        <v>0</v>
      </c>
      <c r="BD53" s="178">
        <f t="shared" si="20"/>
        <v>0</v>
      </c>
      <c r="BE53" s="244">
        <f t="shared" si="3"/>
        <v>4</v>
      </c>
      <c r="BF53" s="245">
        <f t="shared" si="21"/>
        <v>1300</v>
      </c>
      <c r="BH53" s="255">
        <f t="shared" si="15"/>
        <v>9.9999780000000005</v>
      </c>
      <c r="BI53" s="255">
        <f t="shared" si="16"/>
        <v>0</v>
      </c>
      <c r="BJ53" s="255">
        <f t="shared" si="17"/>
        <v>0</v>
      </c>
      <c r="BK53" s="256">
        <f t="shared" si="18"/>
        <v>16.902858000000002</v>
      </c>
      <c r="BL53" s="262">
        <f t="shared" si="19"/>
        <v>0</v>
      </c>
      <c r="BM53" s="257">
        <f t="shared" si="5"/>
        <v>26.902836000000001</v>
      </c>
      <c r="BO53" s="714">
        <f t="shared" si="6"/>
        <v>20.694489230769229</v>
      </c>
    </row>
    <row r="54" spans="2:67" ht="15" customHeight="1" x14ac:dyDescent="0.25">
      <c r="B54" s="19"/>
      <c r="C54" s="785"/>
      <c r="D54" s="772"/>
      <c r="E54" s="836" t="s">
        <v>100</v>
      </c>
      <c r="G54" s="482">
        <f>SUM('DUoS (t-1)'!G54,'TUoS (t-1)'!G54,'JSO (t-1)'!G54)</f>
        <v>0</v>
      </c>
      <c r="H54" s="479">
        <f>SUM('DUoS (t-1)'!H54,'TUoS (t-1)'!H54,'JSO (t-1)'!H54)</f>
        <v>0</v>
      </c>
      <c r="I54" s="461">
        <f>SUM('DUoS (t-1)'!I54,'TUoS (t-1)'!I54,'JSO (t-1)'!I54)</f>
        <v>0</v>
      </c>
      <c r="J54" s="461">
        <f>SUM('DUoS (t-1)'!J54,'TUoS (t-1)'!J54,'JSO (t-1)'!J54)</f>
        <v>0</v>
      </c>
      <c r="K54" s="462">
        <f>SUM('DUoS (t-1)'!K54,'TUoS (t-1)'!K54,'JSO (t-1)'!K54)</f>
        <v>0</v>
      </c>
      <c r="L54" s="461">
        <f>SUM('DUoS (t-1)'!L54,'TUoS (t-1)'!L54,'JSO (t-1)'!L54)</f>
        <v>0</v>
      </c>
      <c r="M54" s="461">
        <f>SUM('DUoS (t-1)'!M54,'TUoS (t-1)'!M54,'JSO (t-1)'!M54)</f>
        <v>0</v>
      </c>
      <c r="N54" s="461">
        <f>SUM('DUoS (t-1)'!N54,'TUoS (t-1)'!N54,'JSO (t-1)'!N54)</f>
        <v>0</v>
      </c>
      <c r="O54" s="462">
        <f>SUM('DUoS (t-1)'!O54,'TUoS (t-1)'!O54,'JSO (t-1)'!O54)</f>
        <v>0</v>
      </c>
      <c r="P54" s="461">
        <f>SUM('DUoS (t-1)'!P54,'TUoS (t-1)'!P54,'JSO (t-1)'!P54)</f>
        <v>0</v>
      </c>
      <c r="Q54" s="461">
        <f>SUM('DUoS (t-1)'!Q54,'TUoS (t-1)'!Q54,'JSO (t-1)'!Q54)</f>
        <v>0</v>
      </c>
      <c r="R54" s="462">
        <f>SUM('DUoS (t-1)'!R54,'TUoS (t-1)'!R54,'JSO (t-1)'!R54)</f>
        <v>0</v>
      </c>
      <c r="S54" s="479">
        <f>SUM('DUoS (t-1)'!S54,'TUoS (t-1)'!S54,'JSO (t-1)'!S54)</f>
        <v>0</v>
      </c>
      <c r="T54" s="461">
        <f>SUM('DUoS (t-1)'!T54,'TUoS (t-1)'!T54,'JSO (t-1)'!T54)</f>
        <v>0</v>
      </c>
      <c r="U54" s="479">
        <f>SUM('DUoS (t-1)'!U54,'TUoS (t-1)'!U54,'JSO (t-1)'!U54)</f>
        <v>0</v>
      </c>
      <c r="V54" s="462">
        <f>SUM('DUoS (t-1)'!V54,'TUoS (t-1)'!V54,'JSO (t-1)'!V54)</f>
        <v>0</v>
      </c>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ref="AO54:AO68" si="22">G54*X54/1000</f>
        <v>0</v>
      </c>
      <c r="AP54" s="184">
        <f t="shared" ref="AP54:AP68" si="23">H54*Y54</f>
        <v>0</v>
      </c>
      <c r="AQ54" s="178">
        <f t="shared" ref="AQ54:AQ68" si="24">I54*Z54</f>
        <v>0</v>
      </c>
      <c r="AR54" s="178">
        <f t="shared" ref="AR54:AR68" si="25">J54*AA54</f>
        <v>0</v>
      </c>
      <c r="AS54" s="179">
        <f t="shared" ref="AS54:AS68" si="26">K54*AB54</f>
        <v>0</v>
      </c>
      <c r="AT54" s="178">
        <f t="shared" ref="AT54:AT68" si="27">L54*AC54</f>
        <v>0</v>
      </c>
      <c r="AU54" s="178">
        <f t="shared" ref="AU54:AU68" si="28">M54*AD54</f>
        <v>0</v>
      </c>
      <c r="AV54" s="178">
        <f t="shared" ref="AV54:AV68" si="29">N54*AE54</f>
        <v>0</v>
      </c>
      <c r="AW54" s="179">
        <f t="shared" ref="AW54:AW68" si="30">O54*AF54</f>
        <v>0</v>
      </c>
      <c r="AX54" s="178">
        <f t="shared" ref="AX54:AX68" si="31">P54*AG54/1000</f>
        <v>0</v>
      </c>
      <c r="AY54" s="178">
        <f t="shared" ref="AY54:AY68" si="32">Q54*AH54/1000</f>
        <v>0</v>
      </c>
      <c r="AZ54" s="179">
        <f t="shared" ref="AZ54:AZ68" si="33">R54*AI54/1000</f>
        <v>0</v>
      </c>
      <c r="BA54" s="184">
        <f t="shared" ref="BA54:BA68" si="34">S54*AJ54/1000</f>
        <v>0</v>
      </c>
      <c r="BB54" s="178">
        <f t="shared" ref="BB54:BB68" si="35">T54*AK54/1000</f>
        <v>0</v>
      </c>
      <c r="BC54" s="184">
        <f t="shared" ref="BC54:BC68" si="36">U54*AL54/1000</f>
        <v>0</v>
      </c>
      <c r="BD54" s="178">
        <f t="shared" ref="BD54:BD68" si="37">V54*AM54/1000</f>
        <v>0</v>
      </c>
      <c r="BE54" s="244">
        <f t="shared" ref="BE54:BE68" si="38">X54/$BE$7</f>
        <v>0</v>
      </c>
      <c r="BF54" s="245">
        <f t="shared" ref="BF54:BF68" si="39">SUM(Y54:AF54)</f>
        <v>0</v>
      </c>
      <c r="BH54" s="255">
        <f t="shared" ref="BH54:BH68" si="40">SUM(AO54)</f>
        <v>0</v>
      </c>
      <c r="BI54" s="255">
        <f t="shared" ref="BI54:BI68" si="41">SUM(AP54:AS54)</f>
        <v>0</v>
      </c>
      <c r="BJ54" s="255">
        <f t="shared" ref="BJ54:BJ68" si="42">SUM(AT54:AW54)</f>
        <v>0</v>
      </c>
      <c r="BK54" s="256">
        <f t="shared" ref="BK54:BK68" si="43">SUM(AX54:BB54)</f>
        <v>0</v>
      </c>
      <c r="BL54" s="262">
        <f t="shared" ref="BL54:BL68" si="44">SUM(BC54:BD54)</f>
        <v>0</v>
      </c>
      <c r="BM54" s="257">
        <f t="shared" ref="BM54:BM68" si="45">SUM(BH54:BL54)</f>
        <v>0</v>
      </c>
      <c r="BO54" s="714" t="str">
        <f t="shared" ref="BO54:BO68" si="46">IF(BF54=0,"",BM54*1000/BF54)</f>
        <v/>
      </c>
    </row>
    <row r="55" spans="2:67" ht="15" customHeight="1" x14ac:dyDescent="0.25">
      <c r="B55" s="19">
        <f>B53+1</f>
        <v>10</v>
      </c>
      <c r="C55" s="44" t="s">
        <v>705</v>
      </c>
      <c r="D55" s="45"/>
      <c r="E55" s="105" t="s">
        <v>94</v>
      </c>
      <c r="G55" s="477">
        <f>SUM('DUoS (t-1)'!G55,'TUoS (t-1)'!G55,'JSO (t-1)'!G55)</f>
        <v>6.8493000000000004</v>
      </c>
      <c r="H55" s="479">
        <f>SUM('DUoS (t-1)'!H55,'TUoS (t-1)'!H55,'JSO (t-1)'!H55)</f>
        <v>0</v>
      </c>
      <c r="I55" s="483">
        <f>SUM('DUoS (t-1)'!I55,'TUoS (t-1)'!I55,'JSO (t-1)'!I55)</f>
        <v>6.6200000000000009E-2</v>
      </c>
      <c r="J55" s="461">
        <f>SUM('DUoS (t-1)'!J55,'TUoS (t-1)'!J55,'JSO (t-1)'!J55)</f>
        <v>0</v>
      </c>
      <c r="K55" s="484">
        <f>SUM('DUoS (t-1)'!K55,'TUoS (t-1)'!K55,'JSO (t-1)'!K55)</f>
        <v>4.1399999999999999E-2</v>
      </c>
      <c r="L55" s="461">
        <f>SUM('DUoS (t-1)'!L55,'TUoS (t-1)'!L55,'JSO (t-1)'!L55)</f>
        <v>0</v>
      </c>
      <c r="M55" s="461">
        <f>SUM('DUoS (t-1)'!M55,'TUoS (t-1)'!M55,'JSO (t-1)'!M55)</f>
        <v>0</v>
      </c>
      <c r="N55" s="461">
        <f>SUM('DUoS (t-1)'!N55,'TUoS (t-1)'!N55,'JSO (t-1)'!N55)</f>
        <v>0</v>
      </c>
      <c r="O55" s="462">
        <f>SUM('DUoS (t-1)'!O55,'TUoS (t-1)'!O55,'JSO (t-1)'!O55)</f>
        <v>0</v>
      </c>
      <c r="P55" s="461">
        <f>SUM('DUoS (t-1)'!P55,'TUoS (t-1)'!P55,'JSO (t-1)'!P55)</f>
        <v>0</v>
      </c>
      <c r="Q55" s="461">
        <f>SUM('DUoS (t-1)'!Q55,'TUoS (t-1)'!Q55,'JSO (t-1)'!Q55)</f>
        <v>0</v>
      </c>
      <c r="R55" s="462">
        <f>SUM('DUoS (t-1)'!R55,'TUoS (t-1)'!R55,'JSO (t-1)'!R55)</f>
        <v>0</v>
      </c>
      <c r="S55" s="478">
        <f>SUM('DUoS (t-1)'!S55,'TUoS (t-1)'!S55,'JSO (t-1)'!S55)</f>
        <v>0.25329999999999997</v>
      </c>
      <c r="T55" s="483">
        <f>SUM('DUoS (t-1)'!T55,'TUoS (t-1)'!T55,'JSO (t-1)'!T55)</f>
        <v>0.1036</v>
      </c>
      <c r="U55" s="479">
        <f>SUM('DUoS (t-1)'!U55,'TUoS (t-1)'!U55,'JSO (t-1)'!U55)</f>
        <v>0</v>
      </c>
      <c r="V55" s="462">
        <f>SUM('DUoS (t-1)'!V55,'TUoS (t-1)'!V55,'JSO (t-1)'!V55)</f>
        <v>0</v>
      </c>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si="22"/>
        <v>2.4999945000000001</v>
      </c>
      <c r="AP55" s="184">
        <f t="shared" si="23"/>
        <v>0</v>
      </c>
      <c r="AQ55" s="178">
        <f t="shared" si="24"/>
        <v>59.182800000000007</v>
      </c>
      <c r="AR55" s="178">
        <f t="shared" si="25"/>
        <v>0</v>
      </c>
      <c r="AS55" s="179">
        <f t="shared" si="26"/>
        <v>43.677</v>
      </c>
      <c r="AT55" s="178">
        <f t="shared" si="27"/>
        <v>0</v>
      </c>
      <c r="AU55" s="178">
        <f t="shared" si="28"/>
        <v>0</v>
      </c>
      <c r="AV55" s="178">
        <f t="shared" si="29"/>
        <v>0</v>
      </c>
      <c r="AW55" s="179">
        <f t="shared" si="30"/>
        <v>0</v>
      </c>
      <c r="AX55" s="178">
        <f t="shared" si="31"/>
        <v>0</v>
      </c>
      <c r="AY55" s="178">
        <f t="shared" si="32"/>
        <v>0</v>
      </c>
      <c r="AZ55" s="179">
        <f t="shared" si="33"/>
        <v>0</v>
      </c>
      <c r="BA55" s="184">
        <f t="shared" si="34"/>
        <v>78.216506999999993</v>
      </c>
      <c r="BB55" s="178">
        <f t="shared" si="35"/>
        <v>33.919157999999996</v>
      </c>
      <c r="BC55" s="184">
        <f t="shared" si="36"/>
        <v>0</v>
      </c>
      <c r="BD55" s="178">
        <f t="shared" si="37"/>
        <v>0</v>
      </c>
      <c r="BE55" s="244">
        <f t="shared" si="38"/>
        <v>1</v>
      </c>
      <c r="BF55" s="245">
        <f t="shared" si="39"/>
        <v>1949</v>
      </c>
      <c r="BH55" s="255">
        <f t="shared" si="40"/>
        <v>2.4999945000000001</v>
      </c>
      <c r="BI55" s="255">
        <f t="shared" si="41"/>
        <v>102.85980000000001</v>
      </c>
      <c r="BJ55" s="255">
        <f t="shared" si="42"/>
        <v>0</v>
      </c>
      <c r="BK55" s="256">
        <f t="shared" si="43"/>
        <v>112.13566499999999</v>
      </c>
      <c r="BL55" s="262">
        <f t="shared" si="44"/>
        <v>0</v>
      </c>
      <c r="BM55" s="257">
        <f t="shared" si="45"/>
        <v>217.49545949999998</v>
      </c>
      <c r="BO55" s="714">
        <f t="shared" si="46"/>
        <v>111.5933604412519</v>
      </c>
    </row>
    <row r="56" spans="2:67" ht="15" customHeight="1" x14ac:dyDescent="0.25">
      <c r="B56" s="19">
        <f t="shared" ref="B56:B69" si="47">B55+1</f>
        <v>11</v>
      </c>
      <c r="C56" s="44" t="s">
        <v>567</v>
      </c>
      <c r="D56" s="834"/>
      <c r="E56" s="105" t="s">
        <v>94</v>
      </c>
      <c r="G56" s="477">
        <f>SUM('DUoS (t-1)'!G56,'TUoS (t-1)'!G56,'JSO (t-1)'!G56)</f>
        <v>41.095800000000004</v>
      </c>
      <c r="H56" s="479">
        <f>SUM('DUoS (t-1)'!H56,'TUoS (t-1)'!H56,'JSO (t-1)'!H56)</f>
        <v>0</v>
      </c>
      <c r="I56" s="483">
        <f>SUM('DUoS (t-1)'!I56,'TUoS (t-1)'!I56,'JSO (t-1)'!I56)</f>
        <v>6.6200000000000009E-2</v>
      </c>
      <c r="J56" s="461">
        <f>SUM('DUoS (t-1)'!J56,'TUoS (t-1)'!J56,'JSO (t-1)'!J56)</f>
        <v>0</v>
      </c>
      <c r="K56" s="484">
        <f>SUM('DUoS (t-1)'!K56,'TUoS (t-1)'!K56,'JSO (t-1)'!K56)</f>
        <v>4.1399999999999999E-2</v>
      </c>
      <c r="L56" s="461">
        <f>SUM('DUoS (t-1)'!L56,'TUoS (t-1)'!L56,'JSO (t-1)'!L56)</f>
        <v>0</v>
      </c>
      <c r="M56" s="461">
        <f>SUM('DUoS (t-1)'!M56,'TUoS (t-1)'!M56,'JSO (t-1)'!M56)</f>
        <v>0</v>
      </c>
      <c r="N56" s="461">
        <f>SUM('DUoS (t-1)'!N56,'TUoS (t-1)'!N56,'JSO (t-1)'!N56)</f>
        <v>0</v>
      </c>
      <c r="O56" s="462">
        <f>SUM('DUoS (t-1)'!O56,'TUoS (t-1)'!O56,'JSO (t-1)'!O56)</f>
        <v>0</v>
      </c>
      <c r="P56" s="461">
        <f>SUM('DUoS (t-1)'!P56,'TUoS (t-1)'!P56,'JSO (t-1)'!P56)</f>
        <v>0</v>
      </c>
      <c r="Q56" s="461">
        <f>SUM('DUoS (t-1)'!Q56,'TUoS (t-1)'!Q56,'JSO (t-1)'!Q56)</f>
        <v>0</v>
      </c>
      <c r="R56" s="462">
        <f>SUM('DUoS (t-1)'!R56,'TUoS (t-1)'!R56,'JSO (t-1)'!R56)</f>
        <v>0</v>
      </c>
      <c r="S56" s="478">
        <f>SUM('DUoS (t-1)'!S56,'TUoS (t-1)'!S56,'JSO (t-1)'!S56)</f>
        <v>0.25329999999999997</v>
      </c>
      <c r="T56" s="483">
        <f>SUM('DUoS (t-1)'!T56,'TUoS (t-1)'!T56,'JSO (t-1)'!T56)</f>
        <v>0.1036</v>
      </c>
      <c r="U56" s="479">
        <f>SUM('DUoS (t-1)'!U56,'TUoS (t-1)'!U56,'JSO (t-1)'!U56)</f>
        <v>0</v>
      </c>
      <c r="V56" s="462">
        <f>SUM('DUoS (t-1)'!V56,'TUoS (t-1)'!V56,'JSO (t-1)'!V56)</f>
        <v>0</v>
      </c>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2"/>
        <v>14.999967000000002</v>
      </c>
      <c r="AP56" s="184">
        <f t="shared" si="23"/>
        <v>0</v>
      </c>
      <c r="AQ56" s="178">
        <f t="shared" si="24"/>
        <v>39.124200000000002</v>
      </c>
      <c r="AR56" s="178">
        <f t="shared" si="25"/>
        <v>0</v>
      </c>
      <c r="AS56" s="179">
        <f t="shared" si="26"/>
        <v>80.812799999999996</v>
      </c>
      <c r="AT56" s="178">
        <f t="shared" si="27"/>
        <v>0</v>
      </c>
      <c r="AU56" s="178">
        <f t="shared" si="28"/>
        <v>0</v>
      </c>
      <c r="AV56" s="178">
        <f t="shared" si="29"/>
        <v>0</v>
      </c>
      <c r="AW56" s="179">
        <f t="shared" si="30"/>
        <v>0</v>
      </c>
      <c r="AX56" s="178">
        <f t="shared" si="31"/>
        <v>0</v>
      </c>
      <c r="AY56" s="178">
        <f t="shared" si="32"/>
        <v>0</v>
      </c>
      <c r="AZ56" s="179">
        <f t="shared" si="33"/>
        <v>0</v>
      </c>
      <c r="BA56" s="184">
        <f t="shared" si="34"/>
        <v>51.312247499999991</v>
      </c>
      <c r="BB56" s="178">
        <f t="shared" si="35"/>
        <v>33.767901999999999</v>
      </c>
      <c r="BC56" s="184">
        <f t="shared" si="36"/>
        <v>0</v>
      </c>
      <c r="BD56" s="178">
        <f t="shared" si="37"/>
        <v>0</v>
      </c>
      <c r="BE56" s="244">
        <f t="shared" si="38"/>
        <v>1</v>
      </c>
      <c r="BF56" s="245">
        <f t="shared" si="39"/>
        <v>2543</v>
      </c>
      <c r="BH56" s="255">
        <f t="shared" si="40"/>
        <v>14.999967000000002</v>
      </c>
      <c r="BI56" s="255">
        <f t="shared" si="41"/>
        <v>119.937</v>
      </c>
      <c r="BJ56" s="255">
        <f t="shared" si="42"/>
        <v>0</v>
      </c>
      <c r="BK56" s="256">
        <f t="shared" si="43"/>
        <v>85.08014949999999</v>
      </c>
      <c r="BL56" s="262">
        <f t="shared" si="44"/>
        <v>0</v>
      </c>
      <c r="BM56" s="257">
        <f t="shared" si="45"/>
        <v>220.01711649999999</v>
      </c>
      <c r="BO56" s="714">
        <f t="shared" si="46"/>
        <v>86.518724537947293</v>
      </c>
    </row>
    <row r="57" spans="2:67" ht="15" customHeight="1" x14ac:dyDescent="0.25">
      <c r="B57" s="19">
        <f t="shared" si="47"/>
        <v>12</v>
      </c>
      <c r="C57" s="833" t="s">
        <v>568</v>
      </c>
      <c r="D57" s="834"/>
      <c r="E57" s="835" t="s">
        <v>94</v>
      </c>
      <c r="G57" s="477">
        <f>SUM('DUoS (t-1)'!G57,'TUoS (t-1)'!G57,'JSO (t-1)'!G57)</f>
        <v>34.246500000000005</v>
      </c>
      <c r="H57" s="479">
        <f>SUM('DUoS (t-1)'!H57,'TUoS (t-1)'!H57,'JSO (t-1)'!H57)</f>
        <v>0</v>
      </c>
      <c r="I57" s="483">
        <f>SUM('DUoS (t-1)'!I57,'TUoS (t-1)'!I57,'JSO (t-1)'!I57)</f>
        <v>6.6200000000000009E-2</v>
      </c>
      <c r="J57" s="461">
        <f>SUM('DUoS (t-1)'!J57,'TUoS (t-1)'!J57,'JSO (t-1)'!J57)</f>
        <v>0</v>
      </c>
      <c r="K57" s="484">
        <f>SUM('DUoS (t-1)'!K57,'TUoS (t-1)'!K57,'JSO (t-1)'!K57)</f>
        <v>4.1399999999999999E-2</v>
      </c>
      <c r="L57" s="461">
        <f>SUM('DUoS (t-1)'!L57,'TUoS (t-1)'!L57,'JSO (t-1)'!L57)</f>
        <v>0</v>
      </c>
      <c r="M57" s="461">
        <f>SUM('DUoS (t-1)'!M57,'TUoS (t-1)'!M57,'JSO (t-1)'!M57)</f>
        <v>0</v>
      </c>
      <c r="N57" s="461">
        <f>SUM('DUoS (t-1)'!N57,'TUoS (t-1)'!N57,'JSO (t-1)'!N57)</f>
        <v>0</v>
      </c>
      <c r="O57" s="462">
        <f>SUM('DUoS (t-1)'!O57,'TUoS (t-1)'!O57,'JSO (t-1)'!O57)</f>
        <v>0</v>
      </c>
      <c r="P57" s="461">
        <f>SUM('DUoS (t-1)'!P57,'TUoS (t-1)'!P57,'JSO (t-1)'!P57)</f>
        <v>0</v>
      </c>
      <c r="Q57" s="461">
        <f>SUM('DUoS (t-1)'!Q57,'TUoS (t-1)'!Q57,'JSO (t-1)'!Q57)</f>
        <v>0</v>
      </c>
      <c r="R57" s="462">
        <f>SUM('DUoS (t-1)'!R57,'TUoS (t-1)'!R57,'JSO (t-1)'!R57)</f>
        <v>0</v>
      </c>
      <c r="S57" s="478">
        <f>SUM('DUoS (t-1)'!S57,'TUoS (t-1)'!S57,'JSO (t-1)'!S57)</f>
        <v>0.25329999999999997</v>
      </c>
      <c r="T57" s="483">
        <f>SUM('DUoS (t-1)'!T57,'TUoS (t-1)'!T57,'JSO (t-1)'!T57)</f>
        <v>0.1036</v>
      </c>
      <c r="U57" s="479">
        <f>SUM('DUoS (t-1)'!U57,'TUoS (t-1)'!U57,'JSO (t-1)'!U57)</f>
        <v>0</v>
      </c>
      <c r="V57" s="462">
        <f>SUM('DUoS (t-1)'!V57,'TUoS (t-1)'!V57,'JSO (t-1)'!V57)</f>
        <v>0</v>
      </c>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2"/>
        <v>0</v>
      </c>
      <c r="AP57" s="184">
        <f t="shared" si="23"/>
        <v>0</v>
      </c>
      <c r="AQ57" s="178">
        <f t="shared" si="24"/>
        <v>0</v>
      </c>
      <c r="AR57" s="178">
        <f t="shared" si="25"/>
        <v>0</v>
      </c>
      <c r="AS57" s="179">
        <f t="shared" si="26"/>
        <v>0</v>
      </c>
      <c r="AT57" s="178">
        <f t="shared" si="27"/>
        <v>0</v>
      </c>
      <c r="AU57" s="178">
        <f t="shared" si="28"/>
        <v>0</v>
      </c>
      <c r="AV57" s="178">
        <f t="shared" si="29"/>
        <v>0</v>
      </c>
      <c r="AW57" s="179">
        <f t="shared" si="30"/>
        <v>0</v>
      </c>
      <c r="AX57" s="178">
        <f t="shared" si="31"/>
        <v>0</v>
      </c>
      <c r="AY57" s="178">
        <f t="shared" si="32"/>
        <v>0</v>
      </c>
      <c r="AZ57" s="179">
        <f t="shared" si="33"/>
        <v>0</v>
      </c>
      <c r="BA57" s="184">
        <f t="shared" si="34"/>
        <v>0</v>
      </c>
      <c r="BB57" s="178">
        <f t="shared" si="35"/>
        <v>0</v>
      </c>
      <c r="BC57" s="184">
        <f t="shared" si="36"/>
        <v>0</v>
      </c>
      <c r="BD57" s="178">
        <f t="shared" si="37"/>
        <v>0</v>
      </c>
      <c r="BE57" s="244">
        <f t="shared" si="38"/>
        <v>0</v>
      </c>
      <c r="BF57" s="245">
        <f t="shared" si="39"/>
        <v>0</v>
      </c>
      <c r="BH57" s="255">
        <f t="shared" si="40"/>
        <v>0</v>
      </c>
      <c r="BI57" s="255">
        <f t="shared" si="41"/>
        <v>0</v>
      </c>
      <c r="BJ57" s="255">
        <f t="shared" si="42"/>
        <v>0</v>
      </c>
      <c r="BK57" s="256">
        <f t="shared" si="43"/>
        <v>0</v>
      </c>
      <c r="BL57" s="262">
        <f t="shared" si="44"/>
        <v>0</v>
      </c>
      <c r="BM57" s="257">
        <f t="shared" si="45"/>
        <v>0</v>
      </c>
      <c r="BO57" s="714" t="str">
        <f t="shared" si="46"/>
        <v/>
      </c>
    </row>
    <row r="58" spans="2:67" ht="15" customHeight="1" x14ac:dyDescent="0.25">
      <c r="B58" s="19">
        <f t="shared" si="47"/>
        <v>13</v>
      </c>
      <c r="C58" s="44" t="s">
        <v>569</v>
      </c>
      <c r="D58" s="834"/>
      <c r="E58" s="105" t="s">
        <v>94</v>
      </c>
      <c r="G58" s="477">
        <f>SUM('DUoS (t-1)'!G58,'TUoS (t-1)'!G58,'JSO (t-1)'!G58)</f>
        <v>27.397200000000002</v>
      </c>
      <c r="H58" s="479">
        <f>SUM('DUoS (t-1)'!H58,'TUoS (t-1)'!H58,'JSO (t-1)'!H58)</f>
        <v>0</v>
      </c>
      <c r="I58" s="483">
        <f>SUM('DUoS (t-1)'!I58,'TUoS (t-1)'!I58,'JSO (t-1)'!I58)</f>
        <v>6.6200000000000009E-2</v>
      </c>
      <c r="J58" s="461">
        <f>SUM('DUoS (t-1)'!J58,'TUoS (t-1)'!J58,'JSO (t-1)'!J58)</f>
        <v>0</v>
      </c>
      <c r="K58" s="484">
        <f>SUM('DUoS (t-1)'!K58,'TUoS (t-1)'!K58,'JSO (t-1)'!K58)</f>
        <v>4.1399999999999999E-2</v>
      </c>
      <c r="L58" s="461">
        <f>SUM('DUoS (t-1)'!L58,'TUoS (t-1)'!L58,'JSO (t-1)'!L58)</f>
        <v>0</v>
      </c>
      <c r="M58" s="461">
        <f>SUM('DUoS (t-1)'!M58,'TUoS (t-1)'!M58,'JSO (t-1)'!M58)</f>
        <v>0</v>
      </c>
      <c r="N58" s="461">
        <f>SUM('DUoS (t-1)'!N58,'TUoS (t-1)'!N58,'JSO (t-1)'!N58)</f>
        <v>0</v>
      </c>
      <c r="O58" s="462">
        <f>SUM('DUoS (t-1)'!O58,'TUoS (t-1)'!O58,'JSO (t-1)'!O58)</f>
        <v>0</v>
      </c>
      <c r="P58" s="461">
        <f>SUM('DUoS (t-1)'!P58,'TUoS (t-1)'!P58,'JSO (t-1)'!P58)</f>
        <v>0</v>
      </c>
      <c r="Q58" s="461">
        <f>SUM('DUoS (t-1)'!Q58,'TUoS (t-1)'!Q58,'JSO (t-1)'!Q58)</f>
        <v>0</v>
      </c>
      <c r="R58" s="462">
        <f>SUM('DUoS (t-1)'!R58,'TUoS (t-1)'!R58,'JSO (t-1)'!R58)</f>
        <v>0</v>
      </c>
      <c r="S58" s="478">
        <f>SUM('DUoS (t-1)'!S58,'TUoS (t-1)'!S58,'JSO (t-1)'!S58)</f>
        <v>0.25329999999999997</v>
      </c>
      <c r="T58" s="483">
        <f>SUM('DUoS (t-1)'!T58,'TUoS (t-1)'!T58,'JSO (t-1)'!T58)</f>
        <v>0.1036</v>
      </c>
      <c r="U58" s="479">
        <f>SUM('DUoS (t-1)'!U58,'TUoS (t-1)'!U58,'JSO (t-1)'!U58)</f>
        <v>0</v>
      </c>
      <c r="V58" s="462">
        <f>SUM('DUoS (t-1)'!V58,'TUoS (t-1)'!V58,'JSO (t-1)'!V58)</f>
        <v>0</v>
      </c>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2"/>
        <v>9.9999780000000005</v>
      </c>
      <c r="AP58" s="184">
        <f t="shared" si="23"/>
        <v>0</v>
      </c>
      <c r="AQ58" s="178">
        <f t="shared" si="24"/>
        <v>65.074600000000004</v>
      </c>
      <c r="AR58" s="178">
        <f t="shared" si="25"/>
        <v>0</v>
      </c>
      <c r="AS58" s="179">
        <f t="shared" si="26"/>
        <v>47.61</v>
      </c>
      <c r="AT58" s="178">
        <f t="shared" si="27"/>
        <v>0</v>
      </c>
      <c r="AU58" s="178">
        <f t="shared" si="28"/>
        <v>0</v>
      </c>
      <c r="AV58" s="178">
        <f t="shared" si="29"/>
        <v>0</v>
      </c>
      <c r="AW58" s="179">
        <f t="shared" si="30"/>
        <v>0</v>
      </c>
      <c r="AX58" s="178">
        <f t="shared" si="31"/>
        <v>0</v>
      </c>
      <c r="AY58" s="178">
        <f t="shared" si="32"/>
        <v>0</v>
      </c>
      <c r="AZ58" s="179">
        <f t="shared" si="33"/>
        <v>0</v>
      </c>
      <c r="BA58" s="184">
        <f t="shared" si="34"/>
        <v>74.056054500000002</v>
      </c>
      <c r="BB58" s="178">
        <f t="shared" si="35"/>
        <v>35.998927999999999</v>
      </c>
      <c r="BC58" s="184">
        <f t="shared" si="36"/>
        <v>0</v>
      </c>
      <c r="BD58" s="178">
        <f t="shared" si="37"/>
        <v>0</v>
      </c>
      <c r="BE58" s="244">
        <f t="shared" si="38"/>
        <v>1</v>
      </c>
      <c r="BF58" s="245">
        <f t="shared" si="39"/>
        <v>2133</v>
      </c>
      <c r="BH58" s="255">
        <f t="shared" si="40"/>
        <v>9.9999780000000005</v>
      </c>
      <c r="BI58" s="255">
        <f t="shared" si="41"/>
        <v>112.6846</v>
      </c>
      <c r="BJ58" s="255">
        <f t="shared" si="42"/>
        <v>0</v>
      </c>
      <c r="BK58" s="256">
        <f t="shared" si="43"/>
        <v>110.05498249999999</v>
      </c>
      <c r="BL58" s="262">
        <f t="shared" si="44"/>
        <v>0</v>
      </c>
      <c r="BM58" s="257">
        <f t="shared" si="45"/>
        <v>232.73956049999998</v>
      </c>
      <c r="BO58" s="714">
        <f t="shared" si="46"/>
        <v>109.11371800281293</v>
      </c>
    </row>
    <row r="59" spans="2:67" ht="15" customHeight="1" x14ac:dyDescent="0.25">
      <c r="B59" s="19">
        <f t="shared" si="47"/>
        <v>14</v>
      </c>
      <c r="C59" s="44" t="s">
        <v>570</v>
      </c>
      <c r="D59" s="834"/>
      <c r="E59" s="105" t="s">
        <v>94</v>
      </c>
      <c r="G59" s="477">
        <f>SUM('DUoS (t-1)'!G59,'TUoS (t-1)'!G59,'JSO (t-1)'!G59)</f>
        <v>13.698600000000001</v>
      </c>
      <c r="H59" s="479">
        <f>SUM('DUoS (t-1)'!H59,'TUoS (t-1)'!H59,'JSO (t-1)'!H59)</f>
        <v>0</v>
      </c>
      <c r="I59" s="483">
        <f>SUM('DUoS (t-1)'!I59,'TUoS (t-1)'!I59,'JSO (t-1)'!I59)</f>
        <v>6.6200000000000009E-2</v>
      </c>
      <c r="J59" s="461">
        <f>SUM('DUoS (t-1)'!J59,'TUoS (t-1)'!J59,'JSO (t-1)'!J59)</f>
        <v>0</v>
      </c>
      <c r="K59" s="484">
        <f>SUM('DUoS (t-1)'!K59,'TUoS (t-1)'!K59,'JSO (t-1)'!K59)</f>
        <v>4.1399999999999999E-2</v>
      </c>
      <c r="L59" s="461">
        <f>SUM('DUoS (t-1)'!L59,'TUoS (t-1)'!L59,'JSO (t-1)'!L59)</f>
        <v>0</v>
      </c>
      <c r="M59" s="461">
        <f>SUM('DUoS (t-1)'!M59,'TUoS (t-1)'!M59,'JSO (t-1)'!M59)</f>
        <v>0</v>
      </c>
      <c r="N59" s="461">
        <f>SUM('DUoS (t-1)'!N59,'TUoS (t-1)'!N59,'JSO (t-1)'!N59)</f>
        <v>0</v>
      </c>
      <c r="O59" s="462">
        <f>SUM('DUoS (t-1)'!O59,'TUoS (t-1)'!O59,'JSO (t-1)'!O59)</f>
        <v>0</v>
      </c>
      <c r="P59" s="461">
        <f>SUM('DUoS (t-1)'!P59,'TUoS (t-1)'!P59,'JSO (t-1)'!P59)</f>
        <v>0</v>
      </c>
      <c r="Q59" s="461">
        <f>SUM('DUoS (t-1)'!Q59,'TUoS (t-1)'!Q59,'JSO (t-1)'!Q59)</f>
        <v>0</v>
      </c>
      <c r="R59" s="462">
        <f>SUM('DUoS (t-1)'!R59,'TUoS (t-1)'!R59,'JSO (t-1)'!R59)</f>
        <v>0</v>
      </c>
      <c r="S59" s="478">
        <f>SUM('DUoS (t-1)'!S59,'TUoS (t-1)'!S59,'JSO (t-1)'!S59)</f>
        <v>0.25329999999999997</v>
      </c>
      <c r="T59" s="483">
        <f>SUM('DUoS (t-1)'!T59,'TUoS (t-1)'!T59,'JSO (t-1)'!T59)</f>
        <v>0.1036</v>
      </c>
      <c r="U59" s="479">
        <f>SUM('DUoS (t-1)'!U59,'TUoS (t-1)'!U59,'JSO (t-1)'!U59)</f>
        <v>0</v>
      </c>
      <c r="V59" s="462">
        <f>SUM('DUoS (t-1)'!V59,'TUoS (t-1)'!V59,'JSO (t-1)'!V59)</f>
        <v>0</v>
      </c>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2"/>
        <v>4.9999890000000002</v>
      </c>
      <c r="AP59" s="184">
        <f t="shared" si="23"/>
        <v>0</v>
      </c>
      <c r="AQ59" s="178">
        <f t="shared" si="24"/>
        <v>66.067600000000013</v>
      </c>
      <c r="AR59" s="178">
        <f t="shared" si="25"/>
        <v>0</v>
      </c>
      <c r="AS59" s="179">
        <f t="shared" si="26"/>
        <v>84.414599999999993</v>
      </c>
      <c r="AT59" s="178">
        <f t="shared" si="27"/>
        <v>0</v>
      </c>
      <c r="AU59" s="178">
        <f t="shared" si="28"/>
        <v>0</v>
      </c>
      <c r="AV59" s="178">
        <f t="shared" si="29"/>
        <v>0</v>
      </c>
      <c r="AW59" s="179">
        <f t="shared" si="30"/>
        <v>0</v>
      </c>
      <c r="AX59" s="178">
        <f t="shared" si="31"/>
        <v>0</v>
      </c>
      <c r="AY59" s="178">
        <f t="shared" si="32"/>
        <v>0</v>
      </c>
      <c r="AZ59" s="179">
        <f t="shared" si="33"/>
        <v>0</v>
      </c>
      <c r="BA59" s="184">
        <f t="shared" si="34"/>
        <v>57.229335499999991</v>
      </c>
      <c r="BB59" s="178">
        <f t="shared" si="35"/>
        <v>30.175571999999999</v>
      </c>
      <c r="BC59" s="184">
        <f t="shared" si="36"/>
        <v>0</v>
      </c>
      <c r="BD59" s="178">
        <f t="shared" si="37"/>
        <v>0</v>
      </c>
      <c r="BE59" s="244">
        <f t="shared" si="38"/>
        <v>1</v>
      </c>
      <c r="BF59" s="245">
        <f t="shared" si="39"/>
        <v>3037</v>
      </c>
      <c r="BH59" s="255">
        <f t="shared" si="40"/>
        <v>4.9999890000000002</v>
      </c>
      <c r="BI59" s="255">
        <f t="shared" si="41"/>
        <v>150.48220000000001</v>
      </c>
      <c r="BJ59" s="255">
        <f t="shared" si="42"/>
        <v>0</v>
      </c>
      <c r="BK59" s="256">
        <f t="shared" si="43"/>
        <v>87.404907499999993</v>
      </c>
      <c r="BL59" s="262">
        <f t="shared" si="44"/>
        <v>0</v>
      </c>
      <c r="BM59" s="257">
        <f t="shared" si="45"/>
        <v>242.88709649999998</v>
      </c>
      <c r="BO59" s="714">
        <f t="shared" si="46"/>
        <v>79.975994896279218</v>
      </c>
    </row>
    <row r="60" spans="2:67" ht="15" customHeight="1" x14ac:dyDescent="0.25">
      <c r="B60" s="19">
        <f t="shared" si="47"/>
        <v>15</v>
      </c>
      <c r="C60" s="44" t="s">
        <v>572</v>
      </c>
      <c r="D60" s="45"/>
      <c r="E60" s="105" t="s">
        <v>94</v>
      </c>
      <c r="G60" s="477">
        <f>SUM('DUoS (t-1)'!G60,'TUoS (t-1)'!G60,'JSO (t-1)'!G60)</f>
        <v>13.698600000000001</v>
      </c>
      <c r="H60" s="479">
        <f>SUM('DUoS (t-1)'!H60,'TUoS (t-1)'!H60,'JSO (t-1)'!H60)</f>
        <v>0</v>
      </c>
      <c r="I60" s="483">
        <f>SUM('DUoS (t-1)'!I60,'TUoS (t-1)'!I60,'JSO (t-1)'!I60)</f>
        <v>6.6200000000000009E-2</v>
      </c>
      <c r="J60" s="461">
        <f>SUM('DUoS (t-1)'!J60,'TUoS (t-1)'!J60,'JSO (t-1)'!J60)</f>
        <v>0</v>
      </c>
      <c r="K60" s="484">
        <f>SUM('DUoS (t-1)'!K60,'TUoS (t-1)'!K60,'JSO (t-1)'!K60)</f>
        <v>4.1399999999999999E-2</v>
      </c>
      <c r="L60" s="461">
        <f>SUM('DUoS (t-1)'!L60,'TUoS (t-1)'!L60,'JSO (t-1)'!L60)</f>
        <v>0</v>
      </c>
      <c r="M60" s="461">
        <f>SUM('DUoS (t-1)'!M60,'TUoS (t-1)'!M60,'JSO (t-1)'!M60)</f>
        <v>0</v>
      </c>
      <c r="N60" s="461">
        <f>SUM('DUoS (t-1)'!N60,'TUoS (t-1)'!N60,'JSO (t-1)'!N60)</f>
        <v>0</v>
      </c>
      <c r="O60" s="462">
        <f>SUM('DUoS (t-1)'!O60,'TUoS (t-1)'!O60,'JSO (t-1)'!O60)</f>
        <v>0</v>
      </c>
      <c r="P60" s="461">
        <f>SUM('DUoS (t-1)'!P60,'TUoS (t-1)'!P60,'JSO (t-1)'!P60)</f>
        <v>0</v>
      </c>
      <c r="Q60" s="461">
        <f>SUM('DUoS (t-1)'!Q60,'TUoS (t-1)'!Q60,'JSO (t-1)'!Q60)</f>
        <v>0</v>
      </c>
      <c r="R60" s="462">
        <f>SUM('DUoS (t-1)'!R60,'TUoS (t-1)'!R60,'JSO (t-1)'!R60)</f>
        <v>0</v>
      </c>
      <c r="S60" s="478">
        <f>SUM('DUoS (t-1)'!S60,'TUoS (t-1)'!S60,'JSO (t-1)'!S60)</f>
        <v>0.25329999999999997</v>
      </c>
      <c r="T60" s="483">
        <f>SUM('DUoS (t-1)'!T60,'TUoS (t-1)'!T60,'JSO (t-1)'!T60)</f>
        <v>0.1036</v>
      </c>
      <c r="U60" s="479">
        <f>SUM('DUoS (t-1)'!U60,'TUoS (t-1)'!U60,'JSO (t-1)'!U60)</f>
        <v>0</v>
      </c>
      <c r="V60" s="462">
        <f>SUM('DUoS (t-1)'!V60,'TUoS (t-1)'!V60,'JSO (t-1)'!V60)</f>
        <v>0</v>
      </c>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2"/>
        <v>4.9999890000000002</v>
      </c>
      <c r="AP60" s="184">
        <f t="shared" si="23"/>
        <v>0</v>
      </c>
      <c r="AQ60" s="178">
        <f t="shared" si="24"/>
        <v>234.81140000000002</v>
      </c>
      <c r="AR60" s="178">
        <f t="shared" si="25"/>
        <v>0</v>
      </c>
      <c r="AS60" s="179">
        <f t="shared" si="26"/>
        <v>131.98320000000001</v>
      </c>
      <c r="AT60" s="178">
        <f t="shared" si="27"/>
        <v>0</v>
      </c>
      <c r="AU60" s="178">
        <f t="shared" si="28"/>
        <v>0</v>
      </c>
      <c r="AV60" s="178">
        <f t="shared" si="29"/>
        <v>0</v>
      </c>
      <c r="AW60" s="179">
        <f t="shared" si="30"/>
        <v>0</v>
      </c>
      <c r="AX60" s="178">
        <f t="shared" si="31"/>
        <v>0</v>
      </c>
      <c r="AY60" s="178">
        <f t="shared" si="32"/>
        <v>0</v>
      </c>
      <c r="AZ60" s="179">
        <f t="shared" si="33"/>
        <v>0</v>
      </c>
      <c r="BA60" s="184">
        <f t="shared" si="34"/>
        <v>205.34144449999999</v>
      </c>
      <c r="BB60" s="178">
        <f t="shared" si="35"/>
        <v>90.564530000000005</v>
      </c>
      <c r="BC60" s="184">
        <f t="shared" si="36"/>
        <v>0</v>
      </c>
      <c r="BD60" s="178">
        <f t="shared" si="37"/>
        <v>0</v>
      </c>
      <c r="BE60" s="244">
        <f t="shared" si="38"/>
        <v>1</v>
      </c>
      <c r="BF60" s="245">
        <f t="shared" si="39"/>
        <v>6735</v>
      </c>
      <c r="BH60" s="255">
        <f t="shared" si="40"/>
        <v>4.9999890000000002</v>
      </c>
      <c r="BI60" s="255">
        <f t="shared" si="41"/>
        <v>366.79460000000006</v>
      </c>
      <c r="BJ60" s="255">
        <f t="shared" si="42"/>
        <v>0</v>
      </c>
      <c r="BK60" s="256">
        <f t="shared" si="43"/>
        <v>295.90597450000001</v>
      </c>
      <c r="BL60" s="262">
        <f t="shared" si="44"/>
        <v>0</v>
      </c>
      <c r="BM60" s="257">
        <f t="shared" si="45"/>
        <v>667.70056350000004</v>
      </c>
      <c r="BO60" s="714">
        <f t="shared" si="46"/>
        <v>99.138910690423174</v>
      </c>
    </row>
    <row r="61" spans="2:67" ht="15" customHeight="1" x14ac:dyDescent="0.25">
      <c r="B61" s="19">
        <f t="shared" si="47"/>
        <v>16</v>
      </c>
      <c r="C61" s="44" t="s">
        <v>651</v>
      </c>
      <c r="D61" s="45"/>
      <c r="E61" s="105" t="s">
        <v>94</v>
      </c>
      <c r="G61" s="477">
        <f>SUM('DUoS (t-1)'!G61,'TUoS (t-1)'!G61,'JSO (t-1)'!G61)</f>
        <v>47.945100000000004</v>
      </c>
      <c r="H61" s="479">
        <f>SUM('DUoS (t-1)'!H61,'TUoS (t-1)'!H61,'JSO (t-1)'!H61)</f>
        <v>0</v>
      </c>
      <c r="I61" s="483">
        <f>SUM('DUoS (t-1)'!I61,'TUoS (t-1)'!I61,'JSO (t-1)'!I61)</f>
        <v>6.6200000000000009E-2</v>
      </c>
      <c r="J61" s="461">
        <f>SUM('DUoS (t-1)'!J61,'TUoS (t-1)'!J61,'JSO (t-1)'!J61)</f>
        <v>0</v>
      </c>
      <c r="K61" s="484">
        <f>SUM('DUoS (t-1)'!K61,'TUoS (t-1)'!K61,'JSO (t-1)'!K61)</f>
        <v>4.1399999999999999E-2</v>
      </c>
      <c r="L61" s="461">
        <f>SUM('DUoS (t-1)'!L61,'TUoS (t-1)'!L61,'JSO (t-1)'!L61)</f>
        <v>0</v>
      </c>
      <c r="M61" s="461">
        <f>SUM('DUoS (t-1)'!M61,'TUoS (t-1)'!M61,'JSO (t-1)'!M61)</f>
        <v>0</v>
      </c>
      <c r="N61" s="461">
        <f>SUM('DUoS (t-1)'!N61,'TUoS (t-1)'!N61,'JSO (t-1)'!N61)</f>
        <v>0</v>
      </c>
      <c r="O61" s="462">
        <f>SUM('DUoS (t-1)'!O61,'TUoS (t-1)'!O61,'JSO (t-1)'!O61)</f>
        <v>0</v>
      </c>
      <c r="P61" s="461">
        <f>SUM('DUoS (t-1)'!P61,'TUoS (t-1)'!P61,'JSO (t-1)'!P61)</f>
        <v>0</v>
      </c>
      <c r="Q61" s="461">
        <f>SUM('DUoS (t-1)'!Q61,'TUoS (t-1)'!Q61,'JSO (t-1)'!Q61)</f>
        <v>0</v>
      </c>
      <c r="R61" s="462">
        <f>SUM('DUoS (t-1)'!R61,'TUoS (t-1)'!R61,'JSO (t-1)'!R61)</f>
        <v>0</v>
      </c>
      <c r="S61" s="478">
        <f>SUM('DUoS (t-1)'!S61,'TUoS (t-1)'!S61,'JSO (t-1)'!S61)</f>
        <v>0.25329999999999997</v>
      </c>
      <c r="T61" s="483">
        <f>SUM('DUoS (t-1)'!T61,'TUoS (t-1)'!T61,'JSO (t-1)'!T61)</f>
        <v>0.1036</v>
      </c>
      <c r="U61" s="479">
        <f>SUM('DUoS (t-1)'!U61,'TUoS (t-1)'!U61,'JSO (t-1)'!U61)</f>
        <v>0</v>
      </c>
      <c r="V61" s="462">
        <f>SUM('DUoS (t-1)'!V61,'TUoS (t-1)'!V61,'JSO (t-1)'!V61)</f>
        <v>0</v>
      </c>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2"/>
        <v>17.499961500000001</v>
      </c>
      <c r="AP61" s="184">
        <f t="shared" si="23"/>
        <v>0</v>
      </c>
      <c r="AQ61" s="178">
        <f t="shared" si="24"/>
        <v>24.825000000000003</v>
      </c>
      <c r="AR61" s="178">
        <f t="shared" si="25"/>
        <v>0</v>
      </c>
      <c r="AS61" s="179">
        <f t="shared" si="26"/>
        <v>45.084600000000002</v>
      </c>
      <c r="AT61" s="178">
        <f t="shared" si="27"/>
        <v>0</v>
      </c>
      <c r="AU61" s="178">
        <f t="shared" si="28"/>
        <v>0</v>
      </c>
      <c r="AV61" s="178">
        <f t="shared" si="29"/>
        <v>0</v>
      </c>
      <c r="AW61" s="179">
        <f t="shared" si="30"/>
        <v>0</v>
      </c>
      <c r="AX61" s="178">
        <f t="shared" si="31"/>
        <v>0</v>
      </c>
      <c r="AY61" s="178">
        <f t="shared" si="32"/>
        <v>0</v>
      </c>
      <c r="AZ61" s="179">
        <f t="shared" si="33"/>
        <v>0</v>
      </c>
      <c r="BA61" s="184">
        <f t="shared" si="34"/>
        <v>114.55112549999998</v>
      </c>
      <c r="BB61" s="178">
        <f t="shared" si="35"/>
        <v>50.292619999999992</v>
      </c>
      <c r="BC61" s="184">
        <f t="shared" si="36"/>
        <v>0</v>
      </c>
      <c r="BD61" s="178">
        <f t="shared" si="37"/>
        <v>0</v>
      </c>
      <c r="BE61" s="244">
        <f t="shared" si="38"/>
        <v>1</v>
      </c>
      <c r="BF61" s="245">
        <f t="shared" si="39"/>
        <v>1464</v>
      </c>
      <c r="BH61" s="255">
        <f t="shared" si="40"/>
        <v>17.499961500000001</v>
      </c>
      <c r="BI61" s="255">
        <f t="shared" si="41"/>
        <v>69.909600000000012</v>
      </c>
      <c r="BJ61" s="255">
        <f t="shared" si="42"/>
        <v>0</v>
      </c>
      <c r="BK61" s="256">
        <f t="shared" si="43"/>
        <v>164.84374549999998</v>
      </c>
      <c r="BL61" s="262">
        <f t="shared" si="44"/>
        <v>0</v>
      </c>
      <c r="BM61" s="257">
        <f t="shared" si="45"/>
        <v>252.25330700000001</v>
      </c>
      <c r="BO61" s="714">
        <f t="shared" si="46"/>
        <v>172.30417144808743</v>
      </c>
    </row>
    <row r="62" spans="2:67" ht="15" customHeight="1" x14ac:dyDescent="0.25">
      <c r="B62" s="19">
        <f t="shared" si="47"/>
        <v>17</v>
      </c>
      <c r="C62" s="44" t="s">
        <v>707</v>
      </c>
      <c r="D62" s="45"/>
      <c r="E62" s="105" t="s">
        <v>94</v>
      </c>
      <c r="G62" s="477">
        <f>SUM('DUoS (t-1)'!G62,'TUoS (t-1)'!G62,'JSO (t-1)'!G62)</f>
        <v>6.8493000000000004</v>
      </c>
      <c r="H62" s="479">
        <f>SUM('DUoS (t-1)'!H62,'TUoS (t-1)'!H62,'JSO (t-1)'!H62)</f>
        <v>0</v>
      </c>
      <c r="I62" s="483">
        <f>SUM('DUoS (t-1)'!I62,'TUoS (t-1)'!I62,'JSO (t-1)'!I62)</f>
        <v>6.6200000000000009E-2</v>
      </c>
      <c r="J62" s="461">
        <f>SUM('DUoS (t-1)'!J62,'TUoS (t-1)'!J62,'JSO (t-1)'!J62)</f>
        <v>0</v>
      </c>
      <c r="K62" s="484">
        <f>SUM('DUoS (t-1)'!K62,'TUoS (t-1)'!K62,'JSO (t-1)'!K62)</f>
        <v>4.1399999999999999E-2</v>
      </c>
      <c r="L62" s="461">
        <f>SUM('DUoS (t-1)'!L62,'TUoS (t-1)'!L62,'JSO (t-1)'!L62)</f>
        <v>0</v>
      </c>
      <c r="M62" s="461">
        <f>SUM('DUoS (t-1)'!M62,'TUoS (t-1)'!M62,'JSO (t-1)'!M62)</f>
        <v>0</v>
      </c>
      <c r="N62" s="461">
        <f>SUM('DUoS (t-1)'!N62,'TUoS (t-1)'!N62,'JSO (t-1)'!N62)</f>
        <v>0</v>
      </c>
      <c r="O62" s="462">
        <f>SUM('DUoS (t-1)'!O62,'TUoS (t-1)'!O62,'JSO (t-1)'!O62)</f>
        <v>0</v>
      </c>
      <c r="P62" s="461">
        <f>SUM('DUoS (t-1)'!P62,'TUoS (t-1)'!P62,'JSO (t-1)'!P62)</f>
        <v>0</v>
      </c>
      <c r="Q62" s="461">
        <f>SUM('DUoS (t-1)'!Q62,'TUoS (t-1)'!Q62,'JSO (t-1)'!Q62)</f>
        <v>0</v>
      </c>
      <c r="R62" s="462">
        <f>SUM('DUoS (t-1)'!R62,'TUoS (t-1)'!R62,'JSO (t-1)'!R62)</f>
        <v>0</v>
      </c>
      <c r="S62" s="478">
        <f>SUM('DUoS (t-1)'!S62,'TUoS (t-1)'!S62,'JSO (t-1)'!S62)</f>
        <v>0.25329999999999997</v>
      </c>
      <c r="T62" s="483">
        <f>SUM('DUoS (t-1)'!T62,'TUoS (t-1)'!T62,'JSO (t-1)'!T62)</f>
        <v>0.1036</v>
      </c>
      <c r="U62" s="479">
        <f>SUM('DUoS (t-1)'!U62,'TUoS (t-1)'!U62,'JSO (t-1)'!U62)</f>
        <v>0</v>
      </c>
      <c r="V62" s="462">
        <f>SUM('DUoS (t-1)'!V62,'TUoS (t-1)'!V62,'JSO (t-1)'!V62)</f>
        <v>0</v>
      </c>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2"/>
        <v>2.4999945000000001</v>
      </c>
      <c r="AP62" s="184">
        <f t="shared" si="23"/>
        <v>0</v>
      </c>
      <c r="AQ62" s="178">
        <f t="shared" si="24"/>
        <v>77.851200000000006</v>
      </c>
      <c r="AR62" s="178">
        <f t="shared" si="25"/>
        <v>0</v>
      </c>
      <c r="AS62" s="179">
        <f t="shared" si="26"/>
        <v>85.242599999999996</v>
      </c>
      <c r="AT62" s="178">
        <f t="shared" si="27"/>
        <v>0</v>
      </c>
      <c r="AU62" s="178">
        <f t="shared" si="28"/>
        <v>0</v>
      </c>
      <c r="AV62" s="178">
        <f t="shared" si="29"/>
        <v>0</v>
      </c>
      <c r="AW62" s="179">
        <f t="shared" si="30"/>
        <v>0</v>
      </c>
      <c r="AX62" s="178">
        <f t="shared" si="31"/>
        <v>0</v>
      </c>
      <c r="AY62" s="178">
        <f t="shared" si="32"/>
        <v>0</v>
      </c>
      <c r="AZ62" s="179">
        <f t="shared" si="33"/>
        <v>0</v>
      </c>
      <c r="BA62" s="184">
        <f t="shared" si="34"/>
        <v>78.216506999999993</v>
      </c>
      <c r="BB62" s="178">
        <f t="shared" si="35"/>
        <v>33.919157999999996</v>
      </c>
      <c r="BC62" s="184">
        <f t="shared" si="36"/>
        <v>0</v>
      </c>
      <c r="BD62" s="178">
        <f t="shared" si="37"/>
        <v>0</v>
      </c>
      <c r="BE62" s="244">
        <f t="shared" si="38"/>
        <v>1</v>
      </c>
      <c r="BF62" s="245">
        <f t="shared" si="39"/>
        <v>3235</v>
      </c>
      <c r="BH62" s="255">
        <f t="shared" si="40"/>
        <v>2.4999945000000001</v>
      </c>
      <c r="BI62" s="255">
        <f t="shared" si="41"/>
        <v>163.09379999999999</v>
      </c>
      <c r="BJ62" s="255">
        <f t="shared" si="42"/>
        <v>0</v>
      </c>
      <c r="BK62" s="256">
        <f t="shared" si="43"/>
        <v>112.13566499999999</v>
      </c>
      <c r="BL62" s="262">
        <f t="shared" si="44"/>
        <v>0</v>
      </c>
      <c r="BM62" s="257">
        <f t="shared" si="45"/>
        <v>277.72945949999996</v>
      </c>
      <c r="BO62" s="714">
        <f t="shared" si="46"/>
        <v>85.851455795981437</v>
      </c>
    </row>
    <row r="63" spans="2:67" ht="15" customHeight="1" x14ac:dyDescent="0.25">
      <c r="B63" s="19">
        <f t="shared" si="47"/>
        <v>18</v>
      </c>
      <c r="C63" s="44" t="s">
        <v>571</v>
      </c>
      <c r="D63" s="45"/>
      <c r="E63" s="105" t="s">
        <v>94</v>
      </c>
      <c r="G63" s="477">
        <f>SUM('DUoS (t-1)'!G63,'TUoS (t-1)'!G63,'JSO (t-1)'!G63)</f>
        <v>20.547900000000002</v>
      </c>
      <c r="H63" s="479">
        <f>SUM('DUoS (t-1)'!H63,'TUoS (t-1)'!H63,'JSO (t-1)'!H63)</f>
        <v>0</v>
      </c>
      <c r="I63" s="483">
        <f>SUM('DUoS (t-1)'!I63,'TUoS (t-1)'!I63,'JSO (t-1)'!I63)</f>
        <v>6.6200000000000009E-2</v>
      </c>
      <c r="J63" s="461">
        <f>SUM('DUoS (t-1)'!J63,'TUoS (t-1)'!J63,'JSO (t-1)'!J63)</f>
        <v>0</v>
      </c>
      <c r="K63" s="484">
        <f>SUM('DUoS (t-1)'!K63,'TUoS (t-1)'!K63,'JSO (t-1)'!K63)</f>
        <v>4.1399999999999999E-2</v>
      </c>
      <c r="L63" s="461">
        <f>SUM('DUoS (t-1)'!L63,'TUoS (t-1)'!L63,'JSO (t-1)'!L63)</f>
        <v>0</v>
      </c>
      <c r="M63" s="461">
        <f>SUM('DUoS (t-1)'!M63,'TUoS (t-1)'!M63,'JSO (t-1)'!M63)</f>
        <v>0</v>
      </c>
      <c r="N63" s="461">
        <f>SUM('DUoS (t-1)'!N63,'TUoS (t-1)'!N63,'JSO (t-1)'!N63)</f>
        <v>0</v>
      </c>
      <c r="O63" s="462">
        <f>SUM('DUoS (t-1)'!O63,'TUoS (t-1)'!O63,'JSO (t-1)'!O63)</f>
        <v>0</v>
      </c>
      <c r="P63" s="461">
        <f>SUM('DUoS (t-1)'!P63,'TUoS (t-1)'!P63,'JSO (t-1)'!P63)</f>
        <v>0</v>
      </c>
      <c r="Q63" s="461">
        <f>SUM('DUoS (t-1)'!Q63,'TUoS (t-1)'!Q63,'JSO (t-1)'!Q63)</f>
        <v>0</v>
      </c>
      <c r="R63" s="462">
        <f>SUM('DUoS (t-1)'!R63,'TUoS (t-1)'!R63,'JSO (t-1)'!R63)</f>
        <v>0</v>
      </c>
      <c r="S63" s="478">
        <f>SUM('DUoS (t-1)'!S63,'TUoS (t-1)'!S63,'JSO (t-1)'!S63)</f>
        <v>0.25329999999999997</v>
      </c>
      <c r="T63" s="483">
        <f>SUM('DUoS (t-1)'!T63,'TUoS (t-1)'!T63,'JSO (t-1)'!T63)</f>
        <v>0.1036</v>
      </c>
      <c r="U63" s="479">
        <f>SUM('DUoS (t-1)'!U63,'TUoS (t-1)'!U63,'JSO (t-1)'!U63)</f>
        <v>0</v>
      </c>
      <c r="V63" s="462">
        <f>SUM('DUoS (t-1)'!V63,'TUoS (t-1)'!V63,'JSO (t-1)'!V63)</f>
        <v>0</v>
      </c>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2"/>
        <v>7.4999835000000008</v>
      </c>
      <c r="AP63" s="184">
        <f t="shared" si="23"/>
        <v>0</v>
      </c>
      <c r="AQ63" s="178">
        <f t="shared" si="24"/>
        <v>28.466000000000005</v>
      </c>
      <c r="AR63" s="178">
        <f t="shared" si="25"/>
        <v>0</v>
      </c>
      <c r="AS63" s="179">
        <f t="shared" si="26"/>
        <v>23.432400000000001</v>
      </c>
      <c r="AT63" s="178">
        <f t="shared" si="27"/>
        <v>0</v>
      </c>
      <c r="AU63" s="178">
        <f t="shared" si="28"/>
        <v>0</v>
      </c>
      <c r="AV63" s="178">
        <f t="shared" si="29"/>
        <v>0</v>
      </c>
      <c r="AW63" s="179">
        <f t="shared" si="30"/>
        <v>0</v>
      </c>
      <c r="AX63" s="178">
        <f t="shared" si="31"/>
        <v>0</v>
      </c>
      <c r="AY63" s="178">
        <f t="shared" si="32"/>
        <v>0</v>
      </c>
      <c r="AZ63" s="179">
        <f t="shared" si="33"/>
        <v>0</v>
      </c>
      <c r="BA63" s="184">
        <f t="shared" si="34"/>
        <v>25.702350999999997</v>
      </c>
      <c r="BB63" s="178">
        <f t="shared" si="35"/>
        <v>11.835782</v>
      </c>
      <c r="BC63" s="184">
        <f t="shared" si="36"/>
        <v>0</v>
      </c>
      <c r="BD63" s="178">
        <f t="shared" si="37"/>
        <v>0</v>
      </c>
      <c r="BE63" s="244">
        <f t="shared" si="38"/>
        <v>1</v>
      </c>
      <c r="BF63" s="245">
        <f t="shared" si="39"/>
        <v>996</v>
      </c>
      <c r="BH63" s="255">
        <f t="shared" si="40"/>
        <v>7.4999835000000008</v>
      </c>
      <c r="BI63" s="255">
        <f t="shared" si="41"/>
        <v>51.898400000000009</v>
      </c>
      <c r="BJ63" s="255">
        <f t="shared" si="42"/>
        <v>0</v>
      </c>
      <c r="BK63" s="256">
        <f t="shared" si="43"/>
        <v>37.538132999999995</v>
      </c>
      <c r="BL63" s="262">
        <f t="shared" si="44"/>
        <v>0</v>
      </c>
      <c r="BM63" s="257">
        <f t="shared" si="45"/>
        <v>96.93651650000001</v>
      </c>
      <c r="BO63" s="714">
        <f t="shared" si="46"/>
        <v>97.325819779116472</v>
      </c>
    </row>
    <row r="64" spans="2:67" ht="15" customHeight="1" x14ac:dyDescent="0.25">
      <c r="B64" s="19">
        <f t="shared" si="47"/>
        <v>19</v>
      </c>
      <c r="C64" s="44" t="s">
        <v>573</v>
      </c>
      <c r="D64" s="45"/>
      <c r="E64" s="105" t="s">
        <v>94</v>
      </c>
      <c r="G64" s="477">
        <f>SUM('DUoS (t-1)'!G64,'TUoS (t-1)'!G64,'JSO (t-1)'!G64)</f>
        <v>13.698600000000001</v>
      </c>
      <c r="H64" s="479">
        <f>SUM('DUoS (t-1)'!H64,'TUoS (t-1)'!H64,'JSO (t-1)'!H64)</f>
        <v>0</v>
      </c>
      <c r="I64" s="483">
        <f>SUM('DUoS (t-1)'!I64,'TUoS (t-1)'!I64,'JSO (t-1)'!I64)</f>
        <v>6.6200000000000009E-2</v>
      </c>
      <c r="J64" s="461">
        <f>SUM('DUoS (t-1)'!J64,'TUoS (t-1)'!J64,'JSO (t-1)'!J64)</f>
        <v>0</v>
      </c>
      <c r="K64" s="484">
        <f>SUM('DUoS (t-1)'!K64,'TUoS (t-1)'!K64,'JSO (t-1)'!K64)</f>
        <v>4.1399999999999999E-2</v>
      </c>
      <c r="L64" s="461">
        <f>SUM('DUoS (t-1)'!L64,'TUoS (t-1)'!L64,'JSO (t-1)'!L64)</f>
        <v>0</v>
      </c>
      <c r="M64" s="461">
        <f>SUM('DUoS (t-1)'!M64,'TUoS (t-1)'!M64,'JSO (t-1)'!M64)</f>
        <v>0</v>
      </c>
      <c r="N64" s="461">
        <f>SUM('DUoS (t-1)'!N64,'TUoS (t-1)'!N64,'JSO (t-1)'!N64)</f>
        <v>0</v>
      </c>
      <c r="O64" s="462">
        <f>SUM('DUoS (t-1)'!O64,'TUoS (t-1)'!O64,'JSO (t-1)'!O64)</f>
        <v>0</v>
      </c>
      <c r="P64" s="461">
        <f>SUM('DUoS (t-1)'!P64,'TUoS (t-1)'!P64,'JSO (t-1)'!P64)</f>
        <v>0</v>
      </c>
      <c r="Q64" s="461">
        <f>SUM('DUoS (t-1)'!Q64,'TUoS (t-1)'!Q64,'JSO (t-1)'!Q64)</f>
        <v>0</v>
      </c>
      <c r="R64" s="462">
        <f>SUM('DUoS (t-1)'!R64,'TUoS (t-1)'!R64,'JSO (t-1)'!R64)</f>
        <v>0</v>
      </c>
      <c r="S64" s="478">
        <f>SUM('DUoS (t-1)'!S64,'TUoS (t-1)'!S64,'JSO (t-1)'!S64)</f>
        <v>0.25329999999999997</v>
      </c>
      <c r="T64" s="483">
        <f>SUM('DUoS (t-1)'!T64,'TUoS (t-1)'!T64,'JSO (t-1)'!T64)</f>
        <v>0.1036</v>
      </c>
      <c r="U64" s="479">
        <f>SUM('DUoS (t-1)'!U64,'TUoS (t-1)'!U64,'JSO (t-1)'!U64)</f>
        <v>0</v>
      </c>
      <c r="V64" s="462">
        <f>SUM('DUoS (t-1)'!V64,'TUoS (t-1)'!V64,'JSO (t-1)'!V64)</f>
        <v>0</v>
      </c>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2"/>
        <v>4.9999890000000002</v>
      </c>
      <c r="AP64" s="184">
        <f t="shared" si="23"/>
        <v>0</v>
      </c>
      <c r="AQ64" s="178">
        <f t="shared" si="24"/>
        <v>25.023600000000002</v>
      </c>
      <c r="AR64" s="178">
        <f t="shared" si="25"/>
        <v>0</v>
      </c>
      <c r="AS64" s="179">
        <f t="shared" si="26"/>
        <v>24.881399999999999</v>
      </c>
      <c r="AT64" s="178">
        <f t="shared" si="27"/>
        <v>0</v>
      </c>
      <c r="AU64" s="178">
        <f t="shared" si="28"/>
        <v>0</v>
      </c>
      <c r="AV64" s="178">
        <f t="shared" si="29"/>
        <v>0</v>
      </c>
      <c r="AW64" s="179">
        <f t="shared" si="30"/>
        <v>0</v>
      </c>
      <c r="AX64" s="178">
        <f t="shared" si="31"/>
        <v>0</v>
      </c>
      <c r="AY64" s="178">
        <f t="shared" si="32"/>
        <v>0</v>
      </c>
      <c r="AZ64" s="179">
        <f t="shared" si="33"/>
        <v>0</v>
      </c>
      <c r="BA64" s="184">
        <f t="shared" si="34"/>
        <v>27.828804499999997</v>
      </c>
      <c r="BB64" s="178">
        <f t="shared" si="35"/>
        <v>13.197085999999999</v>
      </c>
      <c r="BC64" s="184">
        <f t="shared" si="36"/>
        <v>0</v>
      </c>
      <c r="BD64" s="178">
        <f t="shared" si="37"/>
        <v>0</v>
      </c>
      <c r="BE64" s="244">
        <f t="shared" si="38"/>
        <v>1</v>
      </c>
      <c r="BF64" s="245">
        <f t="shared" si="39"/>
        <v>979</v>
      </c>
      <c r="BH64" s="255">
        <f t="shared" si="40"/>
        <v>4.9999890000000002</v>
      </c>
      <c r="BI64" s="255">
        <f t="shared" si="41"/>
        <v>49.905000000000001</v>
      </c>
      <c r="BJ64" s="255">
        <f t="shared" si="42"/>
        <v>0</v>
      </c>
      <c r="BK64" s="256">
        <f t="shared" si="43"/>
        <v>41.025890499999996</v>
      </c>
      <c r="BL64" s="262">
        <f t="shared" si="44"/>
        <v>0</v>
      </c>
      <c r="BM64" s="257">
        <f t="shared" si="45"/>
        <v>95.930879500000003</v>
      </c>
      <c r="BO64" s="714">
        <f t="shared" si="46"/>
        <v>97.988640960163437</v>
      </c>
    </row>
    <row r="65" spans="2:72" ht="15" customHeight="1" x14ac:dyDescent="0.25">
      <c r="B65" s="19">
        <f t="shared" si="47"/>
        <v>20</v>
      </c>
      <c r="C65" s="833" t="s">
        <v>574</v>
      </c>
      <c r="D65" s="834"/>
      <c r="E65" s="835" t="s">
        <v>94</v>
      </c>
      <c r="G65" s="477">
        <f>SUM('DUoS (t-1)'!G65,'TUoS (t-1)'!G65,'JSO (t-1)'!G65)</f>
        <v>13.698600000000001</v>
      </c>
      <c r="H65" s="479">
        <f>SUM('DUoS (t-1)'!H65,'TUoS (t-1)'!H65,'JSO (t-1)'!H65)</f>
        <v>0</v>
      </c>
      <c r="I65" s="483">
        <f>SUM('DUoS (t-1)'!I65,'TUoS (t-1)'!I65,'JSO (t-1)'!I65)</f>
        <v>6.6200000000000009E-2</v>
      </c>
      <c r="J65" s="461">
        <f>SUM('DUoS (t-1)'!J65,'TUoS (t-1)'!J65,'JSO (t-1)'!J65)</f>
        <v>0</v>
      </c>
      <c r="K65" s="484">
        <f>SUM('DUoS (t-1)'!K65,'TUoS (t-1)'!K65,'JSO (t-1)'!K65)</f>
        <v>4.1399999999999999E-2</v>
      </c>
      <c r="L65" s="461">
        <f>SUM('DUoS (t-1)'!L65,'TUoS (t-1)'!L65,'JSO (t-1)'!L65)</f>
        <v>0</v>
      </c>
      <c r="M65" s="461">
        <f>SUM('DUoS (t-1)'!M65,'TUoS (t-1)'!M65,'JSO (t-1)'!M65)</f>
        <v>0</v>
      </c>
      <c r="N65" s="461">
        <f>SUM('DUoS (t-1)'!N65,'TUoS (t-1)'!N65,'JSO (t-1)'!N65)</f>
        <v>0</v>
      </c>
      <c r="O65" s="462">
        <f>SUM('DUoS (t-1)'!O65,'TUoS (t-1)'!O65,'JSO (t-1)'!O65)</f>
        <v>0</v>
      </c>
      <c r="P65" s="461">
        <f>SUM('DUoS (t-1)'!P65,'TUoS (t-1)'!P65,'JSO (t-1)'!P65)</f>
        <v>0</v>
      </c>
      <c r="Q65" s="461">
        <f>SUM('DUoS (t-1)'!Q65,'TUoS (t-1)'!Q65,'JSO (t-1)'!Q65)</f>
        <v>0</v>
      </c>
      <c r="R65" s="462">
        <f>SUM('DUoS (t-1)'!R65,'TUoS (t-1)'!R65,'JSO (t-1)'!R65)</f>
        <v>0</v>
      </c>
      <c r="S65" s="478">
        <f>SUM('DUoS (t-1)'!S65,'TUoS (t-1)'!S65,'JSO (t-1)'!S65)</f>
        <v>0.25329999999999997</v>
      </c>
      <c r="T65" s="483">
        <f>SUM('DUoS (t-1)'!T65,'TUoS (t-1)'!T65,'JSO (t-1)'!T65)</f>
        <v>0.1036</v>
      </c>
      <c r="U65" s="479">
        <f>SUM('DUoS (t-1)'!U65,'TUoS (t-1)'!U65,'JSO (t-1)'!U65)</f>
        <v>0</v>
      </c>
      <c r="V65" s="462">
        <f>SUM('DUoS (t-1)'!V65,'TUoS (t-1)'!V65,'JSO (t-1)'!V65)</f>
        <v>0</v>
      </c>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2"/>
        <v>0</v>
      </c>
      <c r="AP65" s="184">
        <f t="shared" si="23"/>
        <v>0</v>
      </c>
      <c r="AQ65" s="178">
        <f t="shared" si="24"/>
        <v>0</v>
      </c>
      <c r="AR65" s="178">
        <f t="shared" si="25"/>
        <v>0</v>
      </c>
      <c r="AS65" s="179">
        <f t="shared" si="26"/>
        <v>0</v>
      </c>
      <c r="AT65" s="178">
        <f t="shared" si="27"/>
        <v>0</v>
      </c>
      <c r="AU65" s="178">
        <f t="shared" si="28"/>
        <v>0</v>
      </c>
      <c r="AV65" s="178">
        <f t="shared" si="29"/>
        <v>0</v>
      </c>
      <c r="AW65" s="179">
        <f t="shared" si="30"/>
        <v>0</v>
      </c>
      <c r="AX65" s="178">
        <f t="shared" si="31"/>
        <v>0</v>
      </c>
      <c r="AY65" s="178">
        <f t="shared" si="32"/>
        <v>0</v>
      </c>
      <c r="AZ65" s="179">
        <f t="shared" si="33"/>
        <v>0</v>
      </c>
      <c r="BA65" s="184">
        <f t="shared" si="34"/>
        <v>0</v>
      </c>
      <c r="BB65" s="178">
        <f t="shared" si="35"/>
        <v>0</v>
      </c>
      <c r="BC65" s="184">
        <f t="shared" si="36"/>
        <v>0</v>
      </c>
      <c r="BD65" s="178">
        <f t="shared" si="37"/>
        <v>0</v>
      </c>
      <c r="BE65" s="244">
        <f t="shared" si="38"/>
        <v>0</v>
      </c>
      <c r="BF65" s="245">
        <f t="shared" si="39"/>
        <v>0</v>
      </c>
      <c r="BH65" s="255">
        <f t="shared" si="40"/>
        <v>0</v>
      </c>
      <c r="BI65" s="255">
        <f t="shared" si="41"/>
        <v>0</v>
      </c>
      <c r="BJ65" s="255">
        <f t="shared" si="42"/>
        <v>0</v>
      </c>
      <c r="BK65" s="256">
        <f t="shared" si="43"/>
        <v>0</v>
      </c>
      <c r="BL65" s="262">
        <f t="shared" si="44"/>
        <v>0</v>
      </c>
      <c r="BM65" s="257">
        <f t="shared" si="45"/>
        <v>0</v>
      </c>
      <c r="BO65" s="714" t="str">
        <f t="shared" si="46"/>
        <v/>
      </c>
    </row>
    <row r="66" spans="2:72" ht="15" customHeight="1" x14ac:dyDescent="0.25">
      <c r="B66" s="19">
        <f t="shared" si="47"/>
        <v>21</v>
      </c>
      <c r="C66" s="44" t="s">
        <v>706</v>
      </c>
      <c r="D66" s="45"/>
      <c r="E66" s="105" t="s">
        <v>94</v>
      </c>
      <c r="G66" s="477">
        <f>SUM('DUoS (t-1)'!G66,'TUoS (t-1)'!G66,'JSO (t-1)'!G66)</f>
        <v>6.8493000000000004</v>
      </c>
      <c r="H66" s="479">
        <f>SUM('DUoS (t-1)'!H66,'TUoS (t-1)'!H66,'JSO (t-1)'!H66)</f>
        <v>0</v>
      </c>
      <c r="I66" s="483">
        <f>SUM('DUoS (t-1)'!I66,'TUoS (t-1)'!I66,'JSO (t-1)'!I66)</f>
        <v>6.6200000000000009E-2</v>
      </c>
      <c r="J66" s="461">
        <f>SUM('DUoS (t-1)'!J66,'TUoS (t-1)'!J66,'JSO (t-1)'!J66)</f>
        <v>0</v>
      </c>
      <c r="K66" s="484">
        <f>SUM('DUoS (t-1)'!K66,'TUoS (t-1)'!K66,'JSO (t-1)'!K66)</f>
        <v>4.1399999999999999E-2</v>
      </c>
      <c r="L66" s="461">
        <f>SUM('DUoS (t-1)'!L66,'TUoS (t-1)'!L66,'JSO (t-1)'!L66)</f>
        <v>0</v>
      </c>
      <c r="M66" s="461">
        <f>SUM('DUoS (t-1)'!M66,'TUoS (t-1)'!M66,'JSO (t-1)'!M66)</f>
        <v>0</v>
      </c>
      <c r="N66" s="461">
        <f>SUM('DUoS (t-1)'!N66,'TUoS (t-1)'!N66,'JSO (t-1)'!N66)</f>
        <v>0</v>
      </c>
      <c r="O66" s="462">
        <f>SUM('DUoS (t-1)'!O66,'TUoS (t-1)'!O66,'JSO (t-1)'!O66)</f>
        <v>0</v>
      </c>
      <c r="P66" s="461">
        <f>SUM('DUoS (t-1)'!P66,'TUoS (t-1)'!P66,'JSO (t-1)'!P66)</f>
        <v>0</v>
      </c>
      <c r="Q66" s="461">
        <f>SUM('DUoS (t-1)'!Q66,'TUoS (t-1)'!Q66,'JSO (t-1)'!Q66)</f>
        <v>0</v>
      </c>
      <c r="R66" s="462">
        <f>SUM('DUoS (t-1)'!R66,'TUoS (t-1)'!R66,'JSO (t-1)'!R66)</f>
        <v>0</v>
      </c>
      <c r="S66" s="478">
        <f>SUM('DUoS (t-1)'!S66,'TUoS (t-1)'!S66,'JSO (t-1)'!S66)</f>
        <v>0.25329999999999997</v>
      </c>
      <c r="T66" s="483">
        <f>SUM('DUoS (t-1)'!T66,'TUoS (t-1)'!T66,'JSO (t-1)'!T66)</f>
        <v>0.1036</v>
      </c>
      <c r="U66" s="479">
        <f>SUM('DUoS (t-1)'!U66,'TUoS (t-1)'!U66,'JSO (t-1)'!U66)</f>
        <v>0</v>
      </c>
      <c r="V66" s="462">
        <f>SUM('DUoS (t-1)'!V66,'TUoS (t-1)'!V66,'JSO (t-1)'!V66)</f>
        <v>0</v>
      </c>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2"/>
        <v>2.4999945000000001</v>
      </c>
      <c r="AP66" s="184">
        <f t="shared" si="23"/>
        <v>0</v>
      </c>
      <c r="AQ66" s="178">
        <f t="shared" si="24"/>
        <v>432.74940000000004</v>
      </c>
      <c r="AR66" s="178">
        <f t="shared" si="25"/>
        <v>0</v>
      </c>
      <c r="AS66" s="179">
        <f t="shared" si="26"/>
        <v>286.2396</v>
      </c>
      <c r="AT66" s="178">
        <f t="shared" si="27"/>
        <v>0</v>
      </c>
      <c r="AU66" s="178">
        <f t="shared" si="28"/>
        <v>0</v>
      </c>
      <c r="AV66" s="178">
        <f t="shared" si="29"/>
        <v>0</v>
      </c>
      <c r="AW66" s="179">
        <f t="shared" si="30"/>
        <v>0</v>
      </c>
      <c r="AX66" s="178">
        <f t="shared" si="31"/>
        <v>0</v>
      </c>
      <c r="AY66" s="178">
        <f t="shared" si="32"/>
        <v>0</v>
      </c>
      <c r="AZ66" s="179">
        <f t="shared" si="33"/>
        <v>0</v>
      </c>
      <c r="BA66" s="184">
        <f t="shared" si="34"/>
        <v>267.00859599999995</v>
      </c>
      <c r="BB66" s="178">
        <f t="shared" si="35"/>
        <v>127.319738</v>
      </c>
      <c r="BC66" s="184">
        <f t="shared" si="36"/>
        <v>0</v>
      </c>
      <c r="BD66" s="178">
        <f t="shared" si="37"/>
        <v>0</v>
      </c>
      <c r="BE66" s="244">
        <f t="shared" si="38"/>
        <v>1</v>
      </c>
      <c r="BF66" s="245">
        <f t="shared" si="39"/>
        <v>13451</v>
      </c>
      <c r="BH66" s="255">
        <f t="shared" si="40"/>
        <v>2.4999945000000001</v>
      </c>
      <c r="BI66" s="255">
        <f t="shared" si="41"/>
        <v>718.98900000000003</v>
      </c>
      <c r="BJ66" s="255">
        <f t="shared" si="42"/>
        <v>0</v>
      </c>
      <c r="BK66" s="256">
        <f t="shared" si="43"/>
        <v>394.32833399999993</v>
      </c>
      <c r="BL66" s="262">
        <f t="shared" si="44"/>
        <v>0</v>
      </c>
      <c r="BM66" s="257">
        <f t="shared" si="45"/>
        <v>1115.8173284999998</v>
      </c>
      <c r="BO66" s="714">
        <f t="shared" si="46"/>
        <v>82.954228570366496</v>
      </c>
    </row>
    <row r="67" spans="2:72" ht="15" customHeight="1" x14ac:dyDescent="0.25">
      <c r="B67" s="19">
        <f t="shared" si="47"/>
        <v>22</v>
      </c>
      <c r="C67" s="44" t="s">
        <v>575</v>
      </c>
      <c r="D67" s="45"/>
      <c r="E67" s="105" t="s">
        <v>94</v>
      </c>
      <c r="G67" s="477">
        <f>SUM('DUoS (t-1)'!G67,'TUoS (t-1)'!G67,'JSO (t-1)'!G67)</f>
        <v>20.547900000000002</v>
      </c>
      <c r="H67" s="479">
        <f>SUM('DUoS (t-1)'!H67,'TUoS (t-1)'!H67,'JSO (t-1)'!H67)</f>
        <v>0</v>
      </c>
      <c r="I67" s="483">
        <f>SUM('DUoS (t-1)'!I67,'TUoS (t-1)'!I67,'JSO (t-1)'!I67)</f>
        <v>6.6200000000000009E-2</v>
      </c>
      <c r="J67" s="461">
        <f>SUM('DUoS (t-1)'!J67,'TUoS (t-1)'!J67,'JSO (t-1)'!J67)</f>
        <v>0</v>
      </c>
      <c r="K67" s="484">
        <f>SUM('DUoS (t-1)'!K67,'TUoS (t-1)'!K67,'JSO (t-1)'!K67)</f>
        <v>4.1399999999999999E-2</v>
      </c>
      <c r="L67" s="461">
        <f>SUM('DUoS (t-1)'!L67,'TUoS (t-1)'!L67,'JSO (t-1)'!L67)</f>
        <v>0</v>
      </c>
      <c r="M67" s="461">
        <f>SUM('DUoS (t-1)'!M67,'TUoS (t-1)'!M67,'JSO (t-1)'!M67)</f>
        <v>0</v>
      </c>
      <c r="N67" s="461">
        <f>SUM('DUoS (t-1)'!N67,'TUoS (t-1)'!N67,'JSO (t-1)'!N67)</f>
        <v>0</v>
      </c>
      <c r="O67" s="462">
        <f>SUM('DUoS (t-1)'!O67,'TUoS (t-1)'!O67,'JSO (t-1)'!O67)</f>
        <v>0</v>
      </c>
      <c r="P67" s="461">
        <f>SUM('DUoS (t-1)'!P67,'TUoS (t-1)'!P67,'JSO (t-1)'!P67)</f>
        <v>0</v>
      </c>
      <c r="Q67" s="461">
        <f>SUM('DUoS (t-1)'!Q67,'TUoS (t-1)'!Q67,'JSO (t-1)'!Q67)</f>
        <v>0</v>
      </c>
      <c r="R67" s="462">
        <f>SUM('DUoS (t-1)'!R67,'TUoS (t-1)'!R67,'JSO (t-1)'!R67)</f>
        <v>0</v>
      </c>
      <c r="S67" s="478">
        <f>SUM('DUoS (t-1)'!S67,'TUoS (t-1)'!S67,'JSO (t-1)'!S67)</f>
        <v>0.25329999999999997</v>
      </c>
      <c r="T67" s="483">
        <f>SUM('DUoS (t-1)'!T67,'TUoS (t-1)'!T67,'JSO (t-1)'!T67)</f>
        <v>0.1036</v>
      </c>
      <c r="U67" s="479">
        <f>SUM('DUoS (t-1)'!U67,'TUoS (t-1)'!U67,'JSO (t-1)'!U67)</f>
        <v>0</v>
      </c>
      <c r="V67" s="462">
        <f>SUM('DUoS (t-1)'!V67,'TUoS (t-1)'!V67,'JSO (t-1)'!V67)</f>
        <v>0</v>
      </c>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2"/>
        <v>7.4999835000000008</v>
      </c>
      <c r="AP67" s="184">
        <f t="shared" si="23"/>
        <v>0</v>
      </c>
      <c r="AQ67" s="178">
        <f t="shared" si="24"/>
        <v>25.288400000000003</v>
      </c>
      <c r="AR67" s="178">
        <f t="shared" si="25"/>
        <v>0</v>
      </c>
      <c r="AS67" s="179">
        <f t="shared" si="26"/>
        <v>20.037600000000001</v>
      </c>
      <c r="AT67" s="178">
        <f t="shared" si="27"/>
        <v>0</v>
      </c>
      <c r="AU67" s="178">
        <f t="shared" si="28"/>
        <v>0</v>
      </c>
      <c r="AV67" s="178">
        <f t="shared" si="29"/>
        <v>0</v>
      </c>
      <c r="AW67" s="179">
        <f t="shared" si="30"/>
        <v>0</v>
      </c>
      <c r="AX67" s="178">
        <f t="shared" si="31"/>
        <v>0</v>
      </c>
      <c r="AY67" s="178">
        <f t="shared" si="32"/>
        <v>0</v>
      </c>
      <c r="AZ67" s="179">
        <f t="shared" si="33"/>
        <v>0</v>
      </c>
      <c r="BA67" s="184">
        <f t="shared" si="34"/>
        <v>14.053083999999998</v>
      </c>
      <c r="BB67" s="178">
        <f t="shared" si="35"/>
        <v>9.188801999999999</v>
      </c>
      <c r="BC67" s="184">
        <f t="shared" si="36"/>
        <v>0</v>
      </c>
      <c r="BD67" s="178">
        <f t="shared" si="37"/>
        <v>0</v>
      </c>
      <c r="BE67" s="244">
        <f t="shared" si="38"/>
        <v>1</v>
      </c>
      <c r="BF67" s="245">
        <f t="shared" si="39"/>
        <v>866</v>
      </c>
      <c r="BH67" s="255">
        <f t="shared" si="40"/>
        <v>7.4999835000000008</v>
      </c>
      <c r="BI67" s="255">
        <f t="shared" si="41"/>
        <v>45.326000000000008</v>
      </c>
      <c r="BJ67" s="255">
        <f t="shared" si="42"/>
        <v>0</v>
      </c>
      <c r="BK67" s="256">
        <f t="shared" si="43"/>
        <v>23.241885999999997</v>
      </c>
      <c r="BL67" s="262">
        <f t="shared" si="44"/>
        <v>0</v>
      </c>
      <c r="BM67" s="257">
        <f t="shared" si="45"/>
        <v>76.0678695</v>
      </c>
      <c r="BO67" s="714">
        <f t="shared" si="46"/>
        <v>87.838186489607395</v>
      </c>
    </row>
    <row r="68" spans="2:72" ht="15" customHeight="1" x14ac:dyDescent="0.25">
      <c r="B68" s="19">
        <f t="shared" si="47"/>
        <v>23</v>
      </c>
      <c r="C68" s="44" t="s">
        <v>576</v>
      </c>
      <c r="D68" s="45"/>
      <c r="E68" s="105" t="s">
        <v>94</v>
      </c>
      <c r="G68" s="477">
        <f>SUM('DUoS (t-1)'!G68,'TUoS (t-1)'!G68,'JSO (t-1)'!G68)</f>
        <v>82.191600000000008</v>
      </c>
      <c r="H68" s="479">
        <f>SUM('DUoS (t-1)'!H68,'TUoS (t-1)'!H68,'JSO (t-1)'!H68)</f>
        <v>0</v>
      </c>
      <c r="I68" s="483">
        <f>SUM('DUoS (t-1)'!I68,'TUoS (t-1)'!I68,'JSO (t-1)'!I68)</f>
        <v>6.6200000000000009E-2</v>
      </c>
      <c r="J68" s="461">
        <f>SUM('DUoS (t-1)'!J68,'TUoS (t-1)'!J68,'JSO (t-1)'!J68)</f>
        <v>0</v>
      </c>
      <c r="K68" s="484">
        <f>SUM('DUoS (t-1)'!K68,'TUoS (t-1)'!K68,'JSO (t-1)'!K68)</f>
        <v>4.1399999999999999E-2</v>
      </c>
      <c r="L68" s="461">
        <f>SUM('DUoS (t-1)'!L68,'TUoS (t-1)'!L68,'JSO (t-1)'!L68)</f>
        <v>0</v>
      </c>
      <c r="M68" s="461">
        <f>SUM('DUoS (t-1)'!M68,'TUoS (t-1)'!M68,'JSO (t-1)'!M68)</f>
        <v>0</v>
      </c>
      <c r="N68" s="461">
        <f>SUM('DUoS (t-1)'!N68,'TUoS (t-1)'!N68,'JSO (t-1)'!N68)</f>
        <v>0</v>
      </c>
      <c r="O68" s="462">
        <f>SUM('DUoS (t-1)'!O68,'TUoS (t-1)'!O68,'JSO (t-1)'!O68)</f>
        <v>0</v>
      </c>
      <c r="P68" s="461">
        <f>SUM('DUoS (t-1)'!P68,'TUoS (t-1)'!P68,'JSO (t-1)'!P68)</f>
        <v>0</v>
      </c>
      <c r="Q68" s="461">
        <f>SUM('DUoS (t-1)'!Q68,'TUoS (t-1)'!Q68,'JSO (t-1)'!Q68)</f>
        <v>0</v>
      </c>
      <c r="R68" s="462">
        <f>SUM('DUoS (t-1)'!R68,'TUoS (t-1)'!R68,'JSO (t-1)'!R68)</f>
        <v>0</v>
      </c>
      <c r="S68" s="478">
        <f>SUM('DUoS (t-1)'!S68,'TUoS (t-1)'!S68,'JSO (t-1)'!S68)</f>
        <v>0.25329999999999997</v>
      </c>
      <c r="T68" s="483">
        <f>SUM('DUoS (t-1)'!T68,'TUoS (t-1)'!T68,'JSO (t-1)'!T68)</f>
        <v>0.1036</v>
      </c>
      <c r="U68" s="479">
        <f>SUM('DUoS (t-1)'!U68,'TUoS (t-1)'!U68,'JSO (t-1)'!U68)</f>
        <v>0</v>
      </c>
      <c r="V68" s="462">
        <f>SUM('DUoS (t-1)'!V68,'TUoS (t-1)'!V68,'JSO (t-1)'!V68)</f>
        <v>0</v>
      </c>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2"/>
        <v>29.999934000000003</v>
      </c>
      <c r="AP68" s="184">
        <f t="shared" si="23"/>
        <v>0</v>
      </c>
      <c r="AQ68" s="178">
        <f t="shared" si="24"/>
        <v>241.89480000000003</v>
      </c>
      <c r="AR68" s="178">
        <f t="shared" si="25"/>
        <v>0</v>
      </c>
      <c r="AS68" s="179">
        <f t="shared" si="26"/>
        <v>232.2954</v>
      </c>
      <c r="AT68" s="178">
        <f t="shared" si="27"/>
        <v>0</v>
      </c>
      <c r="AU68" s="178">
        <f t="shared" si="28"/>
        <v>0</v>
      </c>
      <c r="AV68" s="178">
        <f t="shared" si="29"/>
        <v>0</v>
      </c>
      <c r="AW68" s="179">
        <f t="shared" si="30"/>
        <v>0</v>
      </c>
      <c r="AX68" s="178">
        <f t="shared" si="31"/>
        <v>0</v>
      </c>
      <c r="AY68" s="178">
        <f t="shared" si="32"/>
        <v>0</v>
      </c>
      <c r="AZ68" s="179">
        <f t="shared" si="33"/>
        <v>0</v>
      </c>
      <c r="BA68" s="184">
        <f t="shared" si="34"/>
        <v>281.06167999999997</v>
      </c>
      <c r="BB68" s="178">
        <f t="shared" si="35"/>
        <v>138.05891399999999</v>
      </c>
      <c r="BC68" s="184">
        <f t="shared" si="36"/>
        <v>0</v>
      </c>
      <c r="BD68" s="178">
        <f t="shared" si="37"/>
        <v>0</v>
      </c>
      <c r="BE68" s="244">
        <f t="shared" si="38"/>
        <v>1</v>
      </c>
      <c r="BF68" s="245">
        <f t="shared" si="39"/>
        <v>9265</v>
      </c>
      <c r="BH68" s="255">
        <f t="shared" si="40"/>
        <v>29.999934000000003</v>
      </c>
      <c r="BI68" s="255">
        <f t="shared" si="41"/>
        <v>474.1902</v>
      </c>
      <c r="BJ68" s="255">
        <f t="shared" si="42"/>
        <v>0</v>
      </c>
      <c r="BK68" s="256">
        <f t="shared" si="43"/>
        <v>419.12059399999998</v>
      </c>
      <c r="BL68" s="262">
        <f t="shared" si="44"/>
        <v>0</v>
      </c>
      <c r="BM68" s="257">
        <f t="shared" si="45"/>
        <v>923.31072799999993</v>
      </c>
      <c r="BO68" s="714">
        <f t="shared" si="46"/>
        <v>99.655772045331886</v>
      </c>
    </row>
    <row r="69" spans="2:72" ht="15" customHeight="1" x14ac:dyDescent="0.25">
      <c r="B69" s="26">
        <f t="shared" si="47"/>
        <v>24</v>
      </c>
      <c r="C69" s="841" t="s">
        <v>632</v>
      </c>
      <c r="D69" s="56"/>
      <c r="E69" s="109" t="s">
        <v>652</v>
      </c>
      <c r="G69" s="477">
        <f>SUM('DUoS (t-1)'!G69,'TUoS (t-1)'!G69,'JSO (t-1)'!G69)</f>
        <v>27.397200000000002</v>
      </c>
      <c r="H69" s="479">
        <f>SUM('DUoS (t-1)'!H69,'TUoS (t-1)'!H69,'JSO (t-1)'!H69)</f>
        <v>0</v>
      </c>
      <c r="I69" s="483">
        <f>SUM('DUoS (t-1)'!I69,'TUoS (t-1)'!I69,'JSO (t-1)'!I69)</f>
        <v>6.6200000000000009E-2</v>
      </c>
      <c r="J69" s="461">
        <f>SUM('DUoS (t-1)'!J69,'TUoS (t-1)'!J69,'JSO (t-1)'!J69)</f>
        <v>0</v>
      </c>
      <c r="K69" s="484">
        <f>SUM('DUoS (t-1)'!K69,'TUoS (t-1)'!K69,'JSO (t-1)'!K69)</f>
        <v>4.1399999999999999E-2</v>
      </c>
      <c r="L69" s="461">
        <f>SUM('DUoS (t-1)'!L69,'TUoS (t-1)'!L69,'JSO (t-1)'!L69)</f>
        <v>0</v>
      </c>
      <c r="M69" s="461">
        <f>SUM('DUoS (t-1)'!M69,'TUoS (t-1)'!M69,'JSO (t-1)'!M69)</f>
        <v>0</v>
      </c>
      <c r="N69" s="461">
        <f>SUM('DUoS (t-1)'!N69,'TUoS (t-1)'!N69,'JSO (t-1)'!N69)</f>
        <v>0</v>
      </c>
      <c r="O69" s="462">
        <f>SUM('DUoS (t-1)'!O69,'TUoS (t-1)'!O69,'JSO (t-1)'!O69)</f>
        <v>0</v>
      </c>
      <c r="P69" s="478">
        <f>SUM('DUoS (t-1)'!P69,'TUoS (t-1)'!P69,'JSO (t-1)'!P69)</f>
        <v>0.91829999999999989</v>
      </c>
      <c r="Q69" s="461">
        <f>SUM('DUoS (t-1)'!Q69,'TUoS (t-1)'!Q69,'JSO (t-1)'!Q69)</f>
        <v>0</v>
      </c>
      <c r="R69" s="462">
        <f>SUM('DUoS (t-1)'!R69,'TUoS (t-1)'!R69,'JSO (t-1)'!R69)</f>
        <v>0</v>
      </c>
      <c r="S69" s="479">
        <f>SUM('DUoS (t-1)'!S69,'TUoS (t-1)'!S69,'JSO (t-1)'!S69)</f>
        <v>0</v>
      </c>
      <c r="T69" s="483">
        <f>SUM('DUoS (t-1)'!T69,'TUoS (t-1)'!T69,'JSO (t-1)'!T69)</f>
        <v>0.1036</v>
      </c>
      <c r="U69" s="479">
        <f>SUM('DUoS (t-1)'!U69,'TUoS (t-1)'!U69,'JSO (t-1)'!U69)</f>
        <v>0</v>
      </c>
      <c r="V69" s="462">
        <f>SUM('DUoS (t-1)'!V69,'TUoS (t-1)'!V69,'JSO (t-1)'!V69)</f>
        <v>0</v>
      </c>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9.9999780000000005</v>
      </c>
      <c r="AP69" s="184">
        <f t="shared" ref="AP69:AW83" si="48">H69*Y69</f>
        <v>0</v>
      </c>
      <c r="AQ69" s="178">
        <f t="shared" si="48"/>
        <v>71.496000000000009</v>
      </c>
      <c r="AR69" s="178">
        <f t="shared" si="48"/>
        <v>0</v>
      </c>
      <c r="AS69" s="179">
        <f t="shared" si="48"/>
        <v>69.138000000000005</v>
      </c>
      <c r="AT69" s="178">
        <f t="shared" si="48"/>
        <v>0</v>
      </c>
      <c r="AU69" s="178">
        <f t="shared" si="48"/>
        <v>0</v>
      </c>
      <c r="AV69" s="178">
        <f t="shared" si="48"/>
        <v>0</v>
      </c>
      <c r="AW69" s="179">
        <f t="shared" si="48"/>
        <v>0</v>
      </c>
      <c r="AX69" s="178">
        <f t="shared" si="20"/>
        <v>111.06930329999999</v>
      </c>
      <c r="AY69" s="178">
        <f t="shared" si="20"/>
        <v>0</v>
      </c>
      <c r="AZ69" s="179">
        <f t="shared" si="20"/>
        <v>0</v>
      </c>
      <c r="BA69" s="184">
        <f t="shared" si="20"/>
        <v>0</v>
      </c>
      <c r="BB69" s="178">
        <f t="shared" si="20"/>
        <v>53.809322000000002</v>
      </c>
      <c r="BC69" s="184">
        <f t="shared" si="20"/>
        <v>0</v>
      </c>
      <c r="BD69" s="178">
        <f t="shared" si="20"/>
        <v>0</v>
      </c>
      <c r="BE69" s="244">
        <f t="shared" si="3"/>
        <v>1</v>
      </c>
      <c r="BF69" s="245">
        <f t="shared" si="21"/>
        <v>2750</v>
      </c>
      <c r="BH69" s="255">
        <f t="shared" si="15"/>
        <v>9.9999780000000005</v>
      </c>
      <c r="BI69" s="255">
        <f t="shared" si="16"/>
        <v>140.63400000000001</v>
      </c>
      <c r="BJ69" s="255">
        <f t="shared" si="17"/>
        <v>0</v>
      </c>
      <c r="BK69" s="256">
        <f t="shared" si="18"/>
        <v>164.87862529999998</v>
      </c>
      <c r="BL69" s="262">
        <f t="shared" si="19"/>
        <v>0</v>
      </c>
      <c r="BM69" s="257">
        <f t="shared" si="5"/>
        <v>315.51260330000002</v>
      </c>
      <c r="BO69" s="714">
        <f t="shared" si="6"/>
        <v>114.73185574545455</v>
      </c>
    </row>
    <row r="70" spans="2:72" ht="15" customHeight="1" x14ac:dyDescent="0.25">
      <c r="B70" s="30" t="s">
        <v>101</v>
      </c>
      <c r="C70" s="14" t="s">
        <v>102</v>
      </c>
      <c r="D70" s="14"/>
      <c r="E70" s="99"/>
      <c r="G70" s="494">
        <f>SUM('DUoS (t-1)'!G70,'TUoS (t-1)'!G70,'JSO (t-1)'!G70)</f>
        <v>0</v>
      </c>
      <c r="H70" s="495">
        <f>SUM('DUoS (t-1)'!H70,'TUoS (t-1)'!H70,'JSO (t-1)'!H70)</f>
        <v>0</v>
      </c>
      <c r="I70" s="496">
        <f>SUM('DUoS (t-1)'!I70,'TUoS (t-1)'!I70,'JSO (t-1)'!I70)</f>
        <v>0</v>
      </c>
      <c r="J70" s="496">
        <f>SUM('DUoS (t-1)'!J70,'TUoS (t-1)'!J70,'JSO (t-1)'!J70)</f>
        <v>0</v>
      </c>
      <c r="K70" s="497">
        <f>SUM('DUoS (t-1)'!K70,'TUoS (t-1)'!K70,'JSO (t-1)'!K70)</f>
        <v>0</v>
      </c>
      <c r="L70" s="496">
        <f>SUM('DUoS (t-1)'!L70,'TUoS (t-1)'!L70,'JSO (t-1)'!L70)</f>
        <v>0</v>
      </c>
      <c r="M70" s="496">
        <f>SUM('DUoS (t-1)'!M70,'TUoS (t-1)'!M70,'JSO (t-1)'!M70)</f>
        <v>0</v>
      </c>
      <c r="N70" s="496">
        <f>SUM('DUoS (t-1)'!N70,'TUoS (t-1)'!N70,'JSO (t-1)'!N70)</f>
        <v>0</v>
      </c>
      <c r="O70" s="497">
        <f>SUM('DUoS (t-1)'!O70,'TUoS (t-1)'!O70,'JSO (t-1)'!O70)</f>
        <v>0</v>
      </c>
      <c r="P70" s="496">
        <f>SUM('DUoS (t-1)'!P70,'TUoS (t-1)'!P70,'JSO (t-1)'!P70)</f>
        <v>0</v>
      </c>
      <c r="Q70" s="496">
        <f>SUM('DUoS (t-1)'!Q70,'TUoS (t-1)'!Q70,'JSO (t-1)'!Q70)</f>
        <v>0</v>
      </c>
      <c r="R70" s="497">
        <f>SUM('DUoS (t-1)'!R70,'TUoS (t-1)'!R70,'JSO (t-1)'!R70)</f>
        <v>0</v>
      </c>
      <c r="S70" s="495">
        <f>SUM('DUoS (t-1)'!S70,'TUoS (t-1)'!S70,'JSO (t-1)'!S70)</f>
        <v>0</v>
      </c>
      <c r="T70" s="496">
        <f>SUM('DUoS (t-1)'!T70,'TUoS (t-1)'!T70,'JSO (t-1)'!T70)</f>
        <v>0</v>
      </c>
      <c r="U70" s="495">
        <f>SUM('DUoS (t-1)'!U70,'TUoS (t-1)'!U70,'JSO (t-1)'!U70)</f>
        <v>0</v>
      </c>
      <c r="V70" s="497">
        <f>SUM('DUoS (t-1)'!V70,'TUoS (t-1)'!V70,'JSO (t-1)'!V70)</f>
        <v>0</v>
      </c>
      <c r="X70" s="205"/>
      <c r="Y70" s="206"/>
      <c r="Z70" s="207"/>
      <c r="AA70" s="207"/>
      <c r="AB70" s="208"/>
      <c r="AC70" s="207"/>
      <c r="AD70" s="207"/>
      <c r="AE70" s="207"/>
      <c r="AF70" s="208"/>
      <c r="AG70" s="207"/>
      <c r="AH70" s="207"/>
      <c r="AI70" s="208"/>
      <c r="AJ70" s="206"/>
      <c r="AK70" s="207"/>
      <c r="AL70" s="206"/>
      <c r="AM70" s="208"/>
      <c r="AO70" s="205">
        <f t="shared" si="2"/>
        <v>0</v>
      </c>
      <c r="AP70" s="206">
        <f t="shared" si="48"/>
        <v>0</v>
      </c>
      <c r="AQ70" s="207">
        <f t="shared" si="48"/>
        <v>0</v>
      </c>
      <c r="AR70" s="207">
        <f t="shared" si="48"/>
        <v>0</v>
      </c>
      <c r="AS70" s="208">
        <f t="shared" si="48"/>
        <v>0</v>
      </c>
      <c r="AT70" s="207">
        <f t="shared" si="48"/>
        <v>0</v>
      </c>
      <c r="AU70" s="207">
        <f t="shared" si="48"/>
        <v>0</v>
      </c>
      <c r="AV70" s="207">
        <f t="shared" si="48"/>
        <v>0</v>
      </c>
      <c r="AW70" s="208">
        <f t="shared" si="48"/>
        <v>0</v>
      </c>
      <c r="AX70" s="207">
        <f t="shared" si="20"/>
        <v>0</v>
      </c>
      <c r="AY70" s="207">
        <f t="shared" si="20"/>
        <v>0</v>
      </c>
      <c r="AZ70" s="208">
        <f t="shared" si="20"/>
        <v>0</v>
      </c>
      <c r="BA70" s="206">
        <f t="shared" si="20"/>
        <v>0</v>
      </c>
      <c r="BB70" s="207">
        <f t="shared" si="20"/>
        <v>0</v>
      </c>
      <c r="BC70" s="206">
        <f t="shared" si="20"/>
        <v>0</v>
      </c>
      <c r="BD70" s="207">
        <f t="shared" si="20"/>
        <v>0</v>
      </c>
      <c r="BE70" s="242">
        <f t="shared" si="3"/>
        <v>0</v>
      </c>
      <c r="BF70" s="243">
        <f t="shared" si="21"/>
        <v>0</v>
      </c>
      <c r="BH70" s="253">
        <f>SUBTOTAL(9,BH71:BH93)</f>
        <v>3009.9084059999991</v>
      </c>
      <c r="BI70" s="253">
        <f>SUBTOTAL(9,BI71:BI93)</f>
        <v>24038.10920000001</v>
      </c>
      <c r="BJ70" s="253">
        <f>SUBTOTAL(9,BJ71:BJ93)</f>
        <v>0</v>
      </c>
      <c r="BK70" s="253">
        <f>SUBTOTAL(9,BK71:BK93)</f>
        <v>22826.208888999998</v>
      </c>
      <c r="BL70" s="253">
        <f>SUBTOTAL(9,BL71:BL93)</f>
        <v>0</v>
      </c>
      <c r="BM70" s="257">
        <f>SUM(BH70:BL70)</f>
        <v>49874.22649500001</v>
      </c>
      <c r="BO70" s="714" t="str">
        <f t="shared" si="6"/>
        <v/>
      </c>
    </row>
    <row r="71" spans="2:72" ht="15" customHeight="1" x14ac:dyDescent="0.25">
      <c r="B71" s="19"/>
      <c r="C71" s="36" t="s">
        <v>103</v>
      </c>
      <c r="D71" s="85"/>
      <c r="E71" s="85"/>
      <c r="G71" s="482">
        <f>SUM('DUoS (t-1)'!G71,'TUoS (t-1)'!G71,'JSO (t-1)'!G71)</f>
        <v>0</v>
      </c>
      <c r="H71" s="479">
        <f>SUM('DUoS (t-1)'!H71,'TUoS (t-1)'!H71,'JSO (t-1)'!H71)</f>
        <v>0</v>
      </c>
      <c r="I71" s="461">
        <f>SUM('DUoS (t-1)'!I71,'TUoS (t-1)'!I71,'JSO (t-1)'!I71)</f>
        <v>0</v>
      </c>
      <c r="J71" s="461">
        <f>SUM('DUoS (t-1)'!J71,'TUoS (t-1)'!J71,'JSO (t-1)'!J71)</f>
        <v>0</v>
      </c>
      <c r="K71" s="462">
        <f>SUM('DUoS (t-1)'!K71,'TUoS (t-1)'!K71,'JSO (t-1)'!K71)</f>
        <v>0</v>
      </c>
      <c r="L71" s="461">
        <f>SUM('DUoS (t-1)'!L71,'TUoS (t-1)'!L71,'JSO (t-1)'!L71)</f>
        <v>0</v>
      </c>
      <c r="M71" s="461">
        <f>SUM('DUoS (t-1)'!M71,'TUoS (t-1)'!M71,'JSO (t-1)'!M71)</f>
        <v>0</v>
      </c>
      <c r="N71" s="461">
        <f>SUM('DUoS (t-1)'!N71,'TUoS (t-1)'!N71,'JSO (t-1)'!N71)</f>
        <v>0</v>
      </c>
      <c r="O71" s="462">
        <f>SUM('DUoS (t-1)'!O71,'TUoS (t-1)'!O71,'JSO (t-1)'!O71)</f>
        <v>0</v>
      </c>
      <c r="P71" s="461">
        <f>SUM('DUoS (t-1)'!P71,'TUoS (t-1)'!P71,'JSO (t-1)'!P71)</f>
        <v>0</v>
      </c>
      <c r="Q71" s="461">
        <f>SUM('DUoS (t-1)'!Q71,'TUoS (t-1)'!Q71,'JSO (t-1)'!Q71)</f>
        <v>0</v>
      </c>
      <c r="R71" s="462">
        <f>SUM('DUoS (t-1)'!R71,'TUoS (t-1)'!R71,'JSO (t-1)'!R71)</f>
        <v>0</v>
      </c>
      <c r="S71" s="479">
        <f>SUM('DUoS (t-1)'!S71,'TUoS (t-1)'!S71,'JSO (t-1)'!S71)</f>
        <v>0</v>
      </c>
      <c r="T71" s="461">
        <f>SUM('DUoS (t-1)'!T71,'TUoS (t-1)'!T71,'JSO (t-1)'!T71)</f>
        <v>0</v>
      </c>
      <c r="U71" s="479">
        <f>SUM('DUoS (t-1)'!U71,'TUoS (t-1)'!U71,'JSO (t-1)'!U71)</f>
        <v>0</v>
      </c>
      <c r="V71" s="462">
        <f>SUM('DUoS (t-1)'!V71,'TUoS (t-1)'!V71,'JSO (t-1)'!V71)</f>
        <v>0</v>
      </c>
      <c r="X71" s="183"/>
      <c r="Y71" s="184"/>
      <c r="Z71" s="178"/>
      <c r="AA71" s="178"/>
      <c r="AB71" s="179"/>
      <c r="AC71" s="178"/>
      <c r="AD71" s="178"/>
      <c r="AE71" s="178"/>
      <c r="AF71" s="179"/>
      <c r="AG71" s="178"/>
      <c r="AH71" s="178"/>
      <c r="AI71" s="179"/>
      <c r="AJ71" s="184"/>
      <c r="AK71" s="178"/>
      <c r="AL71" s="184"/>
      <c r="AM71" s="179"/>
      <c r="AO71" s="183">
        <f t="shared" si="2"/>
        <v>0</v>
      </c>
      <c r="AP71" s="184">
        <f t="shared" si="48"/>
        <v>0</v>
      </c>
      <c r="AQ71" s="178">
        <f t="shared" si="48"/>
        <v>0</v>
      </c>
      <c r="AR71" s="178">
        <f t="shared" si="48"/>
        <v>0</v>
      </c>
      <c r="AS71" s="179">
        <f t="shared" si="48"/>
        <v>0</v>
      </c>
      <c r="AT71" s="178">
        <f t="shared" si="48"/>
        <v>0</v>
      </c>
      <c r="AU71" s="178">
        <f t="shared" si="48"/>
        <v>0</v>
      </c>
      <c r="AV71" s="178">
        <f t="shared" si="48"/>
        <v>0</v>
      </c>
      <c r="AW71" s="179">
        <f t="shared" si="48"/>
        <v>0</v>
      </c>
      <c r="AX71" s="178">
        <f t="shared" si="20"/>
        <v>0</v>
      </c>
      <c r="AY71" s="178">
        <f t="shared" si="20"/>
        <v>0</v>
      </c>
      <c r="AZ71" s="179">
        <f t="shared" si="20"/>
        <v>0</v>
      </c>
      <c r="BA71" s="184">
        <f t="shared" si="20"/>
        <v>0</v>
      </c>
      <c r="BB71" s="178">
        <f t="shared" si="20"/>
        <v>0</v>
      </c>
      <c r="BC71" s="184">
        <f t="shared" si="20"/>
        <v>0</v>
      </c>
      <c r="BD71" s="178">
        <f t="shared" si="20"/>
        <v>0</v>
      </c>
      <c r="BE71" s="244">
        <f t="shared" si="3"/>
        <v>0</v>
      </c>
      <c r="BF71" s="245">
        <f t="shared" si="21"/>
        <v>0</v>
      </c>
      <c r="BH71" s="252">
        <f>SUBTOTAL(9,BH72:BH77)</f>
        <v>2505.0004384999993</v>
      </c>
      <c r="BI71" s="252">
        <f>SUBTOTAL(9,BI72:BI77)</f>
        <v>22210.833400000007</v>
      </c>
      <c r="BJ71" s="252">
        <f>SUBTOTAL(9,BJ72:BJ77)</f>
        <v>0</v>
      </c>
      <c r="BK71" s="252">
        <f>SUBTOTAL(9,BK72:BK77)</f>
        <v>21656.593143499998</v>
      </c>
      <c r="BL71" s="252">
        <f>SUBTOTAL(9,BL72:BL77)</f>
        <v>0</v>
      </c>
      <c r="BM71" s="257">
        <f t="shared" si="5"/>
        <v>46372.426982000005</v>
      </c>
      <c r="BO71" s="714" t="str">
        <f t="shared" si="6"/>
        <v/>
      </c>
      <c r="BT71" s="137"/>
    </row>
    <row r="72" spans="2:72" ht="15" customHeight="1" x14ac:dyDescent="0.25">
      <c r="B72" s="19">
        <v>1</v>
      </c>
      <c r="C72" s="44" t="s">
        <v>585</v>
      </c>
      <c r="D72" s="45" t="s">
        <v>586</v>
      </c>
      <c r="E72" s="105" t="s">
        <v>104</v>
      </c>
      <c r="G72" s="477">
        <f>SUM('DUoS (t-1)'!G72,'TUoS (t-1)'!G72,'JSO (t-1)'!G72)</f>
        <v>41.0959</v>
      </c>
      <c r="H72" s="479">
        <f>SUM('DUoS (t-1)'!H72,'TUoS (t-1)'!H72,'JSO (t-1)'!H72)</f>
        <v>0</v>
      </c>
      <c r="I72" s="483">
        <f>SUM('DUoS (t-1)'!I72,'TUoS (t-1)'!I72,'JSO (t-1)'!I72)</f>
        <v>4.1400000000000006E-2</v>
      </c>
      <c r="J72" s="461">
        <f>SUM('DUoS (t-1)'!J72,'TUoS (t-1)'!J72,'JSO (t-1)'!J72)</f>
        <v>0</v>
      </c>
      <c r="K72" s="484">
        <f>SUM('DUoS (t-1)'!K72,'TUoS (t-1)'!K72,'JSO (t-1)'!K72)</f>
        <v>2.5900000000000003E-2</v>
      </c>
      <c r="L72" s="461">
        <f>SUM('DUoS (t-1)'!L72,'TUoS (t-1)'!L72,'JSO (t-1)'!L72)</f>
        <v>0</v>
      </c>
      <c r="M72" s="461">
        <f>SUM('DUoS (t-1)'!M72,'TUoS (t-1)'!M72,'JSO (t-1)'!M72)</f>
        <v>0</v>
      </c>
      <c r="N72" s="461">
        <f>SUM('DUoS (t-1)'!N72,'TUoS (t-1)'!N72,'JSO (t-1)'!N72)</f>
        <v>0</v>
      </c>
      <c r="O72" s="462">
        <f>SUM('DUoS (t-1)'!O72,'TUoS (t-1)'!O72,'JSO (t-1)'!O72)</f>
        <v>0</v>
      </c>
      <c r="P72" s="461">
        <f>SUM('DUoS (t-1)'!P72,'TUoS (t-1)'!P72,'JSO (t-1)'!P72)</f>
        <v>0</v>
      </c>
      <c r="Q72" s="461">
        <f>SUM('DUoS (t-1)'!Q72,'TUoS (t-1)'!Q72,'JSO (t-1)'!Q72)</f>
        <v>0</v>
      </c>
      <c r="R72" s="462">
        <f>SUM('DUoS (t-1)'!R72,'TUoS (t-1)'!R72,'JSO (t-1)'!R72)</f>
        <v>0</v>
      </c>
      <c r="S72" s="478">
        <f>SUM('DUoS (t-1)'!S72,'TUoS (t-1)'!S72,'JSO (t-1)'!S72)</f>
        <v>0.21479999999999999</v>
      </c>
      <c r="T72" s="483">
        <f>SUM('DUoS (t-1)'!T72,'TUoS (t-1)'!T72,'JSO (t-1)'!T72)</f>
        <v>0.1036</v>
      </c>
      <c r="U72" s="480">
        <f>SUM('DUoS (t-1)'!U72,'TUoS (t-1)'!U72,'JSO (t-1)'!U72)</f>
        <v>0</v>
      </c>
      <c r="V72" s="481">
        <f>SUM('DUoS (t-1)'!V72,'TUoS (t-1)'!V72,'JSO (t-1)'!V72)</f>
        <v>0</v>
      </c>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2235.0005214999996</v>
      </c>
      <c r="AP72" s="184">
        <f t="shared" si="48"/>
        <v>0</v>
      </c>
      <c r="AQ72" s="178">
        <f t="shared" si="48"/>
        <v>12541.053600000001</v>
      </c>
      <c r="AR72" s="178">
        <f t="shared" si="48"/>
        <v>0</v>
      </c>
      <c r="AS72" s="179">
        <f t="shared" si="48"/>
        <v>7366.5298000000012</v>
      </c>
      <c r="AT72" s="178">
        <f t="shared" si="48"/>
        <v>0</v>
      </c>
      <c r="AU72" s="178">
        <f t="shared" si="48"/>
        <v>0</v>
      </c>
      <c r="AV72" s="178">
        <f t="shared" si="48"/>
        <v>0</v>
      </c>
      <c r="AW72" s="179">
        <f t="shared" si="48"/>
        <v>0</v>
      </c>
      <c r="AX72" s="178">
        <f t="shared" si="20"/>
        <v>0</v>
      </c>
      <c r="AY72" s="178">
        <f t="shared" si="20"/>
        <v>0</v>
      </c>
      <c r="AZ72" s="179">
        <f t="shared" si="20"/>
        <v>0</v>
      </c>
      <c r="BA72" s="184">
        <f t="shared" si="20"/>
        <v>11824.223763999998</v>
      </c>
      <c r="BB72" s="178">
        <f t="shared" si="20"/>
        <v>7251.2882680000002</v>
      </c>
      <c r="BC72" s="184">
        <f t="shared" si="20"/>
        <v>0</v>
      </c>
      <c r="BD72" s="178">
        <f t="shared" si="20"/>
        <v>0</v>
      </c>
      <c r="BE72" s="244">
        <f t="shared" si="3"/>
        <v>149</v>
      </c>
      <c r="BF72" s="245">
        <f t="shared" si="21"/>
        <v>587346</v>
      </c>
      <c r="BH72" s="255">
        <f t="shared" ref="BH72:BH93" si="49">SUM(AO72)</f>
        <v>2235.0005214999996</v>
      </c>
      <c r="BI72" s="255">
        <f t="shared" ref="BI72:BI93" si="50">SUM(AP72:AS72)</f>
        <v>19907.583400000003</v>
      </c>
      <c r="BJ72" s="255">
        <f t="shared" ref="BJ72:BJ93" si="51">SUM(AT72:AW72)</f>
        <v>0</v>
      </c>
      <c r="BK72" s="256">
        <f t="shared" ref="BK72:BK93" si="52">SUM(AX72:BB72)</f>
        <v>19075.512031999999</v>
      </c>
      <c r="BL72" s="262">
        <f t="shared" ref="BL72:BL93" si="53">SUM(BC72:BD72)</f>
        <v>0</v>
      </c>
      <c r="BM72" s="257">
        <f t="shared" si="5"/>
        <v>41218.0959535</v>
      </c>
      <c r="BO72" s="714">
        <f t="shared" si="6"/>
        <v>70.176856492595505</v>
      </c>
      <c r="BT72" s="137"/>
    </row>
    <row r="73" spans="2:72" ht="15" customHeight="1" x14ac:dyDescent="0.25">
      <c r="B73" s="19">
        <f>B72+1</f>
        <v>2</v>
      </c>
      <c r="C73" s="44" t="s">
        <v>587</v>
      </c>
      <c r="D73" s="45" t="s">
        <v>588</v>
      </c>
      <c r="E73" s="105" t="s">
        <v>105</v>
      </c>
      <c r="G73" s="477">
        <f>SUM('DUoS (t-1)'!G73,'TUoS (t-1)'!G73,'JSO (t-1)'!G73)</f>
        <v>41.0959</v>
      </c>
      <c r="H73" s="479">
        <f>SUM('DUoS (t-1)'!H73,'TUoS (t-1)'!H73,'JSO (t-1)'!H73)</f>
        <v>0</v>
      </c>
      <c r="I73" s="483">
        <f>SUM('DUoS (t-1)'!I73,'TUoS (t-1)'!I73,'JSO (t-1)'!I73)</f>
        <v>4.1400000000000006E-2</v>
      </c>
      <c r="J73" s="461">
        <f>SUM('DUoS (t-1)'!J73,'TUoS (t-1)'!J73,'JSO (t-1)'!J73)</f>
        <v>0</v>
      </c>
      <c r="K73" s="484">
        <f>SUM('DUoS (t-1)'!K73,'TUoS (t-1)'!K73,'JSO (t-1)'!K73)</f>
        <v>2.5900000000000003E-2</v>
      </c>
      <c r="L73" s="461">
        <f>SUM('DUoS (t-1)'!L73,'TUoS (t-1)'!L73,'JSO (t-1)'!L73)</f>
        <v>0</v>
      </c>
      <c r="M73" s="461">
        <f>SUM('DUoS (t-1)'!M73,'TUoS (t-1)'!M73,'JSO (t-1)'!M73)</f>
        <v>0</v>
      </c>
      <c r="N73" s="461">
        <f>SUM('DUoS (t-1)'!N73,'TUoS (t-1)'!N73,'JSO (t-1)'!N73)</f>
        <v>0</v>
      </c>
      <c r="O73" s="462">
        <f>SUM('DUoS (t-1)'!O73,'TUoS (t-1)'!O73,'JSO (t-1)'!O73)</f>
        <v>0</v>
      </c>
      <c r="P73" s="483">
        <f>SUM('DUoS (t-1)'!P73,'TUoS (t-1)'!P73,'JSO (t-1)'!P73)</f>
        <v>0.77879999999999994</v>
      </c>
      <c r="Q73" s="461">
        <f>SUM('DUoS (t-1)'!Q73,'TUoS (t-1)'!Q73,'JSO (t-1)'!Q73)</f>
        <v>0</v>
      </c>
      <c r="R73" s="462">
        <f>SUM('DUoS (t-1)'!R73,'TUoS (t-1)'!R73,'JSO (t-1)'!R73)</f>
        <v>0</v>
      </c>
      <c r="S73" s="479">
        <f>SUM('DUoS (t-1)'!S73,'TUoS (t-1)'!S73,'JSO (t-1)'!S73)</f>
        <v>0</v>
      </c>
      <c r="T73" s="483">
        <f>SUM('DUoS (t-1)'!T73,'TUoS (t-1)'!T73,'JSO (t-1)'!T73)</f>
        <v>0.1036</v>
      </c>
      <c r="U73" s="480">
        <f>SUM('DUoS (t-1)'!U73,'TUoS (t-1)'!U73,'JSO (t-1)'!U73)</f>
        <v>0</v>
      </c>
      <c r="V73" s="481">
        <f>SUM('DUoS (t-1)'!V73,'TUoS (t-1)'!V73,'JSO (t-1)'!V73)</f>
        <v>0</v>
      </c>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210.00004899999999</v>
      </c>
      <c r="AP73" s="184">
        <f t="shared" si="48"/>
        <v>0</v>
      </c>
      <c r="AQ73" s="178">
        <f t="shared" si="48"/>
        <v>1072.2600000000002</v>
      </c>
      <c r="AR73" s="178">
        <f t="shared" si="48"/>
        <v>0</v>
      </c>
      <c r="AS73" s="179">
        <f t="shared" si="48"/>
        <v>647.50000000000011</v>
      </c>
      <c r="AT73" s="178">
        <f t="shared" si="48"/>
        <v>0</v>
      </c>
      <c r="AU73" s="178">
        <f t="shared" si="48"/>
        <v>0</v>
      </c>
      <c r="AV73" s="178">
        <f t="shared" si="48"/>
        <v>0</v>
      </c>
      <c r="AW73" s="179">
        <f t="shared" si="48"/>
        <v>0</v>
      </c>
      <c r="AX73" s="178">
        <f t="shared" si="20"/>
        <v>1158.9361739999999</v>
      </c>
      <c r="AY73" s="178">
        <f t="shared" si="20"/>
        <v>0</v>
      </c>
      <c r="AZ73" s="179">
        <f t="shared" si="20"/>
        <v>0</v>
      </c>
      <c r="BA73" s="184">
        <f t="shared" si="20"/>
        <v>0</v>
      </c>
      <c r="BB73" s="178">
        <f t="shared" si="20"/>
        <v>990.08396199999993</v>
      </c>
      <c r="BC73" s="184">
        <f t="shared" si="20"/>
        <v>0</v>
      </c>
      <c r="BD73" s="178">
        <f t="shared" si="20"/>
        <v>0</v>
      </c>
      <c r="BE73" s="244">
        <f t="shared" si="3"/>
        <v>14</v>
      </c>
      <c r="BF73" s="245">
        <f t="shared" si="21"/>
        <v>50900</v>
      </c>
      <c r="BH73" s="255">
        <f t="shared" si="49"/>
        <v>210.00004899999999</v>
      </c>
      <c r="BI73" s="255">
        <f t="shared" si="50"/>
        <v>1719.7600000000002</v>
      </c>
      <c r="BJ73" s="255">
        <f t="shared" si="51"/>
        <v>0</v>
      </c>
      <c r="BK73" s="256">
        <f t="shared" si="52"/>
        <v>2149.0201360000001</v>
      </c>
      <c r="BL73" s="262">
        <f t="shared" si="53"/>
        <v>0</v>
      </c>
      <c r="BM73" s="257">
        <f t="shared" si="5"/>
        <v>4078.7801850000005</v>
      </c>
      <c r="BO73" s="714">
        <f t="shared" si="6"/>
        <v>80.13320599214147</v>
      </c>
      <c r="BT73" s="137"/>
    </row>
    <row r="74" spans="2:72" ht="15" customHeight="1" x14ac:dyDescent="0.25">
      <c r="B74" s="19">
        <f>B73+1</f>
        <v>3</v>
      </c>
      <c r="C74" s="846" t="s">
        <v>589</v>
      </c>
      <c r="D74" s="847" t="s">
        <v>590</v>
      </c>
      <c r="E74" s="835" t="s">
        <v>106</v>
      </c>
      <c r="G74" s="477">
        <f>SUM('DUoS (t-1)'!G74,'TUoS (t-1)'!G74,'JSO (t-1)'!G74)</f>
        <v>0</v>
      </c>
      <c r="H74" s="479">
        <f>SUM('DUoS (t-1)'!H74,'TUoS (t-1)'!H74,'JSO (t-1)'!H74)</f>
        <v>0</v>
      </c>
      <c r="I74" s="483">
        <f>SUM('DUoS (t-1)'!I74,'TUoS (t-1)'!I74,'JSO (t-1)'!I74)</f>
        <v>0</v>
      </c>
      <c r="J74" s="461">
        <f>SUM('DUoS (t-1)'!J74,'TUoS (t-1)'!J74,'JSO (t-1)'!J74)</f>
        <v>0</v>
      </c>
      <c r="K74" s="484">
        <f>SUM('DUoS (t-1)'!K74,'TUoS (t-1)'!K74,'JSO (t-1)'!K74)</f>
        <v>0</v>
      </c>
      <c r="L74" s="461">
        <f>SUM('DUoS (t-1)'!L74,'TUoS (t-1)'!L74,'JSO (t-1)'!L74)</f>
        <v>0</v>
      </c>
      <c r="M74" s="461">
        <f>SUM('DUoS (t-1)'!M74,'TUoS (t-1)'!M74,'JSO (t-1)'!M74)</f>
        <v>0</v>
      </c>
      <c r="N74" s="461">
        <f>SUM('DUoS (t-1)'!N74,'TUoS (t-1)'!N74,'JSO (t-1)'!N74)</f>
        <v>0</v>
      </c>
      <c r="O74" s="462">
        <f>SUM('DUoS (t-1)'!O74,'TUoS (t-1)'!O74,'JSO (t-1)'!O74)</f>
        <v>0</v>
      </c>
      <c r="P74" s="461">
        <f>SUM('DUoS (t-1)'!P74,'TUoS (t-1)'!P74,'JSO (t-1)'!P74)</f>
        <v>0</v>
      </c>
      <c r="Q74" s="461">
        <f>SUM('DUoS (t-1)'!Q74,'TUoS (t-1)'!Q74,'JSO (t-1)'!Q74)</f>
        <v>0</v>
      </c>
      <c r="R74" s="462">
        <f>SUM('DUoS (t-1)'!R74,'TUoS (t-1)'!R74,'JSO (t-1)'!R74)</f>
        <v>0</v>
      </c>
      <c r="S74" s="479">
        <f>SUM('DUoS (t-1)'!S74,'TUoS (t-1)'!S74,'JSO (t-1)'!S74)</f>
        <v>0</v>
      </c>
      <c r="T74" s="461">
        <f>SUM('DUoS (t-1)'!T74,'TUoS (t-1)'!T74,'JSO (t-1)'!T74)</f>
        <v>0</v>
      </c>
      <c r="U74" s="479">
        <f>SUM('DUoS (t-1)'!U74,'TUoS (t-1)'!U74,'JSO (t-1)'!U74)</f>
        <v>0</v>
      </c>
      <c r="V74" s="462">
        <f>SUM('DUoS (t-1)'!V74,'TUoS (t-1)'!V74,'JSO (t-1)'!V74)</f>
        <v>0</v>
      </c>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48"/>
        <v>0</v>
      </c>
      <c r="AQ74" s="178">
        <f t="shared" si="48"/>
        <v>0</v>
      </c>
      <c r="AR74" s="178">
        <f t="shared" si="48"/>
        <v>0</v>
      </c>
      <c r="AS74" s="179">
        <f t="shared" si="48"/>
        <v>0</v>
      </c>
      <c r="AT74" s="178">
        <f t="shared" si="48"/>
        <v>0</v>
      </c>
      <c r="AU74" s="178">
        <f t="shared" si="48"/>
        <v>0</v>
      </c>
      <c r="AV74" s="178">
        <f t="shared" si="48"/>
        <v>0</v>
      </c>
      <c r="AW74" s="179">
        <f t="shared" si="48"/>
        <v>0</v>
      </c>
      <c r="AX74" s="178">
        <f t="shared" si="20"/>
        <v>0</v>
      </c>
      <c r="AY74" s="178">
        <f t="shared" si="20"/>
        <v>0</v>
      </c>
      <c r="AZ74" s="179">
        <f t="shared" si="20"/>
        <v>0</v>
      </c>
      <c r="BA74" s="184">
        <f t="shared" si="20"/>
        <v>0</v>
      </c>
      <c r="BB74" s="178">
        <f t="shared" si="20"/>
        <v>0</v>
      </c>
      <c r="BC74" s="184">
        <f t="shared" si="20"/>
        <v>0</v>
      </c>
      <c r="BD74" s="178">
        <f t="shared" si="20"/>
        <v>0</v>
      </c>
      <c r="BE74" s="244">
        <f t="shared" si="3"/>
        <v>0</v>
      </c>
      <c r="BF74" s="245">
        <f t="shared" si="21"/>
        <v>0</v>
      </c>
      <c r="BH74" s="255">
        <f t="shared" si="49"/>
        <v>0</v>
      </c>
      <c r="BI74" s="255">
        <f t="shared" si="50"/>
        <v>0</v>
      </c>
      <c r="BJ74" s="255">
        <f t="shared" si="51"/>
        <v>0</v>
      </c>
      <c r="BK74" s="256">
        <f t="shared" si="52"/>
        <v>0</v>
      </c>
      <c r="BL74" s="262">
        <f t="shared" si="53"/>
        <v>0</v>
      </c>
      <c r="BM74" s="257">
        <f t="shared" si="5"/>
        <v>0</v>
      </c>
      <c r="BO74" s="714" t="str">
        <f t="shared" si="6"/>
        <v/>
      </c>
      <c r="BT74" s="137"/>
    </row>
    <row r="75" spans="2:72" ht="15" customHeight="1" x14ac:dyDescent="0.25">
      <c r="B75" s="19">
        <f>B74+1</f>
        <v>4</v>
      </c>
      <c r="C75" s="44" t="s">
        <v>107</v>
      </c>
      <c r="D75" s="45" t="s">
        <v>107</v>
      </c>
      <c r="E75" s="105" t="s">
        <v>108</v>
      </c>
      <c r="G75" s="477">
        <f>SUM('DUoS (t-1)'!G75,'TUoS (t-1)'!G75,'JSO (t-1)'!G75)</f>
        <v>2.7397</v>
      </c>
      <c r="H75" s="478">
        <f>SUM('DUoS (t-1)'!H75,'TUoS (t-1)'!H75,'JSO (t-1)'!H75)</f>
        <v>7.5400000000000009E-2</v>
      </c>
      <c r="I75" s="461">
        <f>SUM('DUoS (t-1)'!I75,'TUoS (t-1)'!I75,'JSO (t-1)'!I75)</f>
        <v>0</v>
      </c>
      <c r="J75" s="461">
        <f>SUM('DUoS (t-1)'!J75,'TUoS (t-1)'!J75,'JSO (t-1)'!J75)</f>
        <v>0</v>
      </c>
      <c r="K75" s="462">
        <f>SUM('DUoS (t-1)'!K75,'TUoS (t-1)'!K75,'JSO (t-1)'!K75)</f>
        <v>0</v>
      </c>
      <c r="L75" s="461">
        <f>SUM('DUoS (t-1)'!L75,'TUoS (t-1)'!L75,'JSO (t-1)'!L75)</f>
        <v>0</v>
      </c>
      <c r="M75" s="461">
        <f>SUM('DUoS (t-1)'!M75,'TUoS (t-1)'!M75,'JSO (t-1)'!M75)</f>
        <v>0</v>
      </c>
      <c r="N75" s="461">
        <f>SUM('DUoS (t-1)'!N75,'TUoS (t-1)'!N75,'JSO (t-1)'!N75)</f>
        <v>0</v>
      </c>
      <c r="O75" s="462">
        <f>SUM('DUoS (t-1)'!O75,'TUoS (t-1)'!O75,'JSO (t-1)'!O75)</f>
        <v>0</v>
      </c>
      <c r="P75" s="461">
        <f>SUM('DUoS (t-1)'!P75,'TUoS (t-1)'!P75,'JSO (t-1)'!P75)</f>
        <v>0</v>
      </c>
      <c r="Q75" s="483">
        <f>SUM('DUoS (t-1)'!Q75,'TUoS (t-1)'!Q75,'JSO (t-1)'!Q75)</f>
        <v>0.3962</v>
      </c>
      <c r="R75" s="484">
        <f>SUM('DUoS (t-1)'!R75,'TUoS (t-1)'!R75,'JSO (t-1)'!R75)</f>
        <v>0.19600000000000001</v>
      </c>
      <c r="S75" s="479">
        <f>SUM('DUoS (t-1)'!S75,'TUoS (t-1)'!S75,'JSO (t-1)'!S75)</f>
        <v>0</v>
      </c>
      <c r="T75" s="461">
        <f>SUM('DUoS (t-1)'!T75,'TUoS (t-1)'!T75,'JSO (t-1)'!T75)</f>
        <v>0</v>
      </c>
      <c r="U75" s="479">
        <f>SUM('DUoS (t-1)'!U75,'TUoS (t-1)'!U75,'JSO (t-1)'!U75)</f>
        <v>0</v>
      </c>
      <c r="V75" s="462">
        <f>SUM('DUoS (t-1)'!V75,'TUoS (t-1)'!V75,'JSO (t-1)'!V75)</f>
        <v>0</v>
      </c>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48"/>
        <v>0</v>
      </c>
      <c r="AQ75" s="178">
        <f t="shared" si="48"/>
        <v>0</v>
      </c>
      <c r="AR75" s="178">
        <f t="shared" si="48"/>
        <v>0</v>
      </c>
      <c r="AS75" s="179">
        <f t="shared" si="48"/>
        <v>0</v>
      </c>
      <c r="AT75" s="178">
        <f t="shared" si="48"/>
        <v>0</v>
      </c>
      <c r="AU75" s="178">
        <f t="shared" si="48"/>
        <v>0</v>
      </c>
      <c r="AV75" s="178">
        <f t="shared" si="48"/>
        <v>0</v>
      </c>
      <c r="AW75" s="179">
        <f t="shared" si="48"/>
        <v>0</v>
      </c>
      <c r="AX75" s="178">
        <f t="shared" si="20"/>
        <v>0</v>
      </c>
      <c r="AY75" s="178">
        <f t="shared" si="20"/>
        <v>0</v>
      </c>
      <c r="AZ75" s="179">
        <f t="shared" si="20"/>
        <v>0</v>
      </c>
      <c r="BA75" s="184">
        <f t="shared" si="20"/>
        <v>0</v>
      </c>
      <c r="BB75" s="178">
        <f t="shared" si="20"/>
        <v>0</v>
      </c>
      <c r="BC75" s="184">
        <f t="shared" si="20"/>
        <v>0</v>
      </c>
      <c r="BD75" s="178">
        <f t="shared" si="20"/>
        <v>0</v>
      </c>
      <c r="BE75" s="244">
        <f t="shared" si="3"/>
        <v>0</v>
      </c>
      <c r="BF75" s="245">
        <f t="shared" si="21"/>
        <v>0</v>
      </c>
      <c r="BH75" s="255">
        <f t="shared" si="49"/>
        <v>0</v>
      </c>
      <c r="BI75" s="255">
        <f t="shared" si="50"/>
        <v>0</v>
      </c>
      <c r="BJ75" s="255">
        <f t="shared" si="51"/>
        <v>0</v>
      </c>
      <c r="BK75" s="256">
        <f t="shared" si="52"/>
        <v>0</v>
      </c>
      <c r="BL75" s="262">
        <f t="shared" si="53"/>
        <v>0</v>
      </c>
      <c r="BM75" s="257">
        <f t="shared" si="5"/>
        <v>0</v>
      </c>
      <c r="BO75" s="714" t="str">
        <f t="shared" si="6"/>
        <v/>
      </c>
      <c r="BT75" s="137"/>
    </row>
    <row r="76" spans="2:72" ht="15" customHeight="1" x14ac:dyDescent="0.25">
      <c r="B76" s="19">
        <f>B75+1</f>
        <v>5</v>
      </c>
      <c r="C76" s="44" t="s">
        <v>591</v>
      </c>
      <c r="D76" s="45" t="s">
        <v>592</v>
      </c>
      <c r="E76" s="105" t="s">
        <v>109</v>
      </c>
      <c r="G76" s="477">
        <f>SUM('DUoS (t-1)'!G76,'TUoS (t-1)'!G76,'JSO (t-1)'!G76)</f>
        <v>6.8493000000000004</v>
      </c>
      <c r="H76" s="479">
        <f>SUM('DUoS (t-1)'!H76,'TUoS (t-1)'!H76,'JSO (t-1)'!H76)</f>
        <v>0</v>
      </c>
      <c r="I76" s="483">
        <f>SUM('DUoS (t-1)'!I76,'TUoS (t-1)'!I76,'JSO (t-1)'!I76)</f>
        <v>6.4100000000000004E-2</v>
      </c>
      <c r="J76" s="461">
        <f>SUM('DUoS (t-1)'!J76,'TUoS (t-1)'!J76,'JSO (t-1)'!J76)</f>
        <v>0</v>
      </c>
      <c r="K76" s="484">
        <f>SUM('DUoS (t-1)'!K76,'TUoS (t-1)'!K76,'JSO (t-1)'!K76)</f>
        <v>4.0099999999999997E-2</v>
      </c>
      <c r="L76" s="461">
        <f>SUM('DUoS (t-1)'!L76,'TUoS (t-1)'!L76,'JSO (t-1)'!L76)</f>
        <v>0</v>
      </c>
      <c r="M76" s="461">
        <f>SUM('DUoS (t-1)'!M76,'TUoS (t-1)'!M76,'JSO (t-1)'!M76)</f>
        <v>0</v>
      </c>
      <c r="N76" s="461">
        <f>SUM('DUoS (t-1)'!N76,'TUoS (t-1)'!N76,'JSO (t-1)'!N76)</f>
        <v>0</v>
      </c>
      <c r="O76" s="462">
        <f>SUM('DUoS (t-1)'!O76,'TUoS (t-1)'!O76,'JSO (t-1)'!O76)</f>
        <v>0</v>
      </c>
      <c r="P76" s="818">
        <f>SUM('DUoS (t-1)'!P76,'TUoS (t-1)'!P76,'JSO (t-1)'!P76)</f>
        <v>0</v>
      </c>
      <c r="Q76" s="461">
        <f>SUM('DUoS (t-1)'!Q76,'TUoS (t-1)'!Q76,'JSO (t-1)'!Q76)</f>
        <v>0</v>
      </c>
      <c r="R76" s="462">
        <f>SUM('DUoS (t-1)'!R76,'TUoS (t-1)'!R76,'JSO (t-1)'!R76)</f>
        <v>0</v>
      </c>
      <c r="S76" s="478">
        <f>SUM('DUoS (t-1)'!S76,'TUoS (t-1)'!S76,'JSO (t-1)'!S76)</f>
        <v>0.25329999999999997</v>
      </c>
      <c r="T76" s="483">
        <f>SUM('DUoS (t-1)'!T76,'TUoS (t-1)'!T76,'JSO (t-1)'!T76)</f>
        <v>0.1036</v>
      </c>
      <c r="U76" s="479">
        <f>SUM('DUoS (t-1)'!U76,'TUoS (t-1)'!U76,'JSO (t-1)'!U76)</f>
        <v>0</v>
      </c>
      <c r="V76" s="462">
        <f>SUM('DUoS (t-1)'!V76,'TUoS (t-1)'!V76,'JSO (t-1)'!V76)</f>
        <v>0</v>
      </c>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59.999867999999999</v>
      </c>
      <c r="AP76" s="184">
        <f t="shared" si="48"/>
        <v>0</v>
      </c>
      <c r="AQ76" s="178">
        <f t="shared" si="48"/>
        <v>391.01000000000005</v>
      </c>
      <c r="AR76" s="178">
        <f t="shared" si="48"/>
        <v>0</v>
      </c>
      <c r="AS76" s="179">
        <f t="shared" si="48"/>
        <v>192.48</v>
      </c>
      <c r="AT76" s="178">
        <f t="shared" si="48"/>
        <v>0</v>
      </c>
      <c r="AU76" s="178">
        <f t="shared" si="48"/>
        <v>0</v>
      </c>
      <c r="AV76" s="178">
        <f t="shared" si="48"/>
        <v>0</v>
      </c>
      <c r="AW76" s="179">
        <f t="shared" si="48"/>
        <v>0</v>
      </c>
      <c r="AX76" s="178">
        <f t="shared" si="20"/>
        <v>0</v>
      </c>
      <c r="AY76" s="178">
        <f t="shared" si="20"/>
        <v>0</v>
      </c>
      <c r="AZ76" s="179">
        <f t="shared" si="20"/>
        <v>0</v>
      </c>
      <c r="BA76" s="184">
        <f t="shared" si="20"/>
        <v>202.56780949999998</v>
      </c>
      <c r="BB76" s="178">
        <f t="shared" si="20"/>
        <v>196.216846</v>
      </c>
      <c r="BC76" s="184">
        <f t="shared" si="20"/>
        <v>0</v>
      </c>
      <c r="BD76" s="178">
        <f t="shared" si="20"/>
        <v>0</v>
      </c>
      <c r="BE76" s="244">
        <f t="shared" si="3"/>
        <v>24</v>
      </c>
      <c r="BF76" s="245">
        <f t="shared" si="21"/>
        <v>10900</v>
      </c>
      <c r="BH76" s="255">
        <f t="shared" si="49"/>
        <v>59.999867999999999</v>
      </c>
      <c r="BI76" s="255">
        <f t="shared" si="50"/>
        <v>583.49</v>
      </c>
      <c r="BJ76" s="255">
        <f t="shared" si="51"/>
        <v>0</v>
      </c>
      <c r="BK76" s="256">
        <f t="shared" si="52"/>
        <v>398.78465549999999</v>
      </c>
      <c r="BL76" s="262">
        <f t="shared" si="53"/>
        <v>0</v>
      </c>
      <c r="BM76" s="257">
        <f t="shared" si="5"/>
        <v>1042.2745235</v>
      </c>
      <c r="BO76" s="714">
        <f t="shared" si="6"/>
        <v>95.621515917431196</v>
      </c>
      <c r="BT76" s="137"/>
    </row>
    <row r="77" spans="2:72" ht="15" customHeight="1" x14ac:dyDescent="0.25">
      <c r="B77" s="19">
        <f>B76+1</f>
        <v>6</v>
      </c>
      <c r="C77" s="44" t="s">
        <v>593</v>
      </c>
      <c r="D77" s="45" t="s">
        <v>594</v>
      </c>
      <c r="E77" s="105" t="s">
        <v>110</v>
      </c>
      <c r="G77" s="477">
        <f>SUM('DUoS (t-1)'!G77,'TUoS (t-1)'!G77,'JSO (t-1)'!G77)</f>
        <v>0</v>
      </c>
      <c r="H77" s="479">
        <f>SUM('DUoS (t-1)'!H77,'TUoS (t-1)'!H77,'JSO (t-1)'!H77)</f>
        <v>0</v>
      </c>
      <c r="I77" s="483">
        <f>SUM('DUoS (t-1)'!I77,'TUoS (t-1)'!I77,'JSO (t-1)'!I77)</f>
        <v>0</v>
      </c>
      <c r="J77" s="461">
        <f>SUM('DUoS (t-1)'!J77,'TUoS (t-1)'!J77,'JSO (t-1)'!J77)</f>
        <v>0</v>
      </c>
      <c r="K77" s="484">
        <f>SUM('DUoS (t-1)'!K77,'TUoS (t-1)'!K77,'JSO (t-1)'!K77)</f>
        <v>0</v>
      </c>
      <c r="L77" s="461">
        <f>SUM('DUoS (t-1)'!L77,'TUoS (t-1)'!L77,'JSO (t-1)'!L77)</f>
        <v>0</v>
      </c>
      <c r="M77" s="461">
        <f>SUM('DUoS (t-1)'!M77,'TUoS (t-1)'!M77,'JSO (t-1)'!M77)</f>
        <v>0</v>
      </c>
      <c r="N77" s="461">
        <f>SUM('DUoS (t-1)'!N77,'TUoS (t-1)'!N77,'JSO (t-1)'!N77)</f>
        <v>0</v>
      </c>
      <c r="O77" s="462">
        <f>SUM('DUoS (t-1)'!O77,'TUoS (t-1)'!O77,'JSO (t-1)'!O77)</f>
        <v>0</v>
      </c>
      <c r="P77" s="461">
        <f>SUM('DUoS (t-1)'!P77,'TUoS (t-1)'!P77,'JSO (t-1)'!P77)</f>
        <v>0</v>
      </c>
      <c r="Q77" s="461">
        <f>SUM('DUoS (t-1)'!Q77,'TUoS (t-1)'!Q77,'JSO (t-1)'!Q77)</f>
        <v>0</v>
      </c>
      <c r="R77" s="462">
        <f>SUM('DUoS (t-1)'!R77,'TUoS (t-1)'!R77,'JSO (t-1)'!R77)</f>
        <v>0</v>
      </c>
      <c r="S77" s="478">
        <f>SUM('DUoS (t-1)'!S77,'TUoS (t-1)'!S77,'JSO (t-1)'!S77)</f>
        <v>0.21479999999999999</v>
      </c>
      <c r="T77" s="483">
        <f>SUM('DUoS (t-1)'!T77,'TUoS (t-1)'!T77,'JSO (t-1)'!T77)</f>
        <v>0.1036</v>
      </c>
      <c r="U77" s="479">
        <f>SUM('DUoS (t-1)'!U77,'TUoS (t-1)'!U77,'JSO (t-1)'!U77)</f>
        <v>0</v>
      </c>
      <c r="V77" s="462">
        <f>SUM('DUoS (t-1)'!V77,'TUoS (t-1)'!V77,'JSO (t-1)'!V77)</f>
        <v>0</v>
      </c>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48"/>
        <v>0</v>
      </c>
      <c r="AQ77" s="178">
        <f t="shared" si="48"/>
        <v>0</v>
      </c>
      <c r="AR77" s="178">
        <f t="shared" si="48"/>
        <v>0</v>
      </c>
      <c r="AS77" s="179">
        <f t="shared" si="48"/>
        <v>0</v>
      </c>
      <c r="AT77" s="178">
        <f t="shared" si="48"/>
        <v>0</v>
      </c>
      <c r="AU77" s="178">
        <f t="shared" si="48"/>
        <v>0</v>
      </c>
      <c r="AV77" s="178">
        <f t="shared" si="48"/>
        <v>0</v>
      </c>
      <c r="AW77" s="179">
        <f t="shared" si="48"/>
        <v>0</v>
      </c>
      <c r="AX77" s="178">
        <f t="shared" si="20"/>
        <v>0</v>
      </c>
      <c r="AY77" s="178">
        <f t="shared" si="20"/>
        <v>0</v>
      </c>
      <c r="AZ77" s="179">
        <f t="shared" si="20"/>
        <v>0</v>
      </c>
      <c r="BA77" s="184">
        <f t="shared" si="20"/>
        <v>0</v>
      </c>
      <c r="BB77" s="178">
        <f t="shared" si="20"/>
        <v>33.276319999999998</v>
      </c>
      <c r="BC77" s="184">
        <f t="shared" si="20"/>
        <v>0</v>
      </c>
      <c r="BD77" s="178">
        <f t="shared" si="20"/>
        <v>0</v>
      </c>
      <c r="BE77" s="244">
        <f t="shared" si="3"/>
        <v>9</v>
      </c>
      <c r="BF77" s="245">
        <f t="shared" si="21"/>
        <v>2700</v>
      </c>
      <c r="BH77" s="255">
        <f t="shared" si="49"/>
        <v>0</v>
      </c>
      <c r="BI77" s="255">
        <f t="shared" si="50"/>
        <v>0</v>
      </c>
      <c r="BJ77" s="255">
        <f t="shared" si="51"/>
        <v>0</v>
      </c>
      <c r="BK77" s="256">
        <f t="shared" si="52"/>
        <v>33.276319999999998</v>
      </c>
      <c r="BL77" s="262">
        <f t="shared" si="53"/>
        <v>0</v>
      </c>
      <c r="BM77" s="257">
        <f t="shared" si="5"/>
        <v>33.276319999999998</v>
      </c>
      <c r="BO77" s="714">
        <f t="shared" si="6"/>
        <v>12.324562962962963</v>
      </c>
      <c r="BT77" s="137"/>
    </row>
    <row r="78" spans="2:72" ht="15" customHeight="1" x14ac:dyDescent="0.25">
      <c r="B78" s="19"/>
      <c r="C78" s="785"/>
      <c r="D78" s="772"/>
      <c r="E78" s="836" t="s">
        <v>111</v>
      </c>
      <c r="G78" s="482">
        <f>SUM('DUoS (t-1)'!G78,'TUoS (t-1)'!G78,'JSO (t-1)'!G78)</f>
        <v>0</v>
      </c>
      <c r="H78" s="479">
        <f>SUM('DUoS (t-1)'!H78,'TUoS (t-1)'!H78,'JSO (t-1)'!H78)</f>
        <v>0</v>
      </c>
      <c r="I78" s="461">
        <f>SUM('DUoS (t-1)'!I78,'TUoS (t-1)'!I78,'JSO (t-1)'!I78)</f>
        <v>0</v>
      </c>
      <c r="J78" s="461">
        <f>SUM('DUoS (t-1)'!J78,'TUoS (t-1)'!J78,'JSO (t-1)'!J78)</f>
        <v>0</v>
      </c>
      <c r="K78" s="462">
        <f>SUM('DUoS (t-1)'!K78,'TUoS (t-1)'!K78,'JSO (t-1)'!K78)</f>
        <v>0</v>
      </c>
      <c r="L78" s="461">
        <f>SUM('DUoS (t-1)'!L78,'TUoS (t-1)'!L78,'JSO (t-1)'!L78)</f>
        <v>0</v>
      </c>
      <c r="M78" s="461">
        <f>SUM('DUoS (t-1)'!M78,'TUoS (t-1)'!M78,'JSO (t-1)'!M78)</f>
        <v>0</v>
      </c>
      <c r="N78" s="461">
        <f>SUM('DUoS (t-1)'!N78,'TUoS (t-1)'!N78,'JSO (t-1)'!N78)</f>
        <v>0</v>
      </c>
      <c r="O78" s="462">
        <f>SUM('DUoS (t-1)'!O78,'TUoS (t-1)'!O78,'JSO (t-1)'!O78)</f>
        <v>0</v>
      </c>
      <c r="P78" s="461">
        <f>SUM('DUoS (t-1)'!P78,'TUoS (t-1)'!P78,'JSO (t-1)'!P78)</f>
        <v>0</v>
      </c>
      <c r="Q78" s="461">
        <f>SUM('DUoS (t-1)'!Q78,'TUoS (t-1)'!Q78,'JSO (t-1)'!Q78)</f>
        <v>0</v>
      </c>
      <c r="R78" s="462">
        <f>SUM('DUoS (t-1)'!R78,'TUoS (t-1)'!R78,'JSO (t-1)'!R78)</f>
        <v>0</v>
      </c>
      <c r="S78" s="479">
        <f>SUM('DUoS (t-1)'!S78,'TUoS (t-1)'!S78,'JSO (t-1)'!S78)</f>
        <v>0</v>
      </c>
      <c r="T78" s="461">
        <f>SUM('DUoS (t-1)'!T78,'TUoS (t-1)'!T78,'JSO (t-1)'!T78)</f>
        <v>0</v>
      </c>
      <c r="U78" s="479">
        <f>SUM('DUoS (t-1)'!U78,'TUoS (t-1)'!U78,'JSO (t-1)'!U78)</f>
        <v>0</v>
      </c>
      <c r="V78" s="462">
        <f>SUM('DUoS (t-1)'!V78,'TUoS (t-1)'!V78,'JSO (t-1)'!V78)</f>
        <v>0</v>
      </c>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48"/>
        <v>0</v>
      </c>
      <c r="AQ78" s="178">
        <f t="shared" si="48"/>
        <v>0</v>
      </c>
      <c r="AR78" s="178">
        <f t="shared" si="48"/>
        <v>0</v>
      </c>
      <c r="AS78" s="179">
        <f t="shared" si="48"/>
        <v>0</v>
      </c>
      <c r="AT78" s="178">
        <f t="shared" si="48"/>
        <v>0</v>
      </c>
      <c r="AU78" s="178">
        <f t="shared" si="48"/>
        <v>0</v>
      </c>
      <c r="AV78" s="178">
        <f t="shared" si="48"/>
        <v>0</v>
      </c>
      <c r="AW78" s="179">
        <f t="shared" si="48"/>
        <v>0</v>
      </c>
      <c r="AX78" s="178">
        <f t="shared" si="20"/>
        <v>0</v>
      </c>
      <c r="AY78" s="178">
        <f t="shared" si="20"/>
        <v>0</v>
      </c>
      <c r="AZ78" s="179">
        <f t="shared" si="20"/>
        <v>0</v>
      </c>
      <c r="BA78" s="184">
        <f t="shared" si="20"/>
        <v>0</v>
      </c>
      <c r="BB78" s="178">
        <f t="shared" si="20"/>
        <v>0</v>
      </c>
      <c r="BC78" s="184">
        <f t="shared" si="20"/>
        <v>0</v>
      </c>
      <c r="BD78" s="178">
        <f t="shared" si="20"/>
        <v>0</v>
      </c>
      <c r="BE78" s="244">
        <f t="shared" si="3"/>
        <v>0</v>
      </c>
      <c r="BF78" s="245">
        <f t="shared" si="21"/>
        <v>0</v>
      </c>
      <c r="BH78" s="255">
        <f t="shared" si="49"/>
        <v>0</v>
      </c>
      <c r="BI78" s="255">
        <f t="shared" si="50"/>
        <v>0</v>
      </c>
      <c r="BJ78" s="255">
        <f t="shared" si="51"/>
        <v>0</v>
      </c>
      <c r="BK78" s="256">
        <f t="shared" si="52"/>
        <v>0</v>
      </c>
      <c r="BL78" s="262">
        <f t="shared" si="53"/>
        <v>0</v>
      </c>
      <c r="BM78" s="257">
        <f t="shared" si="5"/>
        <v>0</v>
      </c>
      <c r="BO78" s="714" t="str">
        <f t="shared" si="6"/>
        <v/>
      </c>
      <c r="BT78" s="137"/>
    </row>
    <row r="79" spans="2:72" ht="15" customHeight="1" x14ac:dyDescent="0.25">
      <c r="B79" s="19">
        <f>B77+1</f>
        <v>7</v>
      </c>
      <c r="C79" s="833" t="s">
        <v>553</v>
      </c>
      <c r="D79" s="45"/>
      <c r="E79" s="835" t="s">
        <v>104</v>
      </c>
      <c r="G79" s="477">
        <f>SUM('DUoS (t-1)'!G79,'TUoS (t-1)'!G79,'JSO (t-1)'!G79)</f>
        <v>1273.3959</v>
      </c>
      <c r="H79" s="479">
        <f>SUM('DUoS (t-1)'!H79,'TUoS (t-1)'!H79,'JSO (t-1)'!H79)</f>
        <v>0</v>
      </c>
      <c r="I79" s="483">
        <f>SUM('DUoS (t-1)'!I79,'TUoS (t-1)'!I79,'JSO (t-1)'!I79)</f>
        <v>2.8300000000000002E-2</v>
      </c>
      <c r="J79" s="461">
        <f>SUM('DUoS (t-1)'!J79,'TUoS (t-1)'!J79,'JSO (t-1)'!J79)</f>
        <v>0</v>
      </c>
      <c r="K79" s="484">
        <f>SUM('DUoS (t-1)'!K79,'TUoS (t-1)'!K79,'JSO (t-1)'!K79)</f>
        <v>1.77E-2</v>
      </c>
      <c r="L79" s="461">
        <f>SUM('DUoS (t-1)'!L79,'TUoS (t-1)'!L79,'JSO (t-1)'!L79)</f>
        <v>0</v>
      </c>
      <c r="M79" s="461">
        <f>SUM('DUoS (t-1)'!M79,'TUoS (t-1)'!M79,'JSO (t-1)'!M79)</f>
        <v>0</v>
      </c>
      <c r="N79" s="461">
        <f>SUM('DUoS (t-1)'!N79,'TUoS (t-1)'!N79,'JSO (t-1)'!N79)</f>
        <v>0</v>
      </c>
      <c r="O79" s="462">
        <f>SUM('DUoS (t-1)'!O79,'TUoS (t-1)'!O79,'JSO (t-1)'!O79)</f>
        <v>0</v>
      </c>
      <c r="P79" s="461">
        <f>SUM('DUoS (t-1)'!P79,'TUoS (t-1)'!P79,'JSO (t-1)'!P79)</f>
        <v>0</v>
      </c>
      <c r="Q79" s="461">
        <f>SUM('DUoS (t-1)'!Q79,'TUoS (t-1)'!Q79,'JSO (t-1)'!Q79)</f>
        <v>0</v>
      </c>
      <c r="R79" s="462">
        <f>SUM('DUoS (t-1)'!R79,'TUoS (t-1)'!R79,'JSO (t-1)'!R79)</f>
        <v>0</v>
      </c>
      <c r="S79" s="478">
        <f>SUM('DUoS (t-1)'!S79,'TUoS (t-1)'!S79,'JSO (t-1)'!S79)</f>
        <v>0.1065</v>
      </c>
      <c r="T79" s="483">
        <f>SUM('DUoS (t-1)'!T79,'TUoS (t-1)'!T79,'JSO (t-1)'!T79)</f>
        <v>0.1036</v>
      </c>
      <c r="U79" s="480">
        <f>SUM('DUoS (t-1)'!U79,'TUoS (t-1)'!U79,'JSO (t-1)'!U79)</f>
        <v>0</v>
      </c>
      <c r="V79" s="481">
        <f>SUM('DUoS (t-1)'!V79,'TUoS (t-1)'!V79,'JSO (t-1)'!V79)</f>
        <v>0</v>
      </c>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48"/>
        <v>0</v>
      </c>
      <c r="AQ79" s="178">
        <f t="shared" si="48"/>
        <v>0</v>
      </c>
      <c r="AR79" s="178">
        <f t="shared" si="48"/>
        <v>0</v>
      </c>
      <c r="AS79" s="179">
        <f t="shared" si="48"/>
        <v>0</v>
      </c>
      <c r="AT79" s="178">
        <f t="shared" si="48"/>
        <v>0</v>
      </c>
      <c r="AU79" s="178">
        <f t="shared" si="48"/>
        <v>0</v>
      </c>
      <c r="AV79" s="178">
        <f t="shared" si="48"/>
        <v>0</v>
      </c>
      <c r="AW79" s="179">
        <f t="shared" si="48"/>
        <v>0</v>
      </c>
      <c r="AX79" s="178">
        <f t="shared" si="20"/>
        <v>0</v>
      </c>
      <c r="AY79" s="178">
        <f t="shared" si="20"/>
        <v>0</v>
      </c>
      <c r="AZ79" s="179">
        <f t="shared" si="20"/>
        <v>0</v>
      </c>
      <c r="BA79" s="184">
        <f t="shared" si="20"/>
        <v>0</v>
      </c>
      <c r="BB79" s="178">
        <f t="shared" si="20"/>
        <v>0</v>
      </c>
      <c r="BC79" s="184">
        <f t="shared" si="20"/>
        <v>0</v>
      </c>
      <c r="BD79" s="178">
        <f t="shared" si="20"/>
        <v>0</v>
      </c>
      <c r="BE79" s="244">
        <f t="shared" si="3"/>
        <v>0</v>
      </c>
      <c r="BF79" s="245">
        <f t="shared" si="21"/>
        <v>0</v>
      </c>
      <c r="BH79" s="255">
        <f t="shared" si="49"/>
        <v>0</v>
      </c>
      <c r="BI79" s="255">
        <f t="shared" si="50"/>
        <v>0</v>
      </c>
      <c r="BJ79" s="255">
        <f t="shared" si="51"/>
        <v>0</v>
      </c>
      <c r="BK79" s="256">
        <f t="shared" si="52"/>
        <v>0</v>
      </c>
      <c r="BL79" s="262">
        <f t="shared" si="53"/>
        <v>0</v>
      </c>
      <c r="BM79" s="257">
        <f t="shared" si="5"/>
        <v>0</v>
      </c>
      <c r="BO79" s="714" t="str">
        <f t="shared" si="6"/>
        <v/>
      </c>
      <c r="BT79" s="137"/>
    </row>
    <row r="80" spans="2:72" ht="15" customHeight="1" x14ac:dyDescent="0.25">
      <c r="B80" s="19">
        <f t="shared" ref="B80:B93" si="54">B79+1</f>
        <v>8</v>
      </c>
      <c r="C80" s="833" t="s">
        <v>554</v>
      </c>
      <c r="D80" s="45"/>
      <c r="E80" s="835" t="s">
        <v>104</v>
      </c>
      <c r="G80" s="477">
        <f>SUM('DUoS (t-1)'!G80,'TUoS (t-1)'!G80,'JSO (t-1)'!G80)</f>
        <v>929.89589999999998</v>
      </c>
      <c r="H80" s="479">
        <f>SUM('DUoS (t-1)'!H80,'TUoS (t-1)'!H80,'JSO (t-1)'!H80)</f>
        <v>0</v>
      </c>
      <c r="I80" s="483">
        <f>SUM('DUoS (t-1)'!I80,'TUoS (t-1)'!I80,'JSO (t-1)'!I80)</f>
        <v>2.8300000000000002E-2</v>
      </c>
      <c r="J80" s="461">
        <f>SUM('DUoS (t-1)'!J80,'TUoS (t-1)'!J80,'JSO (t-1)'!J80)</f>
        <v>0</v>
      </c>
      <c r="K80" s="484">
        <f>SUM('DUoS (t-1)'!K80,'TUoS (t-1)'!K80,'JSO (t-1)'!K80)</f>
        <v>1.77E-2</v>
      </c>
      <c r="L80" s="461">
        <f>SUM('DUoS (t-1)'!L80,'TUoS (t-1)'!L80,'JSO (t-1)'!L80)</f>
        <v>0</v>
      </c>
      <c r="M80" s="461">
        <f>SUM('DUoS (t-1)'!M80,'TUoS (t-1)'!M80,'JSO (t-1)'!M80)</f>
        <v>0</v>
      </c>
      <c r="N80" s="461">
        <f>SUM('DUoS (t-1)'!N80,'TUoS (t-1)'!N80,'JSO (t-1)'!N80)</f>
        <v>0</v>
      </c>
      <c r="O80" s="462">
        <f>SUM('DUoS (t-1)'!O80,'TUoS (t-1)'!O80,'JSO (t-1)'!O80)</f>
        <v>0</v>
      </c>
      <c r="P80" s="461">
        <f>SUM('DUoS (t-1)'!P80,'TUoS (t-1)'!P80,'JSO (t-1)'!P80)</f>
        <v>0</v>
      </c>
      <c r="Q80" s="461">
        <f>SUM('DUoS (t-1)'!Q80,'TUoS (t-1)'!Q80,'JSO (t-1)'!Q80)</f>
        <v>0</v>
      </c>
      <c r="R80" s="462">
        <f>SUM('DUoS (t-1)'!R80,'TUoS (t-1)'!R80,'JSO (t-1)'!R80)</f>
        <v>0</v>
      </c>
      <c r="S80" s="478">
        <f>SUM('DUoS (t-1)'!S80,'TUoS (t-1)'!S80,'JSO (t-1)'!S80)</f>
        <v>0.1065</v>
      </c>
      <c r="T80" s="483">
        <f>SUM('DUoS (t-1)'!T80,'TUoS (t-1)'!T80,'JSO (t-1)'!T80)</f>
        <v>0.1036</v>
      </c>
      <c r="U80" s="480">
        <f>SUM('DUoS (t-1)'!U80,'TUoS (t-1)'!U80,'JSO (t-1)'!U80)</f>
        <v>0</v>
      </c>
      <c r="V80" s="481">
        <f>SUM('DUoS (t-1)'!V80,'TUoS (t-1)'!V80,'JSO (t-1)'!V80)</f>
        <v>0</v>
      </c>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si="2"/>
        <v>0</v>
      </c>
      <c r="AP80" s="184">
        <f t="shared" si="48"/>
        <v>0</v>
      </c>
      <c r="AQ80" s="178">
        <f t="shared" si="48"/>
        <v>0</v>
      </c>
      <c r="AR80" s="178">
        <f t="shared" si="48"/>
        <v>0</v>
      </c>
      <c r="AS80" s="179">
        <f t="shared" si="48"/>
        <v>0</v>
      </c>
      <c r="AT80" s="178">
        <f t="shared" si="48"/>
        <v>0</v>
      </c>
      <c r="AU80" s="178">
        <f t="shared" si="48"/>
        <v>0</v>
      </c>
      <c r="AV80" s="178">
        <f t="shared" si="48"/>
        <v>0</v>
      </c>
      <c r="AW80" s="179">
        <f t="shared" si="48"/>
        <v>0</v>
      </c>
      <c r="AX80" s="178">
        <f t="shared" si="20"/>
        <v>0</v>
      </c>
      <c r="AY80" s="178">
        <f t="shared" si="20"/>
        <v>0</v>
      </c>
      <c r="AZ80" s="179">
        <f t="shared" si="20"/>
        <v>0</v>
      </c>
      <c r="BA80" s="184">
        <f t="shared" si="20"/>
        <v>0</v>
      </c>
      <c r="BB80" s="178">
        <f t="shared" si="20"/>
        <v>0</v>
      </c>
      <c r="BC80" s="184">
        <f t="shared" si="20"/>
        <v>0</v>
      </c>
      <c r="BD80" s="178">
        <f t="shared" si="20"/>
        <v>0</v>
      </c>
      <c r="BE80" s="244">
        <f t="shared" si="3"/>
        <v>0</v>
      </c>
      <c r="BF80" s="245">
        <f t="shared" ref="BF80:BF111" si="55">SUM(Y80:AF80)</f>
        <v>0</v>
      </c>
      <c r="BH80" s="255">
        <f t="shared" si="49"/>
        <v>0</v>
      </c>
      <c r="BI80" s="255">
        <f t="shared" si="50"/>
        <v>0</v>
      </c>
      <c r="BJ80" s="255">
        <f t="shared" si="51"/>
        <v>0</v>
      </c>
      <c r="BK80" s="256">
        <f t="shared" si="52"/>
        <v>0</v>
      </c>
      <c r="BL80" s="262">
        <f t="shared" si="53"/>
        <v>0</v>
      </c>
      <c r="BM80" s="257">
        <f t="shared" ref="BM80:BM129" si="56">SUM(BH80:BL80)</f>
        <v>0</v>
      </c>
      <c r="BO80" s="714" t="str">
        <f t="shared" si="6"/>
        <v/>
      </c>
      <c r="BT80" s="137"/>
    </row>
    <row r="81" spans="2:72" ht="15" customHeight="1" x14ac:dyDescent="0.25">
      <c r="B81" s="19">
        <f t="shared" si="54"/>
        <v>9</v>
      </c>
      <c r="C81" s="44" t="s">
        <v>566</v>
      </c>
      <c r="D81" s="45"/>
      <c r="E81" s="105" t="s">
        <v>104</v>
      </c>
      <c r="G81" s="477">
        <f>SUM('DUoS (t-1)'!G81,'TUoS (t-1)'!G81,'JSO (t-1)'!G81)</f>
        <v>123.2877</v>
      </c>
      <c r="H81" s="479">
        <f>SUM('DUoS (t-1)'!H81,'TUoS (t-1)'!H81,'JSO (t-1)'!H81)</f>
        <v>0</v>
      </c>
      <c r="I81" s="483">
        <f>SUM('DUoS (t-1)'!I81,'TUoS (t-1)'!I81,'JSO (t-1)'!I81)</f>
        <v>4.1400000000000006E-2</v>
      </c>
      <c r="J81" s="461">
        <f>SUM('DUoS (t-1)'!J81,'TUoS (t-1)'!J81,'JSO (t-1)'!J81)</f>
        <v>0</v>
      </c>
      <c r="K81" s="484">
        <f>SUM('DUoS (t-1)'!K81,'TUoS (t-1)'!K81,'JSO (t-1)'!K81)</f>
        <v>2.5900000000000003E-2</v>
      </c>
      <c r="L81" s="461">
        <f>SUM('DUoS (t-1)'!L81,'TUoS (t-1)'!L81,'JSO (t-1)'!L81)</f>
        <v>0</v>
      </c>
      <c r="M81" s="461">
        <f>SUM('DUoS (t-1)'!M81,'TUoS (t-1)'!M81,'JSO (t-1)'!M81)</f>
        <v>0</v>
      </c>
      <c r="N81" s="461">
        <f>SUM('DUoS (t-1)'!N81,'TUoS (t-1)'!N81,'JSO (t-1)'!N81)</f>
        <v>0</v>
      </c>
      <c r="O81" s="462">
        <f>SUM('DUoS (t-1)'!O81,'TUoS (t-1)'!O81,'JSO (t-1)'!O81)</f>
        <v>0</v>
      </c>
      <c r="P81" s="461">
        <f>SUM('DUoS (t-1)'!P81,'TUoS (t-1)'!P81,'JSO (t-1)'!P81)</f>
        <v>0</v>
      </c>
      <c r="Q81" s="461">
        <f>SUM('DUoS (t-1)'!Q81,'TUoS (t-1)'!Q81,'JSO (t-1)'!Q81)</f>
        <v>0</v>
      </c>
      <c r="R81" s="462">
        <f>SUM('DUoS (t-1)'!R81,'TUoS (t-1)'!R81,'JSO (t-1)'!R81)</f>
        <v>0</v>
      </c>
      <c r="S81" s="478">
        <f>SUM('DUoS (t-1)'!S81,'TUoS (t-1)'!S81,'JSO (t-1)'!S81)</f>
        <v>0.21479999999999999</v>
      </c>
      <c r="T81" s="483">
        <f>SUM('DUoS (t-1)'!T81,'TUoS (t-1)'!T81,'JSO (t-1)'!T81)</f>
        <v>0.1036</v>
      </c>
      <c r="U81" s="480">
        <f>SUM('DUoS (t-1)'!U81,'TUoS (t-1)'!U81,'JSO (t-1)'!U81)</f>
        <v>0</v>
      </c>
      <c r="V81" s="481">
        <f>SUM('DUoS (t-1)'!V81,'TUoS (t-1)'!V81,'JSO (t-1)'!V81)</f>
        <v>0</v>
      </c>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ref="AO81:AO129" si="57">G81*X81/1000</f>
        <v>45.000010500000002</v>
      </c>
      <c r="AP81" s="184">
        <f t="shared" si="48"/>
        <v>0</v>
      </c>
      <c r="AQ81" s="178">
        <f t="shared" si="48"/>
        <v>264.13200000000006</v>
      </c>
      <c r="AR81" s="178">
        <f t="shared" si="48"/>
        <v>0</v>
      </c>
      <c r="AS81" s="179">
        <f t="shared" si="48"/>
        <v>359.54380000000003</v>
      </c>
      <c r="AT81" s="178">
        <f t="shared" si="48"/>
        <v>0</v>
      </c>
      <c r="AU81" s="178">
        <f t="shared" si="48"/>
        <v>0</v>
      </c>
      <c r="AV81" s="178">
        <f t="shared" si="48"/>
        <v>0</v>
      </c>
      <c r="AW81" s="179">
        <f t="shared" si="48"/>
        <v>0</v>
      </c>
      <c r="AX81" s="178">
        <f t="shared" si="20"/>
        <v>0</v>
      </c>
      <c r="AY81" s="178">
        <f t="shared" si="20"/>
        <v>0</v>
      </c>
      <c r="AZ81" s="179">
        <f t="shared" si="20"/>
        <v>0</v>
      </c>
      <c r="BA81" s="184">
        <f t="shared" si="20"/>
        <v>110.91269600000001</v>
      </c>
      <c r="BB81" s="178">
        <f t="shared" si="20"/>
        <v>215.88012599999999</v>
      </c>
      <c r="BC81" s="184">
        <f t="shared" si="20"/>
        <v>0</v>
      </c>
      <c r="BD81" s="178">
        <f t="shared" si="20"/>
        <v>0</v>
      </c>
      <c r="BE81" s="244">
        <f t="shared" ref="BE81:BE129" si="58">X81/$BE$7</f>
        <v>1</v>
      </c>
      <c r="BF81" s="245">
        <f t="shared" si="55"/>
        <v>20262</v>
      </c>
      <c r="BH81" s="255">
        <f t="shared" si="49"/>
        <v>45.000010500000002</v>
      </c>
      <c r="BI81" s="255">
        <f t="shared" si="50"/>
        <v>623.67580000000009</v>
      </c>
      <c r="BJ81" s="255">
        <f t="shared" si="51"/>
        <v>0</v>
      </c>
      <c r="BK81" s="256">
        <f t="shared" si="52"/>
        <v>326.792822</v>
      </c>
      <c r="BL81" s="262">
        <f t="shared" si="53"/>
        <v>0</v>
      </c>
      <c r="BM81" s="257">
        <f t="shared" si="56"/>
        <v>995.46863250000013</v>
      </c>
      <c r="BO81" s="714">
        <f t="shared" ref="BO81:BO129" si="59">IF(BF81=0,"",BM81*1000/BF81)</f>
        <v>49.129830840983132</v>
      </c>
      <c r="BT81" s="137"/>
    </row>
    <row r="82" spans="2:72" ht="15" customHeight="1" x14ac:dyDescent="0.25">
      <c r="B82" s="19">
        <f t="shared" si="54"/>
        <v>10</v>
      </c>
      <c r="C82" s="833" t="s">
        <v>555</v>
      </c>
      <c r="D82" s="45"/>
      <c r="E82" s="835" t="s">
        <v>104</v>
      </c>
      <c r="G82" s="477">
        <f>SUM('DUoS (t-1)'!G82,'TUoS (t-1)'!G82,'JSO (t-1)'!G82)</f>
        <v>1100.7959000000001</v>
      </c>
      <c r="H82" s="479">
        <f>SUM('DUoS (t-1)'!H82,'TUoS (t-1)'!H82,'JSO (t-1)'!H82)</f>
        <v>0</v>
      </c>
      <c r="I82" s="483">
        <f>SUM('DUoS (t-1)'!I82,'TUoS (t-1)'!I82,'JSO (t-1)'!I82)</f>
        <v>2.8300000000000002E-2</v>
      </c>
      <c r="J82" s="461">
        <f>SUM('DUoS (t-1)'!J82,'TUoS (t-1)'!J82,'JSO (t-1)'!J82)</f>
        <v>0</v>
      </c>
      <c r="K82" s="484">
        <f>SUM('DUoS (t-1)'!K82,'TUoS (t-1)'!K82,'JSO (t-1)'!K82)</f>
        <v>1.77E-2</v>
      </c>
      <c r="L82" s="461">
        <f>SUM('DUoS (t-1)'!L82,'TUoS (t-1)'!L82,'JSO (t-1)'!L82)</f>
        <v>0</v>
      </c>
      <c r="M82" s="461">
        <f>SUM('DUoS (t-1)'!M82,'TUoS (t-1)'!M82,'JSO (t-1)'!M82)</f>
        <v>0</v>
      </c>
      <c r="N82" s="461">
        <f>SUM('DUoS (t-1)'!N82,'TUoS (t-1)'!N82,'JSO (t-1)'!N82)</f>
        <v>0</v>
      </c>
      <c r="O82" s="462">
        <f>SUM('DUoS (t-1)'!O82,'TUoS (t-1)'!O82,'JSO (t-1)'!O82)</f>
        <v>0</v>
      </c>
      <c r="P82" s="461">
        <f>SUM('DUoS (t-1)'!P82,'TUoS (t-1)'!P82,'JSO (t-1)'!P82)</f>
        <v>0</v>
      </c>
      <c r="Q82" s="461">
        <f>SUM('DUoS (t-1)'!Q82,'TUoS (t-1)'!Q82,'JSO (t-1)'!Q82)</f>
        <v>0</v>
      </c>
      <c r="R82" s="462">
        <f>SUM('DUoS (t-1)'!R82,'TUoS (t-1)'!R82,'JSO (t-1)'!R82)</f>
        <v>0</v>
      </c>
      <c r="S82" s="478">
        <f>SUM('DUoS (t-1)'!S82,'TUoS (t-1)'!S82,'JSO (t-1)'!S82)</f>
        <v>0.1065</v>
      </c>
      <c r="T82" s="483">
        <f>SUM('DUoS (t-1)'!T82,'TUoS (t-1)'!T82,'JSO (t-1)'!T82)</f>
        <v>0.1036</v>
      </c>
      <c r="U82" s="480">
        <f>SUM('DUoS (t-1)'!U82,'TUoS (t-1)'!U82,'JSO (t-1)'!U82)</f>
        <v>0</v>
      </c>
      <c r="V82" s="481">
        <f>SUM('DUoS (t-1)'!V82,'TUoS (t-1)'!V82,'JSO (t-1)'!V82)</f>
        <v>0</v>
      </c>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57"/>
        <v>0</v>
      </c>
      <c r="AP82" s="184">
        <f t="shared" si="48"/>
        <v>0</v>
      </c>
      <c r="AQ82" s="178">
        <f t="shared" si="48"/>
        <v>0</v>
      </c>
      <c r="AR82" s="178">
        <f t="shared" si="48"/>
        <v>0</v>
      </c>
      <c r="AS82" s="179">
        <f t="shared" si="48"/>
        <v>0</v>
      </c>
      <c r="AT82" s="178">
        <f t="shared" si="48"/>
        <v>0</v>
      </c>
      <c r="AU82" s="178">
        <f t="shared" si="48"/>
        <v>0</v>
      </c>
      <c r="AV82" s="178">
        <f t="shared" si="48"/>
        <v>0</v>
      </c>
      <c r="AW82" s="179">
        <f t="shared" si="48"/>
        <v>0</v>
      </c>
      <c r="AX82" s="178">
        <f t="shared" si="20"/>
        <v>0</v>
      </c>
      <c r="AY82" s="178">
        <f t="shared" si="20"/>
        <v>0</v>
      </c>
      <c r="AZ82" s="179">
        <f t="shared" si="20"/>
        <v>0</v>
      </c>
      <c r="BA82" s="184">
        <f t="shared" si="20"/>
        <v>0</v>
      </c>
      <c r="BB82" s="178">
        <f t="shared" si="20"/>
        <v>0</v>
      </c>
      <c r="BC82" s="184">
        <f t="shared" si="20"/>
        <v>0</v>
      </c>
      <c r="BD82" s="178">
        <f t="shared" si="20"/>
        <v>0</v>
      </c>
      <c r="BE82" s="244">
        <f t="shared" si="58"/>
        <v>0</v>
      </c>
      <c r="BF82" s="245">
        <f t="shared" si="55"/>
        <v>0</v>
      </c>
      <c r="BH82" s="255">
        <f t="shared" si="49"/>
        <v>0</v>
      </c>
      <c r="BI82" s="255">
        <f t="shared" si="50"/>
        <v>0</v>
      </c>
      <c r="BJ82" s="255">
        <f t="shared" si="51"/>
        <v>0</v>
      </c>
      <c r="BK82" s="256">
        <f t="shared" si="52"/>
        <v>0</v>
      </c>
      <c r="BL82" s="262">
        <f t="shared" si="53"/>
        <v>0</v>
      </c>
      <c r="BM82" s="257">
        <f t="shared" si="56"/>
        <v>0</v>
      </c>
      <c r="BO82" s="714" t="str">
        <f t="shared" si="59"/>
        <v/>
      </c>
      <c r="BT82" s="137"/>
    </row>
    <row r="83" spans="2:72" ht="15" customHeight="1" x14ac:dyDescent="0.25">
      <c r="B83" s="19">
        <f t="shared" si="54"/>
        <v>11</v>
      </c>
      <c r="C83" s="833" t="s">
        <v>556</v>
      </c>
      <c r="D83" s="45"/>
      <c r="E83" s="835" t="s">
        <v>104</v>
      </c>
      <c r="G83" s="477">
        <f>SUM('DUoS (t-1)'!G83,'TUoS (t-1)'!G83,'JSO (t-1)'!G83)</f>
        <v>825.56590000000006</v>
      </c>
      <c r="H83" s="479">
        <f>SUM('DUoS (t-1)'!H83,'TUoS (t-1)'!H83,'JSO (t-1)'!H83)</f>
        <v>0</v>
      </c>
      <c r="I83" s="483">
        <f>SUM('DUoS (t-1)'!I83,'TUoS (t-1)'!I83,'JSO (t-1)'!I83)</f>
        <v>2.8300000000000002E-2</v>
      </c>
      <c r="J83" s="461">
        <f>SUM('DUoS (t-1)'!J83,'TUoS (t-1)'!J83,'JSO (t-1)'!J83)</f>
        <v>0</v>
      </c>
      <c r="K83" s="484">
        <f>SUM('DUoS (t-1)'!K83,'TUoS (t-1)'!K83,'JSO (t-1)'!K83)</f>
        <v>1.77E-2</v>
      </c>
      <c r="L83" s="461">
        <f>SUM('DUoS (t-1)'!L83,'TUoS (t-1)'!L83,'JSO (t-1)'!L83)</f>
        <v>0</v>
      </c>
      <c r="M83" s="461">
        <f>SUM('DUoS (t-1)'!M83,'TUoS (t-1)'!M83,'JSO (t-1)'!M83)</f>
        <v>0</v>
      </c>
      <c r="N83" s="461">
        <f>SUM('DUoS (t-1)'!N83,'TUoS (t-1)'!N83,'JSO (t-1)'!N83)</f>
        <v>0</v>
      </c>
      <c r="O83" s="462">
        <f>SUM('DUoS (t-1)'!O83,'TUoS (t-1)'!O83,'JSO (t-1)'!O83)</f>
        <v>0</v>
      </c>
      <c r="P83" s="461">
        <f>SUM('DUoS (t-1)'!P83,'TUoS (t-1)'!P83,'JSO (t-1)'!P83)</f>
        <v>0</v>
      </c>
      <c r="Q83" s="461">
        <f>SUM('DUoS (t-1)'!Q83,'TUoS (t-1)'!Q83,'JSO (t-1)'!Q83)</f>
        <v>0</v>
      </c>
      <c r="R83" s="462">
        <f>SUM('DUoS (t-1)'!R83,'TUoS (t-1)'!R83,'JSO (t-1)'!R83)</f>
        <v>0</v>
      </c>
      <c r="S83" s="478">
        <f>SUM('DUoS (t-1)'!S83,'TUoS (t-1)'!S83,'JSO (t-1)'!S83)</f>
        <v>0.1065</v>
      </c>
      <c r="T83" s="483">
        <f>SUM('DUoS (t-1)'!T83,'TUoS (t-1)'!T83,'JSO (t-1)'!T83)</f>
        <v>0.1036</v>
      </c>
      <c r="U83" s="480">
        <f>SUM('DUoS (t-1)'!U83,'TUoS (t-1)'!U83,'JSO (t-1)'!U83)</f>
        <v>0</v>
      </c>
      <c r="V83" s="481">
        <f>SUM('DUoS (t-1)'!V83,'TUoS (t-1)'!V83,'JSO (t-1)'!V83)</f>
        <v>0</v>
      </c>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57"/>
        <v>0</v>
      </c>
      <c r="AP83" s="184">
        <f t="shared" si="48"/>
        <v>0</v>
      </c>
      <c r="AQ83" s="178">
        <f t="shared" si="48"/>
        <v>0</v>
      </c>
      <c r="AR83" s="178">
        <f t="shared" si="48"/>
        <v>0</v>
      </c>
      <c r="AS83" s="179">
        <f t="shared" si="48"/>
        <v>0</v>
      </c>
      <c r="AT83" s="178">
        <f t="shared" si="48"/>
        <v>0</v>
      </c>
      <c r="AU83" s="178">
        <f t="shared" si="48"/>
        <v>0</v>
      </c>
      <c r="AV83" s="178">
        <f t="shared" si="48"/>
        <v>0</v>
      </c>
      <c r="AW83" s="179">
        <f t="shared" si="48"/>
        <v>0</v>
      </c>
      <c r="AX83" s="178">
        <f t="shared" si="20"/>
        <v>0</v>
      </c>
      <c r="AY83" s="178">
        <f t="shared" si="20"/>
        <v>0</v>
      </c>
      <c r="AZ83" s="179">
        <f t="shared" si="20"/>
        <v>0</v>
      </c>
      <c r="BA83" s="184">
        <f t="shared" si="20"/>
        <v>0</v>
      </c>
      <c r="BB83" s="178">
        <f t="shared" si="20"/>
        <v>0</v>
      </c>
      <c r="BC83" s="184">
        <f t="shared" si="20"/>
        <v>0</v>
      </c>
      <c r="BD83" s="178">
        <f t="shared" si="20"/>
        <v>0</v>
      </c>
      <c r="BE83" s="244">
        <f t="shared" si="58"/>
        <v>0</v>
      </c>
      <c r="BF83" s="245">
        <f t="shared" si="55"/>
        <v>0</v>
      </c>
      <c r="BH83" s="255">
        <f t="shared" si="49"/>
        <v>0</v>
      </c>
      <c r="BI83" s="255">
        <f t="shared" si="50"/>
        <v>0</v>
      </c>
      <c r="BJ83" s="255">
        <f t="shared" si="51"/>
        <v>0</v>
      </c>
      <c r="BK83" s="256">
        <f t="shared" si="52"/>
        <v>0</v>
      </c>
      <c r="BL83" s="262">
        <f t="shared" si="53"/>
        <v>0</v>
      </c>
      <c r="BM83" s="257">
        <f t="shared" si="56"/>
        <v>0</v>
      </c>
      <c r="BO83" s="714" t="str">
        <f t="shared" si="59"/>
        <v/>
      </c>
      <c r="BT83" s="137"/>
    </row>
    <row r="84" spans="2:72" ht="15" customHeight="1" x14ac:dyDescent="0.25">
      <c r="B84" s="19">
        <f t="shared" si="54"/>
        <v>12</v>
      </c>
      <c r="C84" s="833" t="s">
        <v>557</v>
      </c>
      <c r="D84" s="45"/>
      <c r="E84" s="835" t="s">
        <v>104</v>
      </c>
      <c r="G84" s="477">
        <f>SUM('DUoS (t-1)'!G84,'TUoS (t-1)'!G84,'JSO (t-1)'!G84)</f>
        <v>762.92590000000007</v>
      </c>
      <c r="H84" s="479">
        <f>SUM('DUoS (t-1)'!H84,'TUoS (t-1)'!H84,'JSO (t-1)'!H84)</f>
        <v>0</v>
      </c>
      <c r="I84" s="483">
        <f>SUM('DUoS (t-1)'!I84,'TUoS (t-1)'!I84,'JSO (t-1)'!I84)</f>
        <v>2.8300000000000002E-2</v>
      </c>
      <c r="J84" s="461">
        <f>SUM('DUoS (t-1)'!J84,'TUoS (t-1)'!J84,'JSO (t-1)'!J84)</f>
        <v>0</v>
      </c>
      <c r="K84" s="484">
        <f>SUM('DUoS (t-1)'!K84,'TUoS (t-1)'!K84,'JSO (t-1)'!K84)</f>
        <v>1.77E-2</v>
      </c>
      <c r="L84" s="461">
        <f>SUM('DUoS (t-1)'!L84,'TUoS (t-1)'!L84,'JSO (t-1)'!L84)</f>
        <v>0</v>
      </c>
      <c r="M84" s="461">
        <f>SUM('DUoS (t-1)'!M84,'TUoS (t-1)'!M84,'JSO (t-1)'!M84)</f>
        <v>0</v>
      </c>
      <c r="N84" s="461">
        <f>SUM('DUoS (t-1)'!N84,'TUoS (t-1)'!N84,'JSO (t-1)'!N84)</f>
        <v>0</v>
      </c>
      <c r="O84" s="462">
        <f>SUM('DUoS (t-1)'!O84,'TUoS (t-1)'!O84,'JSO (t-1)'!O84)</f>
        <v>0</v>
      </c>
      <c r="P84" s="461">
        <f>SUM('DUoS (t-1)'!P84,'TUoS (t-1)'!P84,'JSO (t-1)'!P84)</f>
        <v>0</v>
      </c>
      <c r="Q84" s="461">
        <f>SUM('DUoS (t-1)'!Q84,'TUoS (t-1)'!Q84,'JSO (t-1)'!Q84)</f>
        <v>0</v>
      </c>
      <c r="R84" s="462">
        <f>SUM('DUoS (t-1)'!R84,'TUoS (t-1)'!R84,'JSO (t-1)'!R84)</f>
        <v>0</v>
      </c>
      <c r="S84" s="478">
        <f>SUM('DUoS (t-1)'!S84,'TUoS (t-1)'!S84,'JSO (t-1)'!S84)</f>
        <v>0.1065</v>
      </c>
      <c r="T84" s="483">
        <f>SUM('DUoS (t-1)'!T84,'TUoS (t-1)'!T84,'JSO (t-1)'!T84)</f>
        <v>0.1036</v>
      </c>
      <c r="U84" s="480">
        <f>SUM('DUoS (t-1)'!U84,'TUoS (t-1)'!U84,'JSO (t-1)'!U84)</f>
        <v>0</v>
      </c>
      <c r="V84" s="481">
        <f>SUM('DUoS (t-1)'!V84,'TUoS (t-1)'!V84,'JSO (t-1)'!V84)</f>
        <v>0</v>
      </c>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57"/>
        <v>0</v>
      </c>
      <c r="AP84" s="184">
        <f t="shared" ref="AP84:AW100" si="60">H84*Y84</f>
        <v>0</v>
      </c>
      <c r="AQ84" s="178">
        <f t="shared" si="60"/>
        <v>0</v>
      </c>
      <c r="AR84" s="178">
        <f t="shared" si="60"/>
        <v>0</v>
      </c>
      <c r="AS84" s="179">
        <f t="shared" si="60"/>
        <v>0</v>
      </c>
      <c r="AT84" s="178">
        <f t="shared" si="60"/>
        <v>0</v>
      </c>
      <c r="AU84" s="178">
        <f t="shared" si="60"/>
        <v>0</v>
      </c>
      <c r="AV84" s="178">
        <f t="shared" si="60"/>
        <v>0</v>
      </c>
      <c r="AW84" s="179">
        <f t="shared" si="60"/>
        <v>0</v>
      </c>
      <c r="AX84" s="178">
        <f t="shared" si="20"/>
        <v>0</v>
      </c>
      <c r="AY84" s="178">
        <f t="shared" si="20"/>
        <v>0</v>
      </c>
      <c r="AZ84" s="179">
        <f t="shared" si="20"/>
        <v>0</v>
      </c>
      <c r="BA84" s="184">
        <f t="shared" si="20"/>
        <v>0</v>
      </c>
      <c r="BB84" s="178">
        <f t="shared" si="20"/>
        <v>0</v>
      </c>
      <c r="BC84" s="184">
        <f t="shared" si="20"/>
        <v>0</v>
      </c>
      <c r="BD84" s="178">
        <f t="shared" si="20"/>
        <v>0</v>
      </c>
      <c r="BE84" s="244">
        <f t="shared" si="58"/>
        <v>0</v>
      </c>
      <c r="BF84" s="245">
        <f t="shared" si="55"/>
        <v>0</v>
      </c>
      <c r="BH84" s="255">
        <f t="shared" si="49"/>
        <v>0</v>
      </c>
      <c r="BI84" s="255">
        <f t="shared" si="50"/>
        <v>0</v>
      </c>
      <c r="BJ84" s="255">
        <f t="shared" si="51"/>
        <v>0</v>
      </c>
      <c r="BK84" s="256">
        <f t="shared" si="52"/>
        <v>0</v>
      </c>
      <c r="BL84" s="262">
        <f t="shared" si="53"/>
        <v>0</v>
      </c>
      <c r="BM84" s="257">
        <f t="shared" si="56"/>
        <v>0</v>
      </c>
      <c r="BO84" s="714" t="str">
        <f t="shared" si="59"/>
        <v/>
      </c>
      <c r="BT84" s="137"/>
    </row>
    <row r="85" spans="2:72" ht="15" customHeight="1" x14ac:dyDescent="0.25">
      <c r="B85" s="19">
        <f t="shared" si="54"/>
        <v>13</v>
      </c>
      <c r="C85" s="44" t="s">
        <v>558</v>
      </c>
      <c r="D85" s="45"/>
      <c r="E85" s="105" t="s">
        <v>104</v>
      </c>
      <c r="G85" s="477">
        <f>SUM('DUoS (t-1)'!G85,'TUoS (t-1)'!G85,'JSO (t-1)'!G85)</f>
        <v>868.69590000000005</v>
      </c>
      <c r="H85" s="479">
        <f>SUM('DUoS (t-1)'!H85,'TUoS (t-1)'!H85,'JSO (t-1)'!H85)</f>
        <v>0</v>
      </c>
      <c r="I85" s="483">
        <f>SUM('DUoS (t-1)'!I85,'TUoS (t-1)'!I85,'JSO (t-1)'!I85)</f>
        <v>2.8300000000000002E-2</v>
      </c>
      <c r="J85" s="461">
        <f>SUM('DUoS (t-1)'!J85,'TUoS (t-1)'!J85,'JSO (t-1)'!J85)</f>
        <v>0</v>
      </c>
      <c r="K85" s="484">
        <f>SUM('DUoS (t-1)'!K85,'TUoS (t-1)'!K85,'JSO (t-1)'!K85)</f>
        <v>1.77E-2</v>
      </c>
      <c r="L85" s="461">
        <f>SUM('DUoS (t-1)'!L85,'TUoS (t-1)'!L85,'JSO (t-1)'!L85)</f>
        <v>0</v>
      </c>
      <c r="M85" s="461">
        <f>SUM('DUoS (t-1)'!M85,'TUoS (t-1)'!M85,'JSO (t-1)'!M85)</f>
        <v>0</v>
      </c>
      <c r="N85" s="461">
        <f>SUM('DUoS (t-1)'!N85,'TUoS (t-1)'!N85,'JSO (t-1)'!N85)</f>
        <v>0</v>
      </c>
      <c r="O85" s="462">
        <f>SUM('DUoS (t-1)'!O85,'TUoS (t-1)'!O85,'JSO (t-1)'!O85)</f>
        <v>0</v>
      </c>
      <c r="P85" s="461">
        <f>SUM('DUoS (t-1)'!P85,'TUoS (t-1)'!P85,'JSO (t-1)'!P85)</f>
        <v>0</v>
      </c>
      <c r="Q85" s="461">
        <f>SUM('DUoS (t-1)'!Q85,'TUoS (t-1)'!Q85,'JSO (t-1)'!Q85)</f>
        <v>0</v>
      </c>
      <c r="R85" s="462">
        <f>SUM('DUoS (t-1)'!R85,'TUoS (t-1)'!R85,'JSO (t-1)'!R85)</f>
        <v>0</v>
      </c>
      <c r="S85" s="478">
        <f>SUM('DUoS (t-1)'!S85,'TUoS (t-1)'!S85,'JSO (t-1)'!S85)</f>
        <v>0.1065</v>
      </c>
      <c r="T85" s="483">
        <f>SUM('DUoS (t-1)'!T85,'TUoS (t-1)'!T85,'JSO (t-1)'!T85)</f>
        <v>0.1036</v>
      </c>
      <c r="U85" s="480">
        <f>SUM('DUoS (t-1)'!U85,'TUoS (t-1)'!U85,'JSO (t-1)'!U85)</f>
        <v>0</v>
      </c>
      <c r="V85" s="481">
        <f>SUM('DUoS (t-1)'!V85,'TUoS (t-1)'!V85,'JSO (t-1)'!V85)</f>
        <v>0</v>
      </c>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57"/>
        <v>317.0740035</v>
      </c>
      <c r="AP85" s="184">
        <f t="shared" si="60"/>
        <v>0</v>
      </c>
      <c r="AQ85" s="178">
        <f t="shared" si="60"/>
        <v>322.62</v>
      </c>
      <c r="AR85" s="178">
        <f t="shared" si="60"/>
        <v>0</v>
      </c>
      <c r="AS85" s="179">
        <f t="shared" si="60"/>
        <v>201.78</v>
      </c>
      <c r="AT85" s="178">
        <f t="shared" si="60"/>
        <v>0</v>
      </c>
      <c r="AU85" s="178">
        <f t="shared" si="60"/>
        <v>0</v>
      </c>
      <c r="AV85" s="178">
        <f t="shared" si="60"/>
        <v>0</v>
      </c>
      <c r="AW85" s="179">
        <f t="shared" si="60"/>
        <v>0</v>
      </c>
      <c r="AX85" s="178">
        <f t="shared" si="20"/>
        <v>0</v>
      </c>
      <c r="AY85" s="178">
        <f t="shared" si="20"/>
        <v>0</v>
      </c>
      <c r="AZ85" s="179">
        <f t="shared" si="20"/>
        <v>0</v>
      </c>
      <c r="BA85" s="184">
        <f t="shared" si="20"/>
        <v>167.4238575</v>
      </c>
      <c r="BB85" s="178">
        <f t="shared" si="20"/>
        <v>172.772166</v>
      </c>
      <c r="BC85" s="184">
        <f t="shared" si="20"/>
        <v>0</v>
      </c>
      <c r="BD85" s="178">
        <f t="shared" si="20"/>
        <v>0</v>
      </c>
      <c r="BE85" s="244">
        <f t="shared" si="58"/>
        <v>1</v>
      </c>
      <c r="BF85" s="245">
        <f t="shared" si="55"/>
        <v>22800</v>
      </c>
      <c r="BH85" s="255">
        <f t="shared" si="49"/>
        <v>317.0740035</v>
      </c>
      <c r="BI85" s="255">
        <f t="shared" si="50"/>
        <v>524.4</v>
      </c>
      <c r="BJ85" s="255">
        <f t="shared" si="51"/>
        <v>0</v>
      </c>
      <c r="BK85" s="256">
        <f t="shared" si="52"/>
        <v>340.19602350000002</v>
      </c>
      <c r="BL85" s="262">
        <f t="shared" si="53"/>
        <v>0</v>
      </c>
      <c r="BM85" s="257">
        <f t="shared" si="56"/>
        <v>1181.6700270000001</v>
      </c>
      <c r="BO85" s="714">
        <f t="shared" si="59"/>
        <v>51.827632763157908</v>
      </c>
      <c r="BT85" s="137"/>
    </row>
    <row r="86" spans="2:72" ht="15" customHeight="1" x14ac:dyDescent="0.25">
      <c r="B86" s="19">
        <f t="shared" si="54"/>
        <v>14</v>
      </c>
      <c r="C86" s="44" t="s">
        <v>631</v>
      </c>
      <c r="D86" s="45"/>
      <c r="E86" s="105" t="s">
        <v>104</v>
      </c>
      <c r="G86" s="477">
        <f>SUM('DUoS (t-1)'!G86,'TUoS (t-1)'!G86,'JSO (t-1)'!G86)</f>
        <v>391.32590000000005</v>
      </c>
      <c r="H86" s="479">
        <f>SUM('DUoS (t-1)'!H86,'TUoS (t-1)'!H86,'JSO (t-1)'!H86)</f>
        <v>0</v>
      </c>
      <c r="I86" s="483">
        <f>SUM('DUoS (t-1)'!I86,'TUoS (t-1)'!I86,'JSO (t-1)'!I86)</f>
        <v>4.1400000000000006E-2</v>
      </c>
      <c r="J86" s="461">
        <f>SUM('DUoS (t-1)'!J86,'TUoS (t-1)'!J86,'JSO (t-1)'!J86)</f>
        <v>0</v>
      </c>
      <c r="K86" s="484">
        <f>SUM('DUoS (t-1)'!K86,'TUoS (t-1)'!K86,'JSO (t-1)'!K86)</f>
        <v>2.5900000000000003E-2</v>
      </c>
      <c r="L86" s="461">
        <f>SUM('DUoS (t-1)'!L86,'TUoS (t-1)'!L86,'JSO (t-1)'!L86)</f>
        <v>0</v>
      </c>
      <c r="M86" s="461">
        <f>SUM('DUoS (t-1)'!M86,'TUoS (t-1)'!M86,'JSO (t-1)'!M86)</f>
        <v>0</v>
      </c>
      <c r="N86" s="461">
        <f>SUM('DUoS (t-1)'!N86,'TUoS (t-1)'!N86,'JSO (t-1)'!N86)</f>
        <v>0</v>
      </c>
      <c r="O86" s="462">
        <f>SUM('DUoS (t-1)'!O86,'TUoS (t-1)'!O86,'JSO (t-1)'!O86)</f>
        <v>0</v>
      </c>
      <c r="P86" s="461">
        <f>SUM('DUoS (t-1)'!P86,'TUoS (t-1)'!P86,'JSO (t-1)'!P86)</f>
        <v>0</v>
      </c>
      <c r="Q86" s="461">
        <f>SUM('DUoS (t-1)'!Q86,'TUoS (t-1)'!Q86,'JSO (t-1)'!Q86)</f>
        <v>0</v>
      </c>
      <c r="R86" s="462">
        <f>SUM('DUoS (t-1)'!R86,'TUoS (t-1)'!R86,'JSO (t-1)'!R86)</f>
        <v>0</v>
      </c>
      <c r="S86" s="478">
        <f>SUM('DUoS (t-1)'!S86,'TUoS (t-1)'!S86,'JSO (t-1)'!S86)</f>
        <v>0.21479999999999999</v>
      </c>
      <c r="T86" s="483">
        <f>SUM('DUoS (t-1)'!T86,'TUoS (t-1)'!T86,'JSO (t-1)'!T86)</f>
        <v>0.1036</v>
      </c>
      <c r="U86" s="480">
        <f>SUM('DUoS (t-1)'!U86,'TUoS (t-1)'!U86,'JSO (t-1)'!U86)</f>
        <v>0</v>
      </c>
      <c r="V86" s="481">
        <f>SUM('DUoS (t-1)'!V86,'TUoS (t-1)'!V86,'JSO (t-1)'!V86)</f>
        <v>0</v>
      </c>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 t="shared" si="57"/>
        <v>142.83395350000001</v>
      </c>
      <c r="AP86" s="184">
        <f t="shared" si="60"/>
        <v>0</v>
      </c>
      <c r="AQ86" s="178">
        <f t="shared" si="60"/>
        <v>430.56000000000006</v>
      </c>
      <c r="AR86" s="178">
        <f t="shared" si="60"/>
        <v>0</v>
      </c>
      <c r="AS86" s="179">
        <f t="shared" si="60"/>
        <v>248.64000000000001</v>
      </c>
      <c r="AT86" s="178">
        <f t="shared" si="60"/>
        <v>0</v>
      </c>
      <c r="AU86" s="178">
        <f t="shared" si="60"/>
        <v>0</v>
      </c>
      <c r="AV86" s="178">
        <f t="shared" si="60"/>
        <v>0</v>
      </c>
      <c r="AW86" s="179">
        <f t="shared" si="60"/>
        <v>0</v>
      </c>
      <c r="AX86" s="178">
        <f t="shared" si="20"/>
        <v>0</v>
      </c>
      <c r="AY86" s="178">
        <f t="shared" si="20"/>
        <v>0</v>
      </c>
      <c r="AZ86" s="179">
        <f t="shared" si="20"/>
        <v>0</v>
      </c>
      <c r="BA86" s="184">
        <f t="shared" si="20"/>
        <v>319.64495399999998</v>
      </c>
      <c r="BB86" s="178">
        <f t="shared" si="20"/>
        <v>182.98194599999999</v>
      </c>
      <c r="BC86" s="184">
        <f t="shared" si="20"/>
        <v>0</v>
      </c>
      <c r="BD86" s="178">
        <f t="shared" si="20"/>
        <v>0</v>
      </c>
      <c r="BE86" s="244">
        <f t="shared" si="58"/>
        <v>1</v>
      </c>
      <c r="BF86" s="245">
        <f t="shared" si="55"/>
        <v>20000</v>
      </c>
      <c r="BH86" s="255">
        <f>SUM(AO86)</f>
        <v>142.83395350000001</v>
      </c>
      <c r="BI86" s="255">
        <f>SUM(AP86:AS86)</f>
        <v>679.2</v>
      </c>
      <c r="BJ86" s="255">
        <f>SUM(AT86:AW86)</f>
        <v>0</v>
      </c>
      <c r="BK86" s="256">
        <f>SUM(AX86:BB86)</f>
        <v>502.62689999999998</v>
      </c>
      <c r="BL86" s="262">
        <f>SUM(BC86:BD86)</f>
        <v>0</v>
      </c>
      <c r="BM86" s="257">
        <f t="shared" si="56"/>
        <v>1324.6608535</v>
      </c>
      <c r="BO86" s="714">
        <f t="shared" si="59"/>
        <v>66.233042674999993</v>
      </c>
      <c r="BT86" s="137"/>
    </row>
    <row r="87" spans="2:72" ht="15" customHeight="1" x14ac:dyDescent="0.25">
      <c r="B87" s="19">
        <f t="shared" si="54"/>
        <v>15</v>
      </c>
      <c r="C87" s="833" t="s">
        <v>559</v>
      </c>
      <c r="D87" s="45"/>
      <c r="E87" s="835" t="s">
        <v>104</v>
      </c>
      <c r="G87" s="477">
        <f>SUM('DUoS (t-1)'!G87,'TUoS (t-1)'!G87,'JSO (t-1)'!G87)</f>
        <v>581.91590000000008</v>
      </c>
      <c r="H87" s="479">
        <f>SUM('DUoS (t-1)'!H87,'TUoS (t-1)'!H87,'JSO (t-1)'!H87)</f>
        <v>0</v>
      </c>
      <c r="I87" s="483">
        <f>SUM('DUoS (t-1)'!I87,'TUoS (t-1)'!I87,'JSO (t-1)'!I87)</f>
        <v>2.8300000000000002E-2</v>
      </c>
      <c r="J87" s="461">
        <f>SUM('DUoS (t-1)'!J87,'TUoS (t-1)'!J87,'JSO (t-1)'!J87)</f>
        <v>0</v>
      </c>
      <c r="K87" s="484">
        <f>SUM('DUoS (t-1)'!K87,'TUoS (t-1)'!K87,'JSO (t-1)'!K87)</f>
        <v>1.77E-2</v>
      </c>
      <c r="L87" s="461">
        <f>SUM('DUoS (t-1)'!L87,'TUoS (t-1)'!L87,'JSO (t-1)'!L87)</f>
        <v>0</v>
      </c>
      <c r="M87" s="461">
        <f>SUM('DUoS (t-1)'!M87,'TUoS (t-1)'!M87,'JSO (t-1)'!M87)</f>
        <v>0</v>
      </c>
      <c r="N87" s="461">
        <f>SUM('DUoS (t-1)'!N87,'TUoS (t-1)'!N87,'JSO (t-1)'!N87)</f>
        <v>0</v>
      </c>
      <c r="O87" s="462">
        <f>SUM('DUoS (t-1)'!O87,'TUoS (t-1)'!O87,'JSO (t-1)'!O87)</f>
        <v>0</v>
      </c>
      <c r="P87" s="461">
        <f>SUM('DUoS (t-1)'!P87,'TUoS (t-1)'!P87,'JSO (t-1)'!P87)</f>
        <v>0</v>
      </c>
      <c r="Q87" s="461">
        <f>SUM('DUoS (t-1)'!Q87,'TUoS (t-1)'!Q87,'JSO (t-1)'!Q87)</f>
        <v>0</v>
      </c>
      <c r="R87" s="462">
        <f>SUM('DUoS (t-1)'!R87,'TUoS (t-1)'!R87,'JSO (t-1)'!R87)</f>
        <v>0</v>
      </c>
      <c r="S87" s="478">
        <f>SUM('DUoS (t-1)'!S87,'TUoS (t-1)'!S87,'JSO (t-1)'!S87)</f>
        <v>0.1065</v>
      </c>
      <c r="T87" s="483">
        <f>SUM('DUoS (t-1)'!T87,'TUoS (t-1)'!T87,'JSO (t-1)'!T87)</f>
        <v>0.1036</v>
      </c>
      <c r="U87" s="480">
        <f>SUM('DUoS (t-1)'!U87,'TUoS (t-1)'!U87,'JSO (t-1)'!U87)</f>
        <v>0</v>
      </c>
      <c r="V87" s="481">
        <f>SUM('DUoS (t-1)'!V87,'TUoS (t-1)'!V87,'JSO (t-1)'!V87)</f>
        <v>0</v>
      </c>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57"/>
        <v>0</v>
      </c>
      <c r="AP87" s="184">
        <f t="shared" si="60"/>
        <v>0</v>
      </c>
      <c r="AQ87" s="178">
        <f t="shared" si="60"/>
        <v>0</v>
      </c>
      <c r="AR87" s="178">
        <f t="shared" si="60"/>
        <v>0</v>
      </c>
      <c r="AS87" s="179">
        <f t="shared" si="60"/>
        <v>0</v>
      </c>
      <c r="AT87" s="178">
        <f t="shared" si="60"/>
        <v>0</v>
      </c>
      <c r="AU87" s="178">
        <f t="shared" si="60"/>
        <v>0</v>
      </c>
      <c r="AV87" s="178">
        <f t="shared" si="60"/>
        <v>0</v>
      </c>
      <c r="AW87" s="179">
        <f t="shared" si="60"/>
        <v>0</v>
      </c>
      <c r="AX87" s="178">
        <f t="shared" si="20"/>
        <v>0</v>
      </c>
      <c r="AY87" s="178">
        <f t="shared" si="20"/>
        <v>0</v>
      </c>
      <c r="AZ87" s="179">
        <f t="shared" si="20"/>
        <v>0</v>
      </c>
      <c r="BA87" s="184">
        <f t="shared" si="20"/>
        <v>0</v>
      </c>
      <c r="BB87" s="178">
        <f t="shared" si="20"/>
        <v>0</v>
      </c>
      <c r="BC87" s="184">
        <f t="shared" si="20"/>
        <v>0</v>
      </c>
      <c r="BD87" s="178">
        <f t="shared" si="20"/>
        <v>0</v>
      </c>
      <c r="BE87" s="244">
        <f t="shared" si="58"/>
        <v>0</v>
      </c>
      <c r="BF87" s="245">
        <f t="shared" si="55"/>
        <v>0</v>
      </c>
      <c r="BH87" s="255">
        <f t="shared" si="49"/>
        <v>0</v>
      </c>
      <c r="BI87" s="255">
        <f t="shared" si="50"/>
        <v>0</v>
      </c>
      <c r="BJ87" s="255">
        <f t="shared" si="51"/>
        <v>0</v>
      </c>
      <c r="BK87" s="256">
        <f t="shared" si="52"/>
        <v>0</v>
      </c>
      <c r="BL87" s="262">
        <f t="shared" si="53"/>
        <v>0</v>
      </c>
      <c r="BM87" s="257">
        <f t="shared" si="56"/>
        <v>0</v>
      </c>
      <c r="BO87" s="714" t="str">
        <f t="shared" si="59"/>
        <v/>
      </c>
      <c r="BT87" s="137"/>
    </row>
    <row r="88" spans="2:72" ht="15" customHeight="1" x14ac:dyDescent="0.25">
      <c r="B88" s="19">
        <f t="shared" si="54"/>
        <v>16</v>
      </c>
      <c r="C88" s="785"/>
      <c r="D88" s="772"/>
      <c r="E88" s="836"/>
      <c r="G88" s="482">
        <f>SUM('DUoS (t-1)'!G88,'TUoS (t-1)'!G88,'JSO (t-1)'!G88)</f>
        <v>0</v>
      </c>
      <c r="H88" s="479">
        <f>SUM('DUoS (t-1)'!H88,'TUoS (t-1)'!H88,'JSO (t-1)'!H88)</f>
        <v>0</v>
      </c>
      <c r="I88" s="461">
        <f>SUM('DUoS (t-1)'!I88,'TUoS (t-1)'!I88,'JSO (t-1)'!I88)</f>
        <v>0</v>
      </c>
      <c r="J88" s="461">
        <f>SUM('DUoS (t-1)'!J88,'TUoS (t-1)'!J88,'JSO (t-1)'!J88)</f>
        <v>0</v>
      </c>
      <c r="K88" s="462">
        <f>SUM('DUoS (t-1)'!K88,'TUoS (t-1)'!K88,'JSO (t-1)'!K88)</f>
        <v>0</v>
      </c>
      <c r="L88" s="461">
        <f>SUM('DUoS (t-1)'!L88,'TUoS (t-1)'!L88,'JSO (t-1)'!L88)</f>
        <v>0</v>
      </c>
      <c r="M88" s="461">
        <f>SUM('DUoS (t-1)'!M88,'TUoS (t-1)'!M88,'JSO (t-1)'!M88)</f>
        <v>0</v>
      </c>
      <c r="N88" s="461">
        <f>SUM('DUoS (t-1)'!N88,'TUoS (t-1)'!N88,'JSO (t-1)'!N88)</f>
        <v>0</v>
      </c>
      <c r="O88" s="462">
        <f>SUM('DUoS (t-1)'!O88,'TUoS (t-1)'!O88,'JSO (t-1)'!O88)</f>
        <v>0</v>
      </c>
      <c r="P88" s="461">
        <f>SUM('DUoS (t-1)'!P88,'TUoS (t-1)'!P88,'JSO (t-1)'!P88)</f>
        <v>0</v>
      </c>
      <c r="Q88" s="461">
        <f>SUM('DUoS (t-1)'!Q88,'TUoS (t-1)'!Q88,'JSO (t-1)'!Q88)</f>
        <v>0</v>
      </c>
      <c r="R88" s="462">
        <f>SUM('DUoS (t-1)'!R88,'TUoS (t-1)'!R88,'JSO (t-1)'!R88)</f>
        <v>0</v>
      </c>
      <c r="S88" s="479">
        <f>SUM('DUoS (t-1)'!S88,'TUoS (t-1)'!S88,'JSO (t-1)'!S88)</f>
        <v>0</v>
      </c>
      <c r="T88" s="461">
        <f>SUM('DUoS (t-1)'!T88,'TUoS (t-1)'!T88,'JSO (t-1)'!T88)</f>
        <v>0</v>
      </c>
      <c r="U88" s="479">
        <f>SUM('DUoS (t-1)'!U88,'TUoS (t-1)'!U88,'JSO (t-1)'!U88)</f>
        <v>0</v>
      </c>
      <c r="V88" s="462">
        <f>SUM('DUoS (t-1)'!V88,'TUoS (t-1)'!V88,'JSO (t-1)'!V88)</f>
        <v>0</v>
      </c>
      <c r="X88" s="183"/>
      <c r="Y88" s="184"/>
      <c r="Z88" s="178"/>
      <c r="AA88" s="178"/>
      <c r="AB88" s="179"/>
      <c r="AC88" s="178"/>
      <c r="AD88" s="178"/>
      <c r="AE88" s="178"/>
      <c r="AF88" s="179"/>
      <c r="AG88" s="178"/>
      <c r="AH88" s="178"/>
      <c r="AI88" s="179"/>
      <c r="AJ88" s="184"/>
      <c r="AK88" s="178"/>
      <c r="AL88" s="184"/>
      <c r="AM88" s="179"/>
      <c r="AO88" s="183">
        <f t="shared" si="57"/>
        <v>0</v>
      </c>
      <c r="AP88" s="184">
        <f t="shared" si="60"/>
        <v>0</v>
      </c>
      <c r="AQ88" s="178">
        <f t="shared" si="60"/>
        <v>0</v>
      </c>
      <c r="AR88" s="178">
        <f t="shared" si="60"/>
        <v>0</v>
      </c>
      <c r="AS88" s="179">
        <f t="shared" si="60"/>
        <v>0</v>
      </c>
      <c r="AT88" s="178">
        <f t="shared" si="60"/>
        <v>0</v>
      </c>
      <c r="AU88" s="178">
        <f t="shared" si="60"/>
        <v>0</v>
      </c>
      <c r="AV88" s="178">
        <f t="shared" si="60"/>
        <v>0</v>
      </c>
      <c r="AW88" s="179">
        <f t="shared" si="60"/>
        <v>0</v>
      </c>
      <c r="AX88" s="178">
        <f t="shared" si="20"/>
        <v>0</v>
      </c>
      <c r="AY88" s="178">
        <f t="shared" si="20"/>
        <v>0</v>
      </c>
      <c r="AZ88" s="179">
        <f t="shared" si="20"/>
        <v>0</v>
      </c>
      <c r="BA88" s="184">
        <f t="shared" si="20"/>
        <v>0</v>
      </c>
      <c r="BB88" s="178">
        <f t="shared" si="20"/>
        <v>0</v>
      </c>
      <c r="BC88" s="184">
        <f t="shared" si="20"/>
        <v>0</v>
      </c>
      <c r="BD88" s="178">
        <f t="shared" si="20"/>
        <v>0</v>
      </c>
      <c r="BE88" s="244">
        <f t="shared" si="58"/>
        <v>0</v>
      </c>
      <c r="BF88" s="245">
        <f t="shared" si="55"/>
        <v>0</v>
      </c>
      <c r="BH88" s="255">
        <f t="shared" si="49"/>
        <v>0</v>
      </c>
      <c r="BI88" s="255">
        <f t="shared" si="50"/>
        <v>0</v>
      </c>
      <c r="BJ88" s="255">
        <f t="shared" si="51"/>
        <v>0</v>
      </c>
      <c r="BK88" s="256">
        <f t="shared" si="52"/>
        <v>0</v>
      </c>
      <c r="BL88" s="262">
        <f t="shared" si="53"/>
        <v>0</v>
      </c>
      <c r="BM88" s="257">
        <f t="shared" si="56"/>
        <v>0</v>
      </c>
      <c r="BO88" s="714" t="str">
        <f t="shared" si="59"/>
        <v/>
      </c>
    </row>
    <row r="89" spans="2:72" ht="15" customHeight="1" x14ac:dyDescent="0.25">
      <c r="B89" s="19">
        <f t="shared" si="54"/>
        <v>17</v>
      </c>
      <c r="C89" s="785"/>
      <c r="D89" s="772"/>
      <c r="E89" s="836"/>
      <c r="G89" s="482">
        <f>SUM('DUoS (t-1)'!G89,'TUoS (t-1)'!G89,'JSO (t-1)'!G89)</f>
        <v>0</v>
      </c>
      <c r="H89" s="479">
        <f>SUM('DUoS (t-1)'!H89,'TUoS (t-1)'!H89,'JSO (t-1)'!H89)</f>
        <v>0</v>
      </c>
      <c r="I89" s="461">
        <f>SUM('DUoS (t-1)'!I89,'TUoS (t-1)'!I89,'JSO (t-1)'!I89)</f>
        <v>0</v>
      </c>
      <c r="J89" s="461">
        <f>SUM('DUoS (t-1)'!J89,'TUoS (t-1)'!J89,'JSO (t-1)'!J89)</f>
        <v>0</v>
      </c>
      <c r="K89" s="462">
        <f>SUM('DUoS (t-1)'!K89,'TUoS (t-1)'!K89,'JSO (t-1)'!K89)</f>
        <v>0</v>
      </c>
      <c r="L89" s="461">
        <f>SUM('DUoS (t-1)'!L89,'TUoS (t-1)'!L89,'JSO (t-1)'!L89)</f>
        <v>0</v>
      </c>
      <c r="M89" s="461">
        <f>SUM('DUoS (t-1)'!M89,'TUoS (t-1)'!M89,'JSO (t-1)'!M89)</f>
        <v>0</v>
      </c>
      <c r="N89" s="461">
        <f>SUM('DUoS (t-1)'!N89,'TUoS (t-1)'!N89,'JSO (t-1)'!N89)</f>
        <v>0</v>
      </c>
      <c r="O89" s="462">
        <f>SUM('DUoS (t-1)'!O89,'TUoS (t-1)'!O89,'JSO (t-1)'!O89)</f>
        <v>0</v>
      </c>
      <c r="P89" s="461">
        <f>SUM('DUoS (t-1)'!P89,'TUoS (t-1)'!P89,'JSO (t-1)'!P89)</f>
        <v>0</v>
      </c>
      <c r="Q89" s="461">
        <f>SUM('DUoS (t-1)'!Q89,'TUoS (t-1)'!Q89,'JSO (t-1)'!Q89)</f>
        <v>0</v>
      </c>
      <c r="R89" s="462">
        <f>SUM('DUoS (t-1)'!R89,'TUoS (t-1)'!R89,'JSO (t-1)'!R89)</f>
        <v>0</v>
      </c>
      <c r="S89" s="479">
        <f>SUM('DUoS (t-1)'!S89,'TUoS (t-1)'!S89,'JSO (t-1)'!S89)</f>
        <v>0</v>
      </c>
      <c r="T89" s="461">
        <f>SUM('DUoS (t-1)'!T89,'TUoS (t-1)'!T89,'JSO (t-1)'!T89)</f>
        <v>0</v>
      </c>
      <c r="U89" s="479">
        <f>SUM('DUoS (t-1)'!U89,'TUoS (t-1)'!U89,'JSO (t-1)'!U89)</f>
        <v>0</v>
      </c>
      <c r="V89" s="462">
        <f>SUM('DUoS (t-1)'!V89,'TUoS (t-1)'!V89,'JSO (t-1)'!V89)</f>
        <v>0</v>
      </c>
      <c r="X89" s="183"/>
      <c r="Y89" s="184"/>
      <c r="Z89" s="178"/>
      <c r="AA89" s="178"/>
      <c r="AB89" s="179"/>
      <c r="AC89" s="178"/>
      <c r="AD89" s="178"/>
      <c r="AE89" s="178"/>
      <c r="AF89" s="179"/>
      <c r="AG89" s="178"/>
      <c r="AH89" s="178"/>
      <c r="AI89" s="179"/>
      <c r="AJ89" s="184"/>
      <c r="AK89" s="178"/>
      <c r="AL89" s="184"/>
      <c r="AM89" s="179"/>
      <c r="AO89" s="183">
        <f t="shared" si="57"/>
        <v>0</v>
      </c>
      <c r="AP89" s="184">
        <f t="shared" si="60"/>
        <v>0</v>
      </c>
      <c r="AQ89" s="178">
        <f t="shared" si="60"/>
        <v>0</v>
      </c>
      <c r="AR89" s="178">
        <f t="shared" si="60"/>
        <v>0</v>
      </c>
      <c r="AS89" s="179">
        <f t="shared" si="60"/>
        <v>0</v>
      </c>
      <c r="AT89" s="178">
        <f t="shared" si="60"/>
        <v>0</v>
      </c>
      <c r="AU89" s="178">
        <f t="shared" si="60"/>
        <v>0</v>
      </c>
      <c r="AV89" s="178">
        <f t="shared" si="60"/>
        <v>0</v>
      </c>
      <c r="AW89" s="179">
        <f t="shared" si="60"/>
        <v>0</v>
      </c>
      <c r="AX89" s="178">
        <f t="shared" si="20"/>
        <v>0</v>
      </c>
      <c r="AY89" s="178">
        <f t="shared" si="20"/>
        <v>0</v>
      </c>
      <c r="AZ89" s="179">
        <f t="shared" si="20"/>
        <v>0</v>
      </c>
      <c r="BA89" s="184">
        <f t="shared" si="20"/>
        <v>0</v>
      </c>
      <c r="BB89" s="178">
        <f t="shared" si="20"/>
        <v>0</v>
      </c>
      <c r="BC89" s="184">
        <f t="shared" si="20"/>
        <v>0</v>
      </c>
      <c r="BD89" s="178">
        <f t="shared" si="20"/>
        <v>0</v>
      </c>
      <c r="BE89" s="244">
        <f t="shared" si="58"/>
        <v>0</v>
      </c>
      <c r="BF89" s="245">
        <f t="shared" si="55"/>
        <v>0</v>
      </c>
      <c r="BH89" s="255">
        <f t="shared" si="49"/>
        <v>0</v>
      </c>
      <c r="BI89" s="255">
        <f t="shared" si="50"/>
        <v>0</v>
      </c>
      <c r="BJ89" s="255">
        <f t="shared" si="51"/>
        <v>0</v>
      </c>
      <c r="BK89" s="256">
        <f t="shared" si="52"/>
        <v>0</v>
      </c>
      <c r="BL89" s="262">
        <f t="shared" si="53"/>
        <v>0</v>
      </c>
      <c r="BM89" s="257">
        <f t="shared" si="56"/>
        <v>0</v>
      </c>
      <c r="BO89" s="714" t="str">
        <f t="shared" si="59"/>
        <v/>
      </c>
    </row>
    <row r="90" spans="2:72" ht="15" customHeight="1" x14ac:dyDescent="0.25">
      <c r="B90" s="19">
        <f t="shared" si="54"/>
        <v>18</v>
      </c>
      <c r="C90" s="785"/>
      <c r="D90" s="772"/>
      <c r="E90" s="836"/>
      <c r="G90" s="482">
        <f>SUM('DUoS (t-1)'!G90,'TUoS (t-1)'!G90,'JSO (t-1)'!G90)</f>
        <v>0</v>
      </c>
      <c r="H90" s="479">
        <f>SUM('DUoS (t-1)'!H90,'TUoS (t-1)'!H90,'JSO (t-1)'!H90)</f>
        <v>0</v>
      </c>
      <c r="I90" s="461">
        <f>SUM('DUoS (t-1)'!I90,'TUoS (t-1)'!I90,'JSO (t-1)'!I90)</f>
        <v>0</v>
      </c>
      <c r="J90" s="461">
        <f>SUM('DUoS (t-1)'!J90,'TUoS (t-1)'!J90,'JSO (t-1)'!J90)</f>
        <v>0</v>
      </c>
      <c r="K90" s="462">
        <f>SUM('DUoS (t-1)'!K90,'TUoS (t-1)'!K90,'JSO (t-1)'!K90)</f>
        <v>0</v>
      </c>
      <c r="L90" s="461">
        <f>SUM('DUoS (t-1)'!L90,'TUoS (t-1)'!L90,'JSO (t-1)'!L90)</f>
        <v>0</v>
      </c>
      <c r="M90" s="461">
        <f>SUM('DUoS (t-1)'!M90,'TUoS (t-1)'!M90,'JSO (t-1)'!M90)</f>
        <v>0</v>
      </c>
      <c r="N90" s="461">
        <f>SUM('DUoS (t-1)'!N90,'TUoS (t-1)'!N90,'JSO (t-1)'!N90)</f>
        <v>0</v>
      </c>
      <c r="O90" s="462">
        <f>SUM('DUoS (t-1)'!O90,'TUoS (t-1)'!O90,'JSO (t-1)'!O90)</f>
        <v>0</v>
      </c>
      <c r="P90" s="461">
        <f>SUM('DUoS (t-1)'!P90,'TUoS (t-1)'!P90,'JSO (t-1)'!P90)</f>
        <v>0</v>
      </c>
      <c r="Q90" s="461">
        <f>SUM('DUoS (t-1)'!Q90,'TUoS (t-1)'!Q90,'JSO (t-1)'!Q90)</f>
        <v>0</v>
      </c>
      <c r="R90" s="462">
        <f>SUM('DUoS (t-1)'!R90,'TUoS (t-1)'!R90,'JSO (t-1)'!R90)</f>
        <v>0</v>
      </c>
      <c r="S90" s="479">
        <f>SUM('DUoS (t-1)'!S90,'TUoS (t-1)'!S90,'JSO (t-1)'!S90)</f>
        <v>0</v>
      </c>
      <c r="T90" s="461">
        <f>SUM('DUoS (t-1)'!T90,'TUoS (t-1)'!T90,'JSO (t-1)'!T90)</f>
        <v>0</v>
      </c>
      <c r="U90" s="479">
        <f>SUM('DUoS (t-1)'!U90,'TUoS (t-1)'!U90,'JSO (t-1)'!U90)</f>
        <v>0</v>
      </c>
      <c r="V90" s="462">
        <f>SUM('DUoS (t-1)'!V90,'TUoS (t-1)'!V90,'JSO (t-1)'!V90)</f>
        <v>0</v>
      </c>
      <c r="X90" s="183"/>
      <c r="Y90" s="184"/>
      <c r="Z90" s="178"/>
      <c r="AA90" s="178"/>
      <c r="AB90" s="179"/>
      <c r="AC90" s="178"/>
      <c r="AD90" s="178"/>
      <c r="AE90" s="178"/>
      <c r="AF90" s="179"/>
      <c r="AG90" s="178"/>
      <c r="AH90" s="178"/>
      <c r="AI90" s="179"/>
      <c r="AJ90" s="184"/>
      <c r="AK90" s="178"/>
      <c r="AL90" s="184"/>
      <c r="AM90" s="179"/>
      <c r="AO90" s="183">
        <f t="shared" si="57"/>
        <v>0</v>
      </c>
      <c r="AP90" s="184">
        <f t="shared" si="60"/>
        <v>0</v>
      </c>
      <c r="AQ90" s="178">
        <f t="shared" si="60"/>
        <v>0</v>
      </c>
      <c r="AR90" s="178">
        <f t="shared" si="60"/>
        <v>0</v>
      </c>
      <c r="AS90" s="179">
        <f t="shared" si="60"/>
        <v>0</v>
      </c>
      <c r="AT90" s="178">
        <f t="shared" si="60"/>
        <v>0</v>
      </c>
      <c r="AU90" s="178">
        <f t="shared" si="60"/>
        <v>0</v>
      </c>
      <c r="AV90" s="178">
        <f t="shared" si="60"/>
        <v>0</v>
      </c>
      <c r="AW90" s="179">
        <f t="shared" si="60"/>
        <v>0</v>
      </c>
      <c r="AX90" s="178">
        <f t="shared" ref="AX90:BD126" si="61">P90*AG90/1000</f>
        <v>0</v>
      </c>
      <c r="AY90" s="178">
        <f t="shared" si="61"/>
        <v>0</v>
      </c>
      <c r="AZ90" s="179">
        <f t="shared" si="61"/>
        <v>0</v>
      </c>
      <c r="BA90" s="184">
        <f t="shared" si="61"/>
        <v>0</v>
      </c>
      <c r="BB90" s="178">
        <f t="shared" si="61"/>
        <v>0</v>
      </c>
      <c r="BC90" s="184">
        <f t="shared" si="61"/>
        <v>0</v>
      </c>
      <c r="BD90" s="178">
        <f t="shared" si="61"/>
        <v>0</v>
      </c>
      <c r="BE90" s="244">
        <f t="shared" si="58"/>
        <v>0</v>
      </c>
      <c r="BF90" s="245">
        <f t="shared" si="55"/>
        <v>0</v>
      </c>
      <c r="BH90" s="255">
        <f t="shared" si="49"/>
        <v>0</v>
      </c>
      <c r="BI90" s="255">
        <f t="shared" si="50"/>
        <v>0</v>
      </c>
      <c r="BJ90" s="255">
        <f t="shared" si="51"/>
        <v>0</v>
      </c>
      <c r="BK90" s="256">
        <f t="shared" si="52"/>
        <v>0</v>
      </c>
      <c r="BL90" s="262">
        <f t="shared" si="53"/>
        <v>0</v>
      </c>
      <c r="BM90" s="257">
        <f t="shared" si="56"/>
        <v>0</v>
      </c>
      <c r="BO90" s="714" t="str">
        <f t="shared" si="59"/>
        <v/>
      </c>
    </row>
    <row r="91" spans="2:72" ht="15" customHeight="1" x14ac:dyDescent="0.25">
      <c r="B91" s="19">
        <f t="shared" si="54"/>
        <v>19</v>
      </c>
      <c r="C91" s="785"/>
      <c r="D91" s="772"/>
      <c r="E91" s="836"/>
      <c r="G91" s="482">
        <f>SUM('DUoS (t-1)'!G91,'TUoS (t-1)'!G91,'JSO (t-1)'!G91)</f>
        <v>0</v>
      </c>
      <c r="H91" s="479">
        <f>SUM('DUoS (t-1)'!H91,'TUoS (t-1)'!H91,'JSO (t-1)'!H91)</f>
        <v>0</v>
      </c>
      <c r="I91" s="461">
        <f>SUM('DUoS (t-1)'!I91,'TUoS (t-1)'!I91,'JSO (t-1)'!I91)</f>
        <v>0</v>
      </c>
      <c r="J91" s="461">
        <f>SUM('DUoS (t-1)'!J91,'TUoS (t-1)'!J91,'JSO (t-1)'!J91)</f>
        <v>0</v>
      </c>
      <c r="K91" s="462">
        <f>SUM('DUoS (t-1)'!K91,'TUoS (t-1)'!K91,'JSO (t-1)'!K91)</f>
        <v>0</v>
      </c>
      <c r="L91" s="461">
        <f>SUM('DUoS (t-1)'!L91,'TUoS (t-1)'!L91,'JSO (t-1)'!L91)</f>
        <v>0</v>
      </c>
      <c r="M91" s="461">
        <f>SUM('DUoS (t-1)'!M91,'TUoS (t-1)'!M91,'JSO (t-1)'!M91)</f>
        <v>0</v>
      </c>
      <c r="N91" s="461">
        <f>SUM('DUoS (t-1)'!N91,'TUoS (t-1)'!N91,'JSO (t-1)'!N91)</f>
        <v>0</v>
      </c>
      <c r="O91" s="462">
        <f>SUM('DUoS (t-1)'!O91,'TUoS (t-1)'!O91,'JSO (t-1)'!O91)</f>
        <v>0</v>
      </c>
      <c r="P91" s="461">
        <f>SUM('DUoS (t-1)'!P91,'TUoS (t-1)'!P91,'JSO (t-1)'!P91)</f>
        <v>0</v>
      </c>
      <c r="Q91" s="461">
        <f>SUM('DUoS (t-1)'!Q91,'TUoS (t-1)'!Q91,'JSO (t-1)'!Q91)</f>
        <v>0</v>
      </c>
      <c r="R91" s="462">
        <f>SUM('DUoS (t-1)'!R91,'TUoS (t-1)'!R91,'JSO (t-1)'!R91)</f>
        <v>0</v>
      </c>
      <c r="S91" s="479">
        <f>SUM('DUoS (t-1)'!S91,'TUoS (t-1)'!S91,'JSO (t-1)'!S91)</f>
        <v>0</v>
      </c>
      <c r="T91" s="461">
        <f>SUM('DUoS (t-1)'!T91,'TUoS (t-1)'!T91,'JSO (t-1)'!T91)</f>
        <v>0</v>
      </c>
      <c r="U91" s="479">
        <f>SUM('DUoS (t-1)'!U91,'TUoS (t-1)'!U91,'JSO (t-1)'!U91)</f>
        <v>0</v>
      </c>
      <c r="V91" s="462">
        <f>SUM('DUoS (t-1)'!V91,'TUoS (t-1)'!V91,'JSO (t-1)'!V91)</f>
        <v>0</v>
      </c>
      <c r="X91" s="183"/>
      <c r="Y91" s="184"/>
      <c r="Z91" s="178"/>
      <c r="AA91" s="178"/>
      <c r="AB91" s="179"/>
      <c r="AC91" s="178"/>
      <c r="AD91" s="178"/>
      <c r="AE91" s="178"/>
      <c r="AF91" s="179"/>
      <c r="AG91" s="178"/>
      <c r="AH91" s="178"/>
      <c r="AI91" s="179"/>
      <c r="AJ91" s="184"/>
      <c r="AK91" s="178"/>
      <c r="AL91" s="184"/>
      <c r="AM91" s="179"/>
      <c r="AO91" s="183">
        <f t="shared" si="57"/>
        <v>0</v>
      </c>
      <c r="AP91" s="184">
        <f t="shared" si="60"/>
        <v>0</v>
      </c>
      <c r="AQ91" s="178">
        <f t="shared" si="60"/>
        <v>0</v>
      </c>
      <c r="AR91" s="178">
        <f t="shared" si="60"/>
        <v>0</v>
      </c>
      <c r="AS91" s="179">
        <f t="shared" si="60"/>
        <v>0</v>
      </c>
      <c r="AT91" s="178">
        <f t="shared" si="60"/>
        <v>0</v>
      </c>
      <c r="AU91" s="178">
        <f t="shared" si="60"/>
        <v>0</v>
      </c>
      <c r="AV91" s="178">
        <f t="shared" si="60"/>
        <v>0</v>
      </c>
      <c r="AW91" s="179">
        <f t="shared" si="60"/>
        <v>0</v>
      </c>
      <c r="AX91" s="178">
        <f t="shared" si="61"/>
        <v>0</v>
      </c>
      <c r="AY91" s="178">
        <f t="shared" si="61"/>
        <v>0</v>
      </c>
      <c r="AZ91" s="179">
        <f t="shared" si="61"/>
        <v>0</v>
      </c>
      <c r="BA91" s="184">
        <f t="shared" si="61"/>
        <v>0</v>
      </c>
      <c r="BB91" s="178">
        <f t="shared" si="61"/>
        <v>0</v>
      </c>
      <c r="BC91" s="184">
        <f t="shared" si="61"/>
        <v>0</v>
      </c>
      <c r="BD91" s="178">
        <f t="shared" si="61"/>
        <v>0</v>
      </c>
      <c r="BE91" s="244">
        <f t="shared" si="58"/>
        <v>0</v>
      </c>
      <c r="BF91" s="245">
        <f t="shared" si="55"/>
        <v>0</v>
      </c>
      <c r="BH91" s="255">
        <f t="shared" si="49"/>
        <v>0</v>
      </c>
      <c r="BI91" s="255">
        <f t="shared" si="50"/>
        <v>0</v>
      </c>
      <c r="BJ91" s="255">
        <f t="shared" si="51"/>
        <v>0</v>
      </c>
      <c r="BK91" s="256">
        <f t="shared" si="52"/>
        <v>0</v>
      </c>
      <c r="BL91" s="262">
        <f t="shared" si="53"/>
        <v>0</v>
      </c>
      <c r="BM91" s="257">
        <f t="shared" si="56"/>
        <v>0</v>
      </c>
      <c r="BO91" s="714" t="str">
        <f t="shared" si="59"/>
        <v/>
      </c>
    </row>
    <row r="92" spans="2:72" ht="15" customHeight="1" x14ac:dyDescent="0.25">
      <c r="B92" s="19">
        <f t="shared" si="54"/>
        <v>20</v>
      </c>
      <c r="C92" s="785"/>
      <c r="D92" s="772"/>
      <c r="E92" s="836"/>
      <c r="G92" s="482">
        <f>SUM('DUoS (t-1)'!G92,'TUoS (t-1)'!G92,'JSO (t-1)'!G92)</f>
        <v>0</v>
      </c>
      <c r="H92" s="479">
        <f>SUM('DUoS (t-1)'!H92,'TUoS (t-1)'!H92,'JSO (t-1)'!H92)</f>
        <v>0</v>
      </c>
      <c r="I92" s="461">
        <f>SUM('DUoS (t-1)'!I92,'TUoS (t-1)'!I92,'JSO (t-1)'!I92)</f>
        <v>0</v>
      </c>
      <c r="J92" s="461">
        <f>SUM('DUoS (t-1)'!J92,'TUoS (t-1)'!J92,'JSO (t-1)'!J92)</f>
        <v>0</v>
      </c>
      <c r="K92" s="462">
        <f>SUM('DUoS (t-1)'!K92,'TUoS (t-1)'!K92,'JSO (t-1)'!K92)</f>
        <v>0</v>
      </c>
      <c r="L92" s="461">
        <f>SUM('DUoS (t-1)'!L92,'TUoS (t-1)'!L92,'JSO (t-1)'!L92)</f>
        <v>0</v>
      </c>
      <c r="M92" s="461">
        <f>SUM('DUoS (t-1)'!M92,'TUoS (t-1)'!M92,'JSO (t-1)'!M92)</f>
        <v>0</v>
      </c>
      <c r="N92" s="461">
        <f>SUM('DUoS (t-1)'!N92,'TUoS (t-1)'!N92,'JSO (t-1)'!N92)</f>
        <v>0</v>
      </c>
      <c r="O92" s="462">
        <f>SUM('DUoS (t-1)'!O92,'TUoS (t-1)'!O92,'JSO (t-1)'!O92)</f>
        <v>0</v>
      </c>
      <c r="P92" s="461">
        <f>SUM('DUoS (t-1)'!P92,'TUoS (t-1)'!P92,'JSO (t-1)'!P92)</f>
        <v>0</v>
      </c>
      <c r="Q92" s="461">
        <f>SUM('DUoS (t-1)'!Q92,'TUoS (t-1)'!Q92,'JSO (t-1)'!Q92)</f>
        <v>0</v>
      </c>
      <c r="R92" s="462">
        <f>SUM('DUoS (t-1)'!R92,'TUoS (t-1)'!R92,'JSO (t-1)'!R92)</f>
        <v>0</v>
      </c>
      <c r="S92" s="479">
        <f>SUM('DUoS (t-1)'!S92,'TUoS (t-1)'!S92,'JSO (t-1)'!S92)</f>
        <v>0</v>
      </c>
      <c r="T92" s="461">
        <f>SUM('DUoS (t-1)'!T92,'TUoS (t-1)'!T92,'JSO (t-1)'!T92)</f>
        <v>0</v>
      </c>
      <c r="U92" s="479">
        <f>SUM('DUoS (t-1)'!U92,'TUoS (t-1)'!U92,'JSO (t-1)'!U92)</f>
        <v>0</v>
      </c>
      <c r="V92" s="462">
        <f>SUM('DUoS (t-1)'!V92,'TUoS (t-1)'!V92,'JSO (t-1)'!V92)</f>
        <v>0</v>
      </c>
      <c r="X92" s="183"/>
      <c r="Y92" s="184"/>
      <c r="Z92" s="178"/>
      <c r="AA92" s="178"/>
      <c r="AB92" s="179"/>
      <c r="AC92" s="178"/>
      <c r="AD92" s="178"/>
      <c r="AE92" s="178"/>
      <c r="AF92" s="179"/>
      <c r="AG92" s="178"/>
      <c r="AH92" s="178"/>
      <c r="AI92" s="179"/>
      <c r="AJ92" s="184"/>
      <c r="AK92" s="178"/>
      <c r="AL92" s="184"/>
      <c r="AM92" s="179"/>
      <c r="AO92" s="183">
        <f t="shared" si="57"/>
        <v>0</v>
      </c>
      <c r="AP92" s="184">
        <f t="shared" si="60"/>
        <v>0</v>
      </c>
      <c r="AQ92" s="178">
        <f t="shared" si="60"/>
        <v>0</v>
      </c>
      <c r="AR92" s="178">
        <f t="shared" si="60"/>
        <v>0</v>
      </c>
      <c r="AS92" s="179">
        <f t="shared" si="60"/>
        <v>0</v>
      </c>
      <c r="AT92" s="178">
        <f t="shared" si="60"/>
        <v>0</v>
      </c>
      <c r="AU92" s="178">
        <f t="shared" si="60"/>
        <v>0</v>
      </c>
      <c r="AV92" s="178">
        <f t="shared" si="60"/>
        <v>0</v>
      </c>
      <c r="AW92" s="179">
        <f t="shared" si="60"/>
        <v>0</v>
      </c>
      <c r="AX92" s="178">
        <f t="shared" si="61"/>
        <v>0</v>
      </c>
      <c r="AY92" s="178">
        <f t="shared" si="61"/>
        <v>0</v>
      </c>
      <c r="AZ92" s="179">
        <f t="shared" si="61"/>
        <v>0</v>
      </c>
      <c r="BA92" s="184">
        <f t="shared" si="61"/>
        <v>0</v>
      </c>
      <c r="BB92" s="178">
        <f t="shared" si="61"/>
        <v>0</v>
      </c>
      <c r="BC92" s="184">
        <f t="shared" si="61"/>
        <v>0</v>
      </c>
      <c r="BD92" s="178">
        <f t="shared" si="61"/>
        <v>0</v>
      </c>
      <c r="BE92" s="244">
        <f t="shared" si="58"/>
        <v>0</v>
      </c>
      <c r="BF92" s="245">
        <f t="shared" si="55"/>
        <v>0</v>
      </c>
      <c r="BH92" s="255">
        <f t="shared" si="49"/>
        <v>0</v>
      </c>
      <c r="BI92" s="255">
        <f t="shared" si="50"/>
        <v>0</v>
      </c>
      <c r="BJ92" s="255">
        <f t="shared" si="51"/>
        <v>0</v>
      </c>
      <c r="BK92" s="256">
        <f t="shared" si="52"/>
        <v>0</v>
      </c>
      <c r="BL92" s="262">
        <f t="shared" si="53"/>
        <v>0</v>
      </c>
      <c r="BM92" s="257">
        <f t="shared" si="56"/>
        <v>0</v>
      </c>
      <c r="BO92" s="714" t="str">
        <f t="shared" si="59"/>
        <v/>
      </c>
    </row>
    <row r="93" spans="2:72" ht="15" customHeight="1" x14ac:dyDescent="0.25">
      <c r="B93" s="26">
        <f t="shared" si="54"/>
        <v>21</v>
      </c>
      <c r="C93" s="837"/>
      <c r="D93" s="778"/>
      <c r="E93" s="838"/>
      <c r="G93" s="498">
        <f>SUM('DUoS (t-1)'!G93,'TUoS (t-1)'!G93,'JSO (t-1)'!G93)</f>
        <v>0</v>
      </c>
      <c r="H93" s="491">
        <f>SUM('DUoS (t-1)'!H93,'TUoS (t-1)'!H93,'JSO (t-1)'!H93)</f>
        <v>0</v>
      </c>
      <c r="I93" s="487">
        <f>SUM('DUoS (t-1)'!I93,'TUoS (t-1)'!I93,'JSO (t-1)'!I93)</f>
        <v>0</v>
      </c>
      <c r="J93" s="487">
        <f>SUM('DUoS (t-1)'!J93,'TUoS (t-1)'!J93,'JSO (t-1)'!J93)</f>
        <v>0</v>
      </c>
      <c r="K93" s="488">
        <f>SUM('DUoS (t-1)'!K93,'TUoS (t-1)'!K93,'JSO (t-1)'!K93)</f>
        <v>0</v>
      </c>
      <c r="L93" s="487">
        <f>SUM('DUoS (t-1)'!L93,'TUoS (t-1)'!L93,'JSO (t-1)'!L93)</f>
        <v>0</v>
      </c>
      <c r="M93" s="487">
        <f>SUM('DUoS (t-1)'!M93,'TUoS (t-1)'!M93,'JSO (t-1)'!M93)</f>
        <v>0</v>
      </c>
      <c r="N93" s="487">
        <f>SUM('DUoS (t-1)'!N93,'TUoS (t-1)'!N93,'JSO (t-1)'!N93)</f>
        <v>0</v>
      </c>
      <c r="O93" s="488">
        <f>SUM('DUoS (t-1)'!O93,'TUoS (t-1)'!O93,'JSO (t-1)'!O93)</f>
        <v>0</v>
      </c>
      <c r="P93" s="487">
        <f>SUM('DUoS (t-1)'!P93,'TUoS (t-1)'!P93,'JSO (t-1)'!P93)</f>
        <v>0</v>
      </c>
      <c r="Q93" s="487">
        <f>SUM('DUoS (t-1)'!Q93,'TUoS (t-1)'!Q93,'JSO (t-1)'!Q93)</f>
        <v>0</v>
      </c>
      <c r="R93" s="488">
        <f>SUM('DUoS (t-1)'!R93,'TUoS (t-1)'!R93,'JSO (t-1)'!R93)</f>
        <v>0</v>
      </c>
      <c r="S93" s="491">
        <f>SUM('DUoS (t-1)'!S93,'TUoS (t-1)'!S93,'JSO (t-1)'!S93)</f>
        <v>0</v>
      </c>
      <c r="T93" s="487">
        <f>SUM('DUoS (t-1)'!T93,'TUoS (t-1)'!T93,'JSO (t-1)'!T93)</f>
        <v>0</v>
      </c>
      <c r="U93" s="491">
        <f>SUM('DUoS (t-1)'!U93,'TUoS (t-1)'!U93,'JSO (t-1)'!U93)</f>
        <v>0</v>
      </c>
      <c r="V93" s="488">
        <f>SUM('DUoS (t-1)'!V93,'TUoS (t-1)'!V93,'JSO (t-1)'!V93)</f>
        <v>0</v>
      </c>
      <c r="X93" s="190"/>
      <c r="Y93" s="197"/>
      <c r="Z93" s="192"/>
      <c r="AA93" s="192"/>
      <c r="AB93" s="193"/>
      <c r="AC93" s="192"/>
      <c r="AD93" s="192"/>
      <c r="AE93" s="192"/>
      <c r="AF93" s="193"/>
      <c r="AG93" s="192"/>
      <c r="AH93" s="192"/>
      <c r="AI93" s="193"/>
      <c r="AJ93" s="197"/>
      <c r="AK93" s="192"/>
      <c r="AL93" s="197"/>
      <c r="AM93" s="193"/>
      <c r="AO93" s="190">
        <f t="shared" si="57"/>
        <v>0</v>
      </c>
      <c r="AP93" s="197">
        <f t="shared" si="60"/>
        <v>0</v>
      </c>
      <c r="AQ93" s="192">
        <f t="shared" si="60"/>
        <v>0</v>
      </c>
      <c r="AR93" s="192">
        <f t="shared" si="60"/>
        <v>0</v>
      </c>
      <c r="AS93" s="193">
        <f t="shared" si="60"/>
        <v>0</v>
      </c>
      <c r="AT93" s="192">
        <f t="shared" si="60"/>
        <v>0</v>
      </c>
      <c r="AU93" s="192">
        <f t="shared" si="60"/>
        <v>0</v>
      </c>
      <c r="AV93" s="192">
        <f t="shared" si="60"/>
        <v>0</v>
      </c>
      <c r="AW93" s="193">
        <f t="shared" si="60"/>
        <v>0</v>
      </c>
      <c r="AX93" s="192">
        <f t="shared" si="61"/>
        <v>0</v>
      </c>
      <c r="AY93" s="192">
        <f t="shared" si="61"/>
        <v>0</v>
      </c>
      <c r="AZ93" s="193">
        <f t="shared" si="61"/>
        <v>0</v>
      </c>
      <c r="BA93" s="197">
        <f t="shared" si="61"/>
        <v>0</v>
      </c>
      <c r="BB93" s="192">
        <f t="shared" si="61"/>
        <v>0</v>
      </c>
      <c r="BC93" s="197">
        <f t="shared" si="61"/>
        <v>0</v>
      </c>
      <c r="BD93" s="192">
        <f t="shared" si="61"/>
        <v>0</v>
      </c>
      <c r="BE93" s="246">
        <f t="shared" si="58"/>
        <v>0</v>
      </c>
      <c r="BF93" s="247">
        <f t="shared" si="55"/>
        <v>0</v>
      </c>
      <c r="BH93" s="255">
        <f t="shared" si="49"/>
        <v>0</v>
      </c>
      <c r="BI93" s="255">
        <f t="shared" si="50"/>
        <v>0</v>
      </c>
      <c r="BJ93" s="255">
        <f t="shared" si="51"/>
        <v>0</v>
      </c>
      <c r="BK93" s="256">
        <f t="shared" si="52"/>
        <v>0</v>
      </c>
      <c r="BL93" s="262">
        <f t="shared" si="53"/>
        <v>0</v>
      </c>
      <c r="BM93" s="257">
        <f t="shared" si="56"/>
        <v>0</v>
      </c>
      <c r="BO93" s="714" t="str">
        <f t="shared" si="59"/>
        <v/>
      </c>
    </row>
    <row r="94" spans="2:72" ht="15" customHeight="1" x14ac:dyDescent="0.25">
      <c r="B94" s="35" t="s">
        <v>112</v>
      </c>
      <c r="C94" s="36" t="s">
        <v>113</v>
      </c>
      <c r="D94" s="36"/>
      <c r="E94" s="107"/>
      <c r="G94" s="482">
        <f>SUM('DUoS (t-1)'!G94,'TUoS (t-1)'!G94,'JSO (t-1)'!G94)</f>
        <v>0</v>
      </c>
      <c r="H94" s="479">
        <f>SUM('DUoS (t-1)'!H94,'TUoS (t-1)'!H94,'JSO (t-1)'!H94)</f>
        <v>0</v>
      </c>
      <c r="I94" s="461">
        <f>SUM('DUoS (t-1)'!I94,'TUoS (t-1)'!I94,'JSO (t-1)'!I94)</f>
        <v>0</v>
      </c>
      <c r="J94" s="461">
        <f>SUM('DUoS (t-1)'!J94,'TUoS (t-1)'!J94,'JSO (t-1)'!J94)</f>
        <v>0</v>
      </c>
      <c r="K94" s="462">
        <f>SUM('DUoS (t-1)'!K94,'TUoS (t-1)'!K94,'JSO (t-1)'!K94)</f>
        <v>0</v>
      </c>
      <c r="L94" s="461">
        <f>SUM('DUoS (t-1)'!L94,'TUoS (t-1)'!L94,'JSO (t-1)'!L94)</f>
        <v>0</v>
      </c>
      <c r="M94" s="461">
        <f>SUM('DUoS (t-1)'!M94,'TUoS (t-1)'!M94,'JSO (t-1)'!M94)</f>
        <v>0</v>
      </c>
      <c r="N94" s="461">
        <f>SUM('DUoS (t-1)'!N94,'TUoS (t-1)'!N94,'JSO (t-1)'!N94)</f>
        <v>0</v>
      </c>
      <c r="O94" s="462">
        <f>SUM('DUoS (t-1)'!O94,'TUoS (t-1)'!O94,'JSO (t-1)'!O94)</f>
        <v>0</v>
      </c>
      <c r="P94" s="461">
        <f>SUM('DUoS (t-1)'!P94,'TUoS (t-1)'!P94,'JSO (t-1)'!P94)</f>
        <v>0</v>
      </c>
      <c r="Q94" s="461">
        <f>SUM('DUoS (t-1)'!Q94,'TUoS (t-1)'!Q94,'JSO (t-1)'!Q94)</f>
        <v>0</v>
      </c>
      <c r="R94" s="462">
        <f>SUM('DUoS (t-1)'!R94,'TUoS (t-1)'!R94,'JSO (t-1)'!R94)</f>
        <v>0</v>
      </c>
      <c r="S94" s="479">
        <f>SUM('DUoS (t-1)'!S94,'TUoS (t-1)'!S94,'JSO (t-1)'!S94)</f>
        <v>0</v>
      </c>
      <c r="T94" s="461">
        <f>SUM('DUoS (t-1)'!T94,'TUoS (t-1)'!T94,'JSO (t-1)'!T94)</f>
        <v>0</v>
      </c>
      <c r="U94" s="479">
        <f>SUM('DUoS (t-1)'!U94,'TUoS (t-1)'!U94,'JSO (t-1)'!U94)</f>
        <v>0</v>
      </c>
      <c r="V94" s="462">
        <f>SUM('DUoS (t-1)'!V94,'TUoS (t-1)'!V94,'JSO (t-1)'!V94)</f>
        <v>0</v>
      </c>
      <c r="X94" s="183"/>
      <c r="Y94" s="184"/>
      <c r="Z94" s="178"/>
      <c r="AA94" s="178"/>
      <c r="AB94" s="179"/>
      <c r="AC94" s="178"/>
      <c r="AD94" s="178"/>
      <c r="AE94" s="178"/>
      <c r="AF94" s="179"/>
      <c r="AG94" s="178"/>
      <c r="AH94" s="178"/>
      <c r="AI94" s="179"/>
      <c r="AJ94" s="184"/>
      <c r="AK94" s="178"/>
      <c r="AL94" s="184"/>
      <c r="AM94" s="179"/>
      <c r="AO94" s="183">
        <f t="shared" si="57"/>
        <v>0</v>
      </c>
      <c r="AP94" s="184">
        <f t="shared" si="60"/>
        <v>0</v>
      </c>
      <c r="AQ94" s="178">
        <f t="shared" si="60"/>
        <v>0</v>
      </c>
      <c r="AR94" s="178">
        <f t="shared" si="60"/>
        <v>0</v>
      </c>
      <c r="AS94" s="179">
        <f t="shared" si="60"/>
        <v>0</v>
      </c>
      <c r="AT94" s="178">
        <f t="shared" si="60"/>
        <v>0</v>
      </c>
      <c r="AU94" s="178">
        <f t="shared" si="60"/>
        <v>0</v>
      </c>
      <c r="AV94" s="178">
        <f t="shared" si="60"/>
        <v>0</v>
      </c>
      <c r="AW94" s="179">
        <f t="shared" si="60"/>
        <v>0</v>
      </c>
      <c r="AX94" s="178">
        <f t="shared" si="61"/>
        <v>0</v>
      </c>
      <c r="AY94" s="178">
        <f t="shared" si="61"/>
        <v>0</v>
      </c>
      <c r="AZ94" s="179">
        <f t="shared" si="61"/>
        <v>0</v>
      </c>
      <c r="BA94" s="184">
        <f t="shared" si="61"/>
        <v>0</v>
      </c>
      <c r="BB94" s="178">
        <f t="shared" si="61"/>
        <v>0</v>
      </c>
      <c r="BC94" s="184">
        <f t="shared" si="61"/>
        <v>0</v>
      </c>
      <c r="BD94" s="178">
        <f t="shared" si="61"/>
        <v>0</v>
      </c>
      <c r="BE94" s="244">
        <f t="shared" si="58"/>
        <v>0</v>
      </c>
      <c r="BF94" s="245">
        <f t="shared" si="55"/>
        <v>0</v>
      </c>
      <c r="BH94" s="253">
        <f>SUBTOTAL(9,BH95:BH129)</f>
        <v>10715.843703500002</v>
      </c>
      <c r="BI94" s="253">
        <f>SUBTOTAL(9,BI95:BI129)</f>
        <v>5626.9328000000005</v>
      </c>
      <c r="BJ94" s="253">
        <f>SUBTOTAL(9,BJ95:BJ129)</f>
        <v>0</v>
      </c>
      <c r="BK94" s="253">
        <f>SUBTOTAL(9,BK95:BK129)</f>
        <v>16349.3664885</v>
      </c>
      <c r="BL94" s="253">
        <f>SUBTOTAL(9,BL95:BL129)</f>
        <v>0</v>
      </c>
      <c r="BM94" s="257">
        <f t="shared" si="56"/>
        <v>32692.142992000001</v>
      </c>
      <c r="BO94" s="714" t="str">
        <f t="shared" si="59"/>
        <v/>
      </c>
    </row>
    <row r="95" spans="2:72" ht="15" customHeight="1" x14ac:dyDescent="0.25">
      <c r="B95" s="19"/>
      <c r="C95" s="36" t="s">
        <v>114</v>
      </c>
      <c r="D95" s="85"/>
      <c r="E95" s="85"/>
      <c r="G95" s="482">
        <f>SUM('DUoS (t-1)'!G95,'TUoS (t-1)'!G95,'JSO (t-1)'!G95)</f>
        <v>0</v>
      </c>
      <c r="H95" s="479">
        <f>SUM('DUoS (t-1)'!H95,'TUoS (t-1)'!H95,'JSO (t-1)'!H95)</f>
        <v>0</v>
      </c>
      <c r="I95" s="461">
        <f>SUM('DUoS (t-1)'!I95,'TUoS (t-1)'!I95,'JSO (t-1)'!I95)</f>
        <v>0</v>
      </c>
      <c r="J95" s="461">
        <f>SUM('DUoS (t-1)'!J95,'TUoS (t-1)'!J95,'JSO (t-1)'!J95)</f>
        <v>0</v>
      </c>
      <c r="K95" s="462">
        <f>SUM('DUoS (t-1)'!K95,'TUoS (t-1)'!K95,'JSO (t-1)'!K95)</f>
        <v>0</v>
      </c>
      <c r="L95" s="461">
        <f>SUM('DUoS (t-1)'!L95,'TUoS (t-1)'!L95,'JSO (t-1)'!L95)</f>
        <v>0</v>
      </c>
      <c r="M95" s="461">
        <f>SUM('DUoS (t-1)'!M95,'TUoS (t-1)'!M95,'JSO (t-1)'!M95)</f>
        <v>0</v>
      </c>
      <c r="N95" s="461">
        <f>SUM('DUoS (t-1)'!N95,'TUoS (t-1)'!N95,'JSO (t-1)'!N95)</f>
        <v>0</v>
      </c>
      <c r="O95" s="462">
        <f>SUM('DUoS (t-1)'!O95,'TUoS (t-1)'!O95,'JSO (t-1)'!O95)</f>
        <v>0</v>
      </c>
      <c r="P95" s="461">
        <f>SUM('DUoS (t-1)'!P95,'TUoS (t-1)'!P95,'JSO (t-1)'!P95)</f>
        <v>0</v>
      </c>
      <c r="Q95" s="461">
        <f>SUM('DUoS (t-1)'!Q95,'TUoS (t-1)'!Q95,'JSO (t-1)'!Q95)</f>
        <v>0</v>
      </c>
      <c r="R95" s="462">
        <f>SUM('DUoS (t-1)'!R95,'TUoS (t-1)'!R95,'JSO (t-1)'!R95)</f>
        <v>0</v>
      </c>
      <c r="S95" s="479">
        <f>SUM('DUoS (t-1)'!S95,'TUoS (t-1)'!S95,'JSO (t-1)'!S95)</f>
        <v>0</v>
      </c>
      <c r="T95" s="461">
        <f>SUM('DUoS (t-1)'!T95,'TUoS (t-1)'!T95,'JSO (t-1)'!T95)</f>
        <v>0</v>
      </c>
      <c r="U95" s="479">
        <f>SUM('DUoS (t-1)'!U95,'TUoS (t-1)'!U95,'JSO (t-1)'!U95)</f>
        <v>0</v>
      </c>
      <c r="V95" s="462">
        <f>SUM('DUoS (t-1)'!V95,'TUoS (t-1)'!V95,'JSO (t-1)'!V95)</f>
        <v>0</v>
      </c>
      <c r="X95" s="183"/>
      <c r="Y95" s="184"/>
      <c r="Z95" s="178"/>
      <c r="AA95" s="178"/>
      <c r="AB95" s="179"/>
      <c r="AC95" s="178"/>
      <c r="AD95" s="178"/>
      <c r="AE95" s="178"/>
      <c r="AF95" s="179"/>
      <c r="AG95" s="178"/>
      <c r="AH95" s="178"/>
      <c r="AI95" s="179"/>
      <c r="AJ95" s="184"/>
      <c r="AK95" s="178"/>
      <c r="AL95" s="184"/>
      <c r="AM95" s="179"/>
      <c r="AO95" s="183">
        <f t="shared" si="57"/>
        <v>0</v>
      </c>
      <c r="AP95" s="184">
        <f t="shared" si="60"/>
        <v>0</v>
      </c>
      <c r="AQ95" s="178">
        <f t="shared" si="60"/>
        <v>0</v>
      </c>
      <c r="AR95" s="178">
        <f t="shared" si="60"/>
        <v>0</v>
      </c>
      <c r="AS95" s="179">
        <f t="shared" si="60"/>
        <v>0</v>
      </c>
      <c r="AT95" s="178">
        <f t="shared" si="60"/>
        <v>0</v>
      </c>
      <c r="AU95" s="178">
        <f t="shared" si="60"/>
        <v>0</v>
      </c>
      <c r="AV95" s="178">
        <f t="shared" si="60"/>
        <v>0</v>
      </c>
      <c r="AW95" s="179">
        <f t="shared" si="60"/>
        <v>0</v>
      </c>
      <c r="AX95" s="178">
        <f t="shared" si="61"/>
        <v>0</v>
      </c>
      <c r="AY95" s="178">
        <f t="shared" si="61"/>
        <v>0</v>
      </c>
      <c r="AZ95" s="179">
        <f t="shared" si="61"/>
        <v>0</v>
      </c>
      <c r="BA95" s="184">
        <f t="shared" si="61"/>
        <v>0</v>
      </c>
      <c r="BB95" s="178">
        <f t="shared" si="61"/>
        <v>0</v>
      </c>
      <c r="BC95" s="184">
        <f t="shared" si="61"/>
        <v>0</v>
      </c>
      <c r="BD95" s="178">
        <f t="shared" si="61"/>
        <v>0</v>
      </c>
      <c r="BE95" s="244">
        <f t="shared" si="58"/>
        <v>0</v>
      </c>
      <c r="BF95" s="245">
        <f t="shared" si="55"/>
        <v>0</v>
      </c>
      <c r="BH95" s="252">
        <f>SUBTOTAL(9,BH96:BH103)</f>
        <v>1140.9885035000002</v>
      </c>
      <c r="BI95" s="252">
        <f>SUBTOTAL(9,BI96:BI103)</f>
        <v>1526.4698000000001</v>
      </c>
      <c r="BJ95" s="252">
        <f>SUBTOTAL(9,BJ96:BJ103)</f>
        <v>0</v>
      </c>
      <c r="BK95" s="252">
        <f>SUBTOTAL(9,BK96:BK103)</f>
        <v>2374.6571134999999</v>
      </c>
      <c r="BL95" s="252">
        <f>SUBTOTAL(9,BL96:BL103)</f>
        <v>0</v>
      </c>
      <c r="BM95" s="257">
        <f t="shared" si="56"/>
        <v>5042.1154170000009</v>
      </c>
      <c r="BO95" s="714" t="str">
        <f t="shared" si="59"/>
        <v/>
      </c>
    </row>
    <row r="96" spans="2:72" ht="15" customHeight="1" x14ac:dyDescent="0.25">
      <c r="B96" s="19">
        <v>1</v>
      </c>
      <c r="C96" s="44" t="s">
        <v>115</v>
      </c>
      <c r="D96" s="45"/>
      <c r="E96" s="105" t="s">
        <v>116</v>
      </c>
      <c r="G96" s="477">
        <f>SUM('DUoS (t-1)'!G96,'TUoS (t-1)'!G96,'JSO (t-1)'!G96)</f>
        <v>0</v>
      </c>
      <c r="H96" s="478">
        <f>SUM('DUoS (t-1)'!H96,'TUoS (t-1)'!H96,'JSO (t-1)'!H96)</f>
        <v>1.35E-2</v>
      </c>
      <c r="I96" s="461">
        <f>SUM('DUoS (t-1)'!I96,'TUoS (t-1)'!I96,'JSO (t-1)'!I96)</f>
        <v>0</v>
      </c>
      <c r="J96" s="461">
        <f>SUM('DUoS (t-1)'!J96,'TUoS (t-1)'!J96,'JSO (t-1)'!J96)</f>
        <v>0</v>
      </c>
      <c r="K96" s="462">
        <f>SUM('DUoS (t-1)'!K96,'TUoS (t-1)'!K96,'JSO (t-1)'!K96)</f>
        <v>0</v>
      </c>
      <c r="L96" s="461">
        <f>SUM('DUoS (t-1)'!L96,'TUoS (t-1)'!L96,'JSO (t-1)'!L96)</f>
        <v>0</v>
      </c>
      <c r="M96" s="461">
        <f>SUM('DUoS (t-1)'!M96,'TUoS (t-1)'!M96,'JSO (t-1)'!M96)</f>
        <v>0</v>
      </c>
      <c r="N96" s="461">
        <f>SUM('DUoS (t-1)'!N96,'TUoS (t-1)'!N96,'JSO (t-1)'!N96)</f>
        <v>0</v>
      </c>
      <c r="O96" s="462">
        <f>SUM('DUoS (t-1)'!O96,'TUoS (t-1)'!O96,'JSO (t-1)'!O96)</f>
        <v>0</v>
      </c>
      <c r="P96" s="461">
        <f>SUM('DUoS (t-1)'!P96,'TUoS (t-1)'!P96,'JSO (t-1)'!P96)</f>
        <v>0</v>
      </c>
      <c r="Q96" s="461">
        <f>SUM('DUoS (t-1)'!Q96,'TUoS (t-1)'!Q96,'JSO (t-1)'!Q96)</f>
        <v>0</v>
      </c>
      <c r="R96" s="462">
        <f>SUM('DUoS (t-1)'!R96,'TUoS (t-1)'!R96,'JSO (t-1)'!R96)</f>
        <v>0</v>
      </c>
      <c r="S96" s="478">
        <f>SUM('DUoS (t-1)'!S96,'TUoS (t-1)'!S96,'JSO (t-1)'!S96)</f>
        <v>0.1497</v>
      </c>
      <c r="T96" s="483">
        <f>SUM('DUoS (t-1)'!T96,'TUoS (t-1)'!T96,'JSO (t-1)'!T96)</f>
        <v>7.3999999999999996E-2</v>
      </c>
      <c r="U96" s="480">
        <f>SUM('DUoS (t-1)'!U96,'TUoS (t-1)'!U96,'JSO (t-1)'!U96)</f>
        <v>0</v>
      </c>
      <c r="V96" s="481">
        <f>SUM('DUoS (t-1)'!V96,'TUoS (t-1)'!V96,'JSO (t-1)'!V96)</f>
        <v>0</v>
      </c>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57"/>
        <v>0</v>
      </c>
      <c r="AP96" s="184">
        <f t="shared" si="60"/>
        <v>0</v>
      </c>
      <c r="AQ96" s="178">
        <f t="shared" si="60"/>
        <v>0</v>
      </c>
      <c r="AR96" s="178">
        <f t="shared" si="60"/>
        <v>0</v>
      </c>
      <c r="AS96" s="179">
        <f t="shared" si="60"/>
        <v>0</v>
      </c>
      <c r="AT96" s="178">
        <f t="shared" si="60"/>
        <v>0</v>
      </c>
      <c r="AU96" s="178">
        <f t="shared" si="60"/>
        <v>0</v>
      </c>
      <c r="AV96" s="178">
        <f t="shared" si="60"/>
        <v>0</v>
      </c>
      <c r="AW96" s="179">
        <f t="shared" si="60"/>
        <v>0</v>
      </c>
      <c r="AX96" s="178">
        <f t="shared" si="61"/>
        <v>0</v>
      </c>
      <c r="AY96" s="178">
        <f t="shared" si="61"/>
        <v>0</v>
      </c>
      <c r="AZ96" s="179">
        <f t="shared" si="61"/>
        <v>0</v>
      </c>
      <c r="BA96" s="184">
        <f t="shared" si="61"/>
        <v>0</v>
      </c>
      <c r="BB96" s="178">
        <f t="shared" si="61"/>
        <v>0</v>
      </c>
      <c r="BC96" s="184">
        <f t="shared" si="61"/>
        <v>0</v>
      </c>
      <c r="BD96" s="178">
        <f t="shared" si="61"/>
        <v>0</v>
      </c>
      <c r="BE96" s="244">
        <f t="shared" si="58"/>
        <v>0</v>
      </c>
      <c r="BF96" s="245">
        <f t="shared" si="55"/>
        <v>0</v>
      </c>
      <c r="BH96" s="255">
        <f t="shared" ref="BH96:BH103" si="62">SUM(AO96)</f>
        <v>0</v>
      </c>
      <c r="BI96" s="255">
        <f t="shared" ref="BI96:BI103" si="63">SUM(AP96:AS96)</f>
        <v>0</v>
      </c>
      <c r="BJ96" s="255">
        <f t="shared" ref="BJ96:BJ103" si="64">SUM(AT96:AW96)</f>
        <v>0</v>
      </c>
      <c r="BK96" s="256">
        <f t="shared" ref="BK96:BK103" si="65">SUM(AX96:BB96)</f>
        <v>0</v>
      </c>
      <c r="BL96" s="262">
        <f t="shared" ref="BL96:BL103" si="66">SUM(BC96:BD96)</f>
        <v>0</v>
      </c>
      <c r="BM96" s="257">
        <f t="shared" si="56"/>
        <v>0</v>
      </c>
      <c r="BO96" s="714" t="str">
        <f t="shared" si="59"/>
        <v/>
      </c>
    </row>
    <row r="97" spans="2:67" ht="15" customHeight="1" x14ac:dyDescent="0.25">
      <c r="B97" s="19">
        <f>1+B96</f>
        <v>2</v>
      </c>
      <c r="C97" s="44" t="s">
        <v>117</v>
      </c>
      <c r="D97" s="45"/>
      <c r="E97" s="105" t="s">
        <v>118</v>
      </c>
      <c r="G97" s="477">
        <f>SUM('DUoS (t-1)'!G97,'TUoS (t-1)'!G97,'JSO (t-1)'!G97)</f>
        <v>0</v>
      </c>
      <c r="H97" s="478">
        <f>SUM('DUoS (t-1)'!H97,'TUoS (t-1)'!H97,'JSO (t-1)'!H97)</f>
        <v>1.35E-2</v>
      </c>
      <c r="I97" s="461">
        <f>SUM('DUoS (t-1)'!I97,'TUoS (t-1)'!I97,'JSO (t-1)'!I97)</f>
        <v>0</v>
      </c>
      <c r="J97" s="461">
        <f>SUM('DUoS (t-1)'!J97,'TUoS (t-1)'!J97,'JSO (t-1)'!J97)</f>
        <v>0</v>
      </c>
      <c r="K97" s="462">
        <f>SUM('DUoS (t-1)'!K97,'TUoS (t-1)'!K97,'JSO (t-1)'!K97)</f>
        <v>0</v>
      </c>
      <c r="L97" s="461">
        <f>SUM('DUoS (t-1)'!L97,'TUoS (t-1)'!L97,'JSO (t-1)'!L97)</f>
        <v>0</v>
      </c>
      <c r="M97" s="461">
        <f>SUM('DUoS (t-1)'!M97,'TUoS (t-1)'!M97,'JSO (t-1)'!M97)</f>
        <v>0</v>
      </c>
      <c r="N97" s="461">
        <f>SUM('DUoS (t-1)'!N97,'TUoS (t-1)'!N97,'JSO (t-1)'!N97)</f>
        <v>0</v>
      </c>
      <c r="O97" s="462">
        <f>SUM('DUoS (t-1)'!O97,'TUoS (t-1)'!O97,'JSO (t-1)'!O97)</f>
        <v>0</v>
      </c>
      <c r="P97" s="461">
        <f>SUM('DUoS (t-1)'!P97,'TUoS (t-1)'!P97,'JSO (t-1)'!P97)</f>
        <v>0</v>
      </c>
      <c r="Q97" s="461">
        <f>SUM('DUoS (t-1)'!Q97,'TUoS (t-1)'!Q97,'JSO (t-1)'!Q97)</f>
        <v>0</v>
      </c>
      <c r="R97" s="462">
        <f>SUM('DUoS (t-1)'!R97,'TUoS (t-1)'!R97,'JSO (t-1)'!R97)</f>
        <v>0</v>
      </c>
      <c r="S97" s="478">
        <f>SUM('DUoS (t-1)'!S97,'TUoS (t-1)'!S97,'JSO (t-1)'!S97)</f>
        <v>0.1497</v>
      </c>
      <c r="T97" s="483">
        <f>SUM('DUoS (t-1)'!T97,'TUoS (t-1)'!T97,'JSO (t-1)'!T97)</f>
        <v>7.3999999999999996E-2</v>
      </c>
      <c r="U97" s="480">
        <f>SUM('DUoS (t-1)'!U97,'TUoS (t-1)'!U97,'JSO (t-1)'!U97)</f>
        <v>0</v>
      </c>
      <c r="V97" s="481">
        <f>SUM('DUoS (t-1)'!V97,'TUoS (t-1)'!V97,'JSO (t-1)'!V97)</f>
        <v>0</v>
      </c>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57"/>
        <v>0</v>
      </c>
      <c r="AP97" s="184">
        <f t="shared" si="60"/>
        <v>239.49</v>
      </c>
      <c r="AQ97" s="178">
        <f t="shared" si="60"/>
        <v>0</v>
      </c>
      <c r="AR97" s="178">
        <f t="shared" si="60"/>
        <v>0</v>
      </c>
      <c r="AS97" s="179">
        <f t="shared" si="60"/>
        <v>0</v>
      </c>
      <c r="AT97" s="178">
        <f t="shared" si="60"/>
        <v>0</v>
      </c>
      <c r="AU97" s="178">
        <f t="shared" si="60"/>
        <v>0</v>
      </c>
      <c r="AV97" s="178">
        <f t="shared" si="60"/>
        <v>0</v>
      </c>
      <c r="AW97" s="179">
        <f t="shared" si="60"/>
        <v>0</v>
      </c>
      <c r="AX97" s="178">
        <f t="shared" si="61"/>
        <v>0</v>
      </c>
      <c r="AY97" s="178">
        <f t="shared" si="61"/>
        <v>0</v>
      </c>
      <c r="AZ97" s="179">
        <f t="shared" si="61"/>
        <v>0</v>
      </c>
      <c r="BA97" s="184">
        <f t="shared" si="61"/>
        <v>212.770107</v>
      </c>
      <c r="BB97" s="178">
        <f t="shared" si="61"/>
        <v>135.05000000000001</v>
      </c>
      <c r="BC97" s="184">
        <f t="shared" si="61"/>
        <v>0</v>
      </c>
      <c r="BD97" s="178">
        <f t="shared" si="61"/>
        <v>0</v>
      </c>
      <c r="BE97" s="244">
        <f t="shared" si="58"/>
        <v>1</v>
      </c>
      <c r="BF97" s="245">
        <f t="shared" si="55"/>
        <v>17740</v>
      </c>
      <c r="BH97" s="255">
        <f t="shared" si="62"/>
        <v>0</v>
      </c>
      <c r="BI97" s="255">
        <f t="shared" si="63"/>
        <v>239.49</v>
      </c>
      <c r="BJ97" s="255">
        <f t="shared" si="64"/>
        <v>0</v>
      </c>
      <c r="BK97" s="256">
        <f t="shared" si="65"/>
        <v>347.82010700000001</v>
      </c>
      <c r="BL97" s="262">
        <f t="shared" si="66"/>
        <v>0</v>
      </c>
      <c r="BM97" s="257">
        <f t="shared" si="56"/>
        <v>587.31010700000002</v>
      </c>
      <c r="BO97" s="714">
        <f t="shared" si="59"/>
        <v>33.106544926719273</v>
      </c>
    </row>
    <row r="98" spans="2:67" ht="15" customHeight="1" x14ac:dyDescent="0.25">
      <c r="B98" s="19">
        <f t="shared" ref="B98:B129" si="67">B97+1</f>
        <v>3</v>
      </c>
      <c r="C98" s="44" t="s">
        <v>122</v>
      </c>
      <c r="D98" s="45"/>
      <c r="E98" s="105" t="s">
        <v>118</v>
      </c>
      <c r="G98" s="477">
        <f>SUM('DUoS (t-1)'!G98,'TUoS (t-1)'!G98,'JSO (t-1)'!G98)</f>
        <v>590.96</v>
      </c>
      <c r="H98" s="478">
        <f>SUM('DUoS (t-1)'!H98,'TUoS (t-1)'!H98,'JSO (t-1)'!H98)</f>
        <v>1.35E-2</v>
      </c>
      <c r="I98" s="461">
        <f>SUM('DUoS (t-1)'!I98,'TUoS (t-1)'!I98,'JSO (t-1)'!I98)</f>
        <v>0</v>
      </c>
      <c r="J98" s="461">
        <f>SUM('DUoS (t-1)'!J98,'TUoS (t-1)'!J98,'JSO (t-1)'!J98)</f>
        <v>0</v>
      </c>
      <c r="K98" s="462">
        <f>SUM('DUoS (t-1)'!K98,'TUoS (t-1)'!K98,'JSO (t-1)'!K98)</f>
        <v>0</v>
      </c>
      <c r="L98" s="461">
        <f>SUM('DUoS (t-1)'!L98,'TUoS (t-1)'!L98,'JSO (t-1)'!L98)</f>
        <v>0</v>
      </c>
      <c r="M98" s="461">
        <f>SUM('DUoS (t-1)'!M98,'TUoS (t-1)'!M98,'JSO (t-1)'!M98)</f>
        <v>0</v>
      </c>
      <c r="N98" s="461">
        <f>SUM('DUoS (t-1)'!N98,'TUoS (t-1)'!N98,'JSO (t-1)'!N98)</f>
        <v>0</v>
      </c>
      <c r="O98" s="462">
        <f>SUM('DUoS (t-1)'!O98,'TUoS (t-1)'!O98,'JSO (t-1)'!O98)</f>
        <v>0</v>
      </c>
      <c r="P98" s="461">
        <f>SUM('DUoS (t-1)'!P98,'TUoS (t-1)'!P98,'JSO (t-1)'!P98)</f>
        <v>0</v>
      </c>
      <c r="Q98" s="461">
        <f>SUM('DUoS (t-1)'!Q98,'TUoS (t-1)'!Q98,'JSO (t-1)'!Q98)</f>
        <v>0</v>
      </c>
      <c r="R98" s="462">
        <f>SUM('DUoS (t-1)'!R98,'TUoS (t-1)'!R98,'JSO (t-1)'!R98)</f>
        <v>0</v>
      </c>
      <c r="S98" s="478">
        <f>SUM('DUoS (t-1)'!S98,'TUoS (t-1)'!S98,'JSO (t-1)'!S98)</f>
        <v>0.1497</v>
      </c>
      <c r="T98" s="483">
        <f>SUM('DUoS (t-1)'!T98,'TUoS (t-1)'!T98,'JSO (t-1)'!T98)</f>
        <v>7.3999999999999996E-2</v>
      </c>
      <c r="U98" s="480">
        <f>SUM('DUoS (t-1)'!U98,'TUoS (t-1)'!U98,'JSO (t-1)'!U98)</f>
        <v>0</v>
      </c>
      <c r="V98" s="481">
        <f>SUM('DUoS (t-1)'!V98,'TUoS (t-1)'!V98,'JSO (t-1)'!V98)</f>
        <v>0</v>
      </c>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57"/>
        <v>215.70040000000003</v>
      </c>
      <c r="AP98" s="184">
        <f t="shared" si="60"/>
        <v>329.94</v>
      </c>
      <c r="AQ98" s="178">
        <f t="shared" si="60"/>
        <v>0</v>
      </c>
      <c r="AR98" s="178">
        <f t="shared" si="60"/>
        <v>0</v>
      </c>
      <c r="AS98" s="179">
        <f t="shared" si="60"/>
        <v>0</v>
      </c>
      <c r="AT98" s="178">
        <f t="shared" si="60"/>
        <v>0</v>
      </c>
      <c r="AU98" s="178">
        <f t="shared" si="60"/>
        <v>0</v>
      </c>
      <c r="AV98" s="178">
        <f t="shared" si="60"/>
        <v>0</v>
      </c>
      <c r="AW98" s="179">
        <f t="shared" si="60"/>
        <v>0</v>
      </c>
      <c r="AX98" s="178">
        <f t="shared" si="61"/>
        <v>0</v>
      </c>
      <c r="AY98" s="178">
        <f t="shared" si="61"/>
        <v>0</v>
      </c>
      <c r="AZ98" s="179">
        <f t="shared" si="61"/>
        <v>0</v>
      </c>
      <c r="BA98" s="184">
        <f t="shared" si="61"/>
        <v>220.0372935</v>
      </c>
      <c r="BB98" s="178">
        <f t="shared" si="61"/>
        <v>135.05000000000001</v>
      </c>
      <c r="BC98" s="184">
        <f t="shared" si="61"/>
        <v>0</v>
      </c>
      <c r="BD98" s="178">
        <f t="shared" si="61"/>
        <v>0</v>
      </c>
      <c r="BE98" s="244">
        <f>X98/$BE$7</f>
        <v>1</v>
      </c>
      <c r="BF98" s="245">
        <f t="shared" si="55"/>
        <v>24440</v>
      </c>
      <c r="BH98" s="255">
        <f t="shared" si="62"/>
        <v>215.70040000000003</v>
      </c>
      <c r="BI98" s="255">
        <f t="shared" si="63"/>
        <v>329.94</v>
      </c>
      <c r="BJ98" s="255">
        <f t="shared" si="64"/>
        <v>0</v>
      </c>
      <c r="BK98" s="256">
        <f t="shared" si="65"/>
        <v>355.08729349999999</v>
      </c>
      <c r="BL98" s="262">
        <f t="shared" si="66"/>
        <v>0</v>
      </c>
      <c r="BM98" s="257">
        <f>SUM(BH98:BL98)</f>
        <v>900.72769349999999</v>
      </c>
      <c r="BO98" s="714">
        <f t="shared" si="59"/>
        <v>36.854651943535188</v>
      </c>
    </row>
    <row r="99" spans="2:67" ht="15" customHeight="1" x14ac:dyDescent="0.25">
      <c r="B99" s="19">
        <f t="shared" si="67"/>
        <v>4</v>
      </c>
      <c r="C99" s="44" t="s">
        <v>123</v>
      </c>
      <c r="D99" s="45"/>
      <c r="E99" s="105" t="s">
        <v>118</v>
      </c>
      <c r="G99" s="477">
        <f>SUM('DUoS (t-1)'!G99,'TUoS (t-1)'!G99,'JSO (t-1)'!G99)</f>
        <v>509.78</v>
      </c>
      <c r="H99" s="478">
        <f>SUM('DUoS (t-1)'!H99,'TUoS (t-1)'!H99,'JSO (t-1)'!H99)</f>
        <v>5.3E-3</v>
      </c>
      <c r="I99" s="461">
        <f>SUM('DUoS (t-1)'!I99,'TUoS (t-1)'!I99,'JSO (t-1)'!I99)</f>
        <v>0</v>
      </c>
      <c r="J99" s="461">
        <f>SUM('DUoS (t-1)'!J99,'TUoS (t-1)'!J99,'JSO (t-1)'!J99)</f>
        <v>0</v>
      </c>
      <c r="K99" s="462">
        <f>SUM('DUoS (t-1)'!K99,'TUoS (t-1)'!K99,'JSO (t-1)'!K99)</f>
        <v>0</v>
      </c>
      <c r="L99" s="461">
        <f>SUM('DUoS (t-1)'!L99,'TUoS (t-1)'!L99,'JSO (t-1)'!L99)</f>
        <v>0</v>
      </c>
      <c r="M99" s="461">
        <f>SUM('DUoS (t-1)'!M99,'TUoS (t-1)'!M99,'JSO (t-1)'!M99)</f>
        <v>0</v>
      </c>
      <c r="N99" s="461">
        <f>SUM('DUoS (t-1)'!N99,'TUoS (t-1)'!N99,'JSO (t-1)'!N99)</f>
        <v>0</v>
      </c>
      <c r="O99" s="462">
        <f>SUM('DUoS (t-1)'!O99,'TUoS (t-1)'!O99,'JSO (t-1)'!O99)</f>
        <v>0</v>
      </c>
      <c r="P99" s="461">
        <f>SUM('DUoS (t-1)'!P99,'TUoS (t-1)'!P99,'JSO (t-1)'!P99)</f>
        <v>0</v>
      </c>
      <c r="Q99" s="461">
        <f>SUM('DUoS (t-1)'!Q99,'TUoS (t-1)'!Q99,'JSO (t-1)'!Q99)</f>
        <v>0</v>
      </c>
      <c r="R99" s="462">
        <f>SUM('DUoS (t-1)'!R99,'TUoS (t-1)'!R99,'JSO (t-1)'!R99)</f>
        <v>0</v>
      </c>
      <c r="S99" s="478">
        <f>SUM('DUoS (t-1)'!S99,'TUoS (t-1)'!S99,'JSO (t-1)'!S99)</f>
        <v>4.1399999999999999E-2</v>
      </c>
      <c r="T99" s="483">
        <f>SUM('DUoS (t-1)'!T99,'TUoS (t-1)'!T99,'JSO (t-1)'!T99)</f>
        <v>7.3999999999999996E-2</v>
      </c>
      <c r="U99" s="480">
        <f>SUM('DUoS (t-1)'!U99,'TUoS (t-1)'!U99,'JSO (t-1)'!U99)</f>
        <v>0</v>
      </c>
      <c r="V99" s="481">
        <f>SUM('DUoS (t-1)'!V99,'TUoS (t-1)'!V99,'JSO (t-1)'!V99)</f>
        <v>0</v>
      </c>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57"/>
        <v>186.06969999999998</v>
      </c>
      <c r="AP99" s="184">
        <f t="shared" si="60"/>
        <v>60.314</v>
      </c>
      <c r="AQ99" s="178">
        <f t="shared" si="60"/>
        <v>0</v>
      </c>
      <c r="AR99" s="178">
        <f t="shared" si="60"/>
        <v>0</v>
      </c>
      <c r="AS99" s="179">
        <f t="shared" si="60"/>
        <v>0</v>
      </c>
      <c r="AT99" s="178">
        <f t="shared" si="60"/>
        <v>0</v>
      </c>
      <c r="AU99" s="178">
        <f t="shared" si="60"/>
        <v>0</v>
      </c>
      <c r="AV99" s="178">
        <f t="shared" si="60"/>
        <v>0</v>
      </c>
      <c r="AW99" s="179">
        <f t="shared" si="60"/>
        <v>0</v>
      </c>
      <c r="AX99" s="178">
        <f t="shared" si="61"/>
        <v>0</v>
      </c>
      <c r="AY99" s="178">
        <f t="shared" si="61"/>
        <v>0</v>
      </c>
      <c r="AZ99" s="179">
        <f t="shared" si="61"/>
        <v>0</v>
      </c>
      <c r="BA99" s="184">
        <f t="shared" si="61"/>
        <v>35.541072</v>
      </c>
      <c r="BB99" s="178">
        <f t="shared" si="61"/>
        <v>135.05000000000001</v>
      </c>
      <c r="BC99" s="184">
        <f t="shared" si="61"/>
        <v>0</v>
      </c>
      <c r="BD99" s="178">
        <f t="shared" si="61"/>
        <v>0</v>
      </c>
      <c r="BE99" s="244">
        <f>X99/$BE$7</f>
        <v>1</v>
      </c>
      <c r="BF99" s="245">
        <f t="shared" si="55"/>
        <v>11380</v>
      </c>
      <c r="BH99" s="255">
        <f t="shared" si="62"/>
        <v>186.06969999999998</v>
      </c>
      <c r="BI99" s="255">
        <f t="shared" si="63"/>
        <v>60.314</v>
      </c>
      <c r="BJ99" s="255">
        <f t="shared" si="64"/>
        <v>0</v>
      </c>
      <c r="BK99" s="256">
        <f t="shared" si="65"/>
        <v>170.591072</v>
      </c>
      <c r="BL99" s="262">
        <f t="shared" si="66"/>
        <v>0</v>
      </c>
      <c r="BM99" s="257">
        <f>SUM(BH99:BL99)</f>
        <v>416.97477199999997</v>
      </c>
      <c r="BO99" s="714">
        <f t="shared" si="59"/>
        <v>36.641016871704743</v>
      </c>
    </row>
    <row r="100" spans="2:67" ht="15" customHeight="1" x14ac:dyDescent="0.25">
      <c r="B100" s="19">
        <f t="shared" si="67"/>
        <v>5</v>
      </c>
      <c r="C100" s="44" t="s">
        <v>119</v>
      </c>
      <c r="D100" s="45"/>
      <c r="E100" s="105" t="s">
        <v>118</v>
      </c>
      <c r="G100" s="477">
        <f>SUM('DUoS (t-1)'!G100,'TUoS (t-1)'!G100,'JSO (t-1)'!G100)</f>
        <v>835.62</v>
      </c>
      <c r="H100" s="478">
        <f>SUM('DUoS (t-1)'!H100,'TUoS (t-1)'!H100,'JSO (t-1)'!H100)</f>
        <v>1.35E-2</v>
      </c>
      <c r="I100" s="461">
        <f>SUM('DUoS (t-1)'!I100,'TUoS (t-1)'!I100,'JSO (t-1)'!I100)</f>
        <v>0</v>
      </c>
      <c r="J100" s="461">
        <f>SUM('DUoS (t-1)'!J100,'TUoS (t-1)'!J100,'JSO (t-1)'!J100)</f>
        <v>0</v>
      </c>
      <c r="K100" s="462">
        <f>SUM('DUoS (t-1)'!K100,'TUoS (t-1)'!K100,'JSO (t-1)'!K100)</f>
        <v>0</v>
      </c>
      <c r="L100" s="461">
        <f>SUM('DUoS (t-1)'!L100,'TUoS (t-1)'!L100,'JSO (t-1)'!L100)</f>
        <v>0</v>
      </c>
      <c r="M100" s="461">
        <f>SUM('DUoS (t-1)'!M100,'TUoS (t-1)'!M100,'JSO (t-1)'!M100)</f>
        <v>0</v>
      </c>
      <c r="N100" s="461">
        <f>SUM('DUoS (t-1)'!N100,'TUoS (t-1)'!N100,'JSO (t-1)'!N100)</f>
        <v>0</v>
      </c>
      <c r="O100" s="462">
        <f>SUM('DUoS (t-1)'!O100,'TUoS (t-1)'!O100,'JSO (t-1)'!O100)</f>
        <v>0</v>
      </c>
      <c r="P100" s="461">
        <f>SUM('DUoS (t-1)'!P100,'TUoS (t-1)'!P100,'JSO (t-1)'!P100)</f>
        <v>0</v>
      </c>
      <c r="Q100" s="461">
        <f>SUM('DUoS (t-1)'!Q100,'TUoS (t-1)'!Q100,'JSO (t-1)'!Q100)</f>
        <v>0</v>
      </c>
      <c r="R100" s="462">
        <f>SUM('DUoS (t-1)'!R100,'TUoS (t-1)'!R100,'JSO (t-1)'!R100)</f>
        <v>0</v>
      </c>
      <c r="S100" s="478">
        <f>SUM('DUoS (t-1)'!S100,'TUoS (t-1)'!S100,'JSO (t-1)'!S100)</f>
        <v>0.1497</v>
      </c>
      <c r="T100" s="483">
        <f>SUM('DUoS (t-1)'!T100,'TUoS (t-1)'!T100,'JSO (t-1)'!T100)</f>
        <v>7.3999999999999996E-2</v>
      </c>
      <c r="U100" s="480">
        <f>SUM('DUoS (t-1)'!U100,'TUoS (t-1)'!U100,'JSO (t-1)'!U100)</f>
        <v>0</v>
      </c>
      <c r="V100" s="481">
        <f>SUM('DUoS (t-1)'!V100,'TUoS (t-1)'!V100,'JSO (t-1)'!V100)</f>
        <v>0</v>
      </c>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57"/>
        <v>305.00130000000001</v>
      </c>
      <c r="AP100" s="184">
        <f t="shared" si="60"/>
        <v>337.90499999999997</v>
      </c>
      <c r="AQ100" s="178">
        <f t="shared" si="60"/>
        <v>0</v>
      </c>
      <c r="AR100" s="178">
        <f t="shared" si="60"/>
        <v>0</v>
      </c>
      <c r="AS100" s="179">
        <f t="shared" si="60"/>
        <v>0</v>
      </c>
      <c r="AT100" s="178">
        <f t="shared" si="60"/>
        <v>0</v>
      </c>
      <c r="AU100" s="178">
        <f t="shared" si="60"/>
        <v>0</v>
      </c>
      <c r="AV100" s="178">
        <f t="shared" si="60"/>
        <v>0</v>
      </c>
      <c r="AW100" s="179">
        <f t="shared" si="60"/>
        <v>0</v>
      </c>
      <c r="AX100" s="178">
        <f t="shared" si="61"/>
        <v>0</v>
      </c>
      <c r="AY100" s="178">
        <f t="shared" si="61"/>
        <v>0</v>
      </c>
      <c r="AZ100" s="179">
        <f t="shared" si="61"/>
        <v>0</v>
      </c>
      <c r="BA100" s="184">
        <f t="shared" si="61"/>
        <v>348.2239065</v>
      </c>
      <c r="BB100" s="178">
        <f t="shared" si="61"/>
        <v>189.63720999999998</v>
      </c>
      <c r="BC100" s="184">
        <f t="shared" si="61"/>
        <v>0</v>
      </c>
      <c r="BD100" s="178">
        <f t="shared" si="61"/>
        <v>0</v>
      </c>
      <c r="BE100" s="244">
        <f t="shared" si="58"/>
        <v>1</v>
      </c>
      <c r="BF100" s="245">
        <f t="shared" si="55"/>
        <v>25030</v>
      </c>
      <c r="BH100" s="255">
        <f t="shared" si="62"/>
        <v>305.00130000000001</v>
      </c>
      <c r="BI100" s="255">
        <f t="shared" si="63"/>
        <v>337.90499999999997</v>
      </c>
      <c r="BJ100" s="255">
        <f t="shared" si="64"/>
        <v>0</v>
      </c>
      <c r="BK100" s="256">
        <f t="shared" si="65"/>
        <v>537.86111649999998</v>
      </c>
      <c r="BL100" s="262">
        <f t="shared" si="66"/>
        <v>0</v>
      </c>
      <c r="BM100" s="257">
        <f t="shared" si="56"/>
        <v>1180.7674164999999</v>
      </c>
      <c r="BO100" s="714">
        <f t="shared" si="59"/>
        <v>47.174087754694362</v>
      </c>
    </row>
    <row r="101" spans="2:67" ht="15" customHeight="1" x14ac:dyDescent="0.25">
      <c r="B101" s="19">
        <f t="shared" si="67"/>
        <v>6</v>
      </c>
      <c r="C101" s="44" t="s">
        <v>708</v>
      </c>
      <c r="D101" s="45"/>
      <c r="E101" s="105" t="s">
        <v>118</v>
      </c>
      <c r="G101" s="477">
        <f>SUM('DUoS (t-1)'!G101,'TUoS (t-1)'!G101,'JSO (t-1)'!G101)</f>
        <v>41.0959</v>
      </c>
      <c r="H101" s="478">
        <f>SUM('DUoS (t-1)'!H101,'TUoS (t-1)'!H101,'JSO (t-1)'!H101)</f>
        <v>3.3649999999999999E-2</v>
      </c>
      <c r="I101" s="461">
        <f>SUM('DUoS (t-1)'!I101,'TUoS (t-1)'!I101,'JSO (t-1)'!I101)</f>
        <v>0</v>
      </c>
      <c r="J101" s="461">
        <f>SUM('DUoS (t-1)'!J101,'TUoS (t-1)'!J101,'JSO (t-1)'!J101)</f>
        <v>0</v>
      </c>
      <c r="K101" s="462">
        <f>SUM('DUoS (t-1)'!K101,'TUoS (t-1)'!K101,'JSO (t-1)'!K101)</f>
        <v>0</v>
      </c>
      <c r="L101" s="461">
        <f>SUM('DUoS (t-1)'!L101,'TUoS (t-1)'!L101,'JSO (t-1)'!L101)</f>
        <v>0</v>
      </c>
      <c r="M101" s="461">
        <f>SUM('DUoS (t-1)'!M101,'TUoS (t-1)'!M101,'JSO (t-1)'!M101)</f>
        <v>0</v>
      </c>
      <c r="N101" s="461">
        <f>SUM('DUoS (t-1)'!N101,'TUoS (t-1)'!N101,'JSO (t-1)'!N101)</f>
        <v>0</v>
      </c>
      <c r="O101" s="462">
        <f>SUM('DUoS (t-1)'!O101,'TUoS (t-1)'!O101,'JSO (t-1)'!O101)</f>
        <v>0</v>
      </c>
      <c r="P101" s="461">
        <f>SUM('DUoS (t-1)'!P101,'TUoS (t-1)'!P101,'JSO (t-1)'!P101)</f>
        <v>0</v>
      </c>
      <c r="Q101" s="461">
        <f>SUM('DUoS (t-1)'!Q101,'TUoS (t-1)'!Q101,'JSO (t-1)'!Q101)</f>
        <v>0</v>
      </c>
      <c r="R101" s="462">
        <f>SUM('DUoS (t-1)'!R101,'TUoS (t-1)'!R101,'JSO (t-1)'!R101)</f>
        <v>0</v>
      </c>
      <c r="S101" s="478">
        <f>SUM('DUoS (t-1)'!S101,'TUoS (t-1)'!S101,'JSO (t-1)'!S101)</f>
        <v>0.21479999999999999</v>
      </c>
      <c r="T101" s="483">
        <f>SUM('DUoS (t-1)'!T101,'TUoS (t-1)'!T101,'JSO (t-1)'!T101)</f>
        <v>0.1036</v>
      </c>
      <c r="U101" s="480">
        <f>SUM('DUoS (t-1)'!U101,'TUoS (t-1)'!U101,'JSO (t-1)'!U101)</f>
        <v>0</v>
      </c>
      <c r="V101" s="481">
        <f>SUM('DUoS (t-1)'!V101,'TUoS (t-1)'!V101,'JSO (t-1)'!V101)</f>
        <v>0</v>
      </c>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 t="shared" si="57"/>
        <v>15.0000035</v>
      </c>
      <c r="AP101" s="184">
        <f t="shared" ref="AP101:AW116" si="68">H101*Y101</f>
        <v>390.07080000000002</v>
      </c>
      <c r="AQ101" s="178">
        <f t="shared" si="68"/>
        <v>0</v>
      </c>
      <c r="AR101" s="178">
        <f t="shared" si="68"/>
        <v>0</v>
      </c>
      <c r="AS101" s="179">
        <f t="shared" si="68"/>
        <v>0</v>
      </c>
      <c r="AT101" s="178">
        <f t="shared" si="68"/>
        <v>0</v>
      </c>
      <c r="AU101" s="178">
        <f t="shared" si="68"/>
        <v>0</v>
      </c>
      <c r="AV101" s="178">
        <f t="shared" si="68"/>
        <v>0</v>
      </c>
      <c r="AW101" s="179">
        <f t="shared" si="68"/>
        <v>0</v>
      </c>
      <c r="AX101" s="178">
        <f t="shared" si="61"/>
        <v>0</v>
      </c>
      <c r="AY101" s="178">
        <f t="shared" si="61"/>
        <v>0</v>
      </c>
      <c r="AZ101" s="179">
        <f t="shared" si="61"/>
        <v>0</v>
      </c>
      <c r="BA101" s="184">
        <f t="shared" si="61"/>
        <v>235.59800999999999</v>
      </c>
      <c r="BB101" s="178">
        <f t="shared" si="61"/>
        <v>189.07</v>
      </c>
      <c r="BC101" s="184">
        <f t="shared" si="61"/>
        <v>0</v>
      </c>
      <c r="BD101" s="178">
        <f t="shared" si="61"/>
        <v>0</v>
      </c>
      <c r="BE101" s="244">
        <f t="shared" si="58"/>
        <v>1</v>
      </c>
      <c r="BF101" s="245">
        <f t="shared" si="55"/>
        <v>11592</v>
      </c>
      <c r="BH101" s="255">
        <f t="shared" si="62"/>
        <v>15.0000035</v>
      </c>
      <c r="BI101" s="255">
        <f t="shared" si="63"/>
        <v>390.07080000000002</v>
      </c>
      <c r="BJ101" s="255">
        <f t="shared" si="64"/>
        <v>0</v>
      </c>
      <c r="BK101" s="256">
        <f t="shared" si="65"/>
        <v>424.66800999999998</v>
      </c>
      <c r="BL101" s="262">
        <f t="shared" si="66"/>
        <v>0</v>
      </c>
      <c r="BM101" s="257">
        <f t="shared" si="56"/>
        <v>829.73881349999999</v>
      </c>
      <c r="BO101" s="714">
        <f t="shared" si="59"/>
        <v>71.578572593167706</v>
      </c>
    </row>
    <row r="102" spans="2:67" ht="15" customHeight="1" x14ac:dyDescent="0.25">
      <c r="B102" s="19">
        <f t="shared" si="67"/>
        <v>7</v>
      </c>
      <c r="C102" s="44" t="s">
        <v>120</v>
      </c>
      <c r="D102" s="45"/>
      <c r="E102" s="105" t="s">
        <v>118</v>
      </c>
      <c r="G102" s="477">
        <f>SUM('DUoS (t-1)'!G102,'TUoS (t-1)'!G102,'JSO (t-1)'!G102)</f>
        <v>0</v>
      </c>
      <c r="H102" s="478">
        <f>SUM('DUoS (t-1)'!H102,'TUoS (t-1)'!H102,'JSO (t-1)'!H102)</f>
        <v>1.35E-2</v>
      </c>
      <c r="I102" s="461">
        <f>SUM('DUoS (t-1)'!I102,'TUoS (t-1)'!I102,'JSO (t-1)'!I102)</f>
        <v>0</v>
      </c>
      <c r="J102" s="461">
        <f>SUM('DUoS (t-1)'!J102,'TUoS (t-1)'!J102,'JSO (t-1)'!J102)</f>
        <v>0</v>
      </c>
      <c r="K102" s="462">
        <f>SUM('DUoS (t-1)'!K102,'TUoS (t-1)'!K102,'JSO (t-1)'!K102)</f>
        <v>0</v>
      </c>
      <c r="L102" s="461">
        <f>SUM('DUoS (t-1)'!L102,'TUoS (t-1)'!L102,'JSO (t-1)'!L102)</f>
        <v>0</v>
      </c>
      <c r="M102" s="461">
        <f>SUM('DUoS (t-1)'!M102,'TUoS (t-1)'!M102,'JSO (t-1)'!M102)</f>
        <v>0</v>
      </c>
      <c r="N102" s="461">
        <f>SUM('DUoS (t-1)'!N102,'TUoS (t-1)'!N102,'JSO (t-1)'!N102)</f>
        <v>0</v>
      </c>
      <c r="O102" s="462">
        <f>SUM('DUoS (t-1)'!O102,'TUoS (t-1)'!O102,'JSO (t-1)'!O102)</f>
        <v>0</v>
      </c>
      <c r="P102" s="461">
        <f>SUM('DUoS (t-1)'!P102,'TUoS (t-1)'!P102,'JSO (t-1)'!P102)</f>
        <v>0</v>
      </c>
      <c r="Q102" s="461">
        <f>SUM('DUoS (t-1)'!Q102,'TUoS (t-1)'!Q102,'JSO (t-1)'!Q102)</f>
        <v>0</v>
      </c>
      <c r="R102" s="462">
        <f>SUM('DUoS (t-1)'!R102,'TUoS (t-1)'!R102,'JSO (t-1)'!R102)</f>
        <v>0</v>
      </c>
      <c r="S102" s="478">
        <f>SUM('DUoS (t-1)'!S102,'TUoS (t-1)'!S102,'JSO (t-1)'!S102)</f>
        <v>0.1497</v>
      </c>
      <c r="T102" s="483">
        <f>SUM('DUoS (t-1)'!T102,'TUoS (t-1)'!T102,'JSO (t-1)'!T102)</f>
        <v>7.3999999999999996E-2</v>
      </c>
      <c r="U102" s="480">
        <f>SUM('DUoS (t-1)'!U102,'TUoS (t-1)'!U102,'JSO (t-1)'!U102)</f>
        <v>0</v>
      </c>
      <c r="V102" s="481">
        <f>SUM('DUoS (t-1)'!V102,'TUoS (t-1)'!V102,'JSO (t-1)'!V102)</f>
        <v>0</v>
      </c>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57"/>
        <v>0</v>
      </c>
      <c r="AP102" s="184">
        <f t="shared" si="68"/>
        <v>39.96</v>
      </c>
      <c r="AQ102" s="178">
        <f t="shared" si="68"/>
        <v>0</v>
      </c>
      <c r="AR102" s="178">
        <f t="shared" si="68"/>
        <v>0</v>
      </c>
      <c r="AS102" s="179">
        <f t="shared" si="68"/>
        <v>0</v>
      </c>
      <c r="AT102" s="178">
        <f t="shared" si="68"/>
        <v>0</v>
      </c>
      <c r="AU102" s="178">
        <f t="shared" si="68"/>
        <v>0</v>
      </c>
      <c r="AV102" s="178">
        <f t="shared" si="68"/>
        <v>0</v>
      </c>
      <c r="AW102" s="179">
        <f t="shared" si="68"/>
        <v>0</v>
      </c>
      <c r="AX102" s="178">
        <f t="shared" si="61"/>
        <v>0</v>
      </c>
      <c r="AY102" s="178">
        <f t="shared" si="61"/>
        <v>0</v>
      </c>
      <c r="AZ102" s="179">
        <f t="shared" si="61"/>
        <v>0</v>
      </c>
      <c r="BA102" s="184">
        <f t="shared" si="61"/>
        <v>194.79338250000001</v>
      </c>
      <c r="BB102" s="178">
        <f t="shared" si="61"/>
        <v>142.72084000000001</v>
      </c>
      <c r="BC102" s="184">
        <f t="shared" si="61"/>
        <v>0</v>
      </c>
      <c r="BD102" s="178">
        <f t="shared" si="61"/>
        <v>0</v>
      </c>
      <c r="BE102" s="244">
        <f t="shared" si="58"/>
        <v>1</v>
      </c>
      <c r="BF102" s="245">
        <f t="shared" si="55"/>
        <v>2960</v>
      </c>
      <c r="BH102" s="255">
        <f t="shared" si="62"/>
        <v>0</v>
      </c>
      <c r="BI102" s="255">
        <f t="shared" si="63"/>
        <v>39.96</v>
      </c>
      <c r="BJ102" s="255">
        <f t="shared" si="64"/>
        <v>0</v>
      </c>
      <c r="BK102" s="256">
        <f t="shared" si="65"/>
        <v>337.51422250000002</v>
      </c>
      <c r="BL102" s="262">
        <f t="shared" si="66"/>
        <v>0</v>
      </c>
      <c r="BM102" s="257">
        <f t="shared" si="56"/>
        <v>377.4742225</v>
      </c>
      <c r="BO102" s="714">
        <f t="shared" si="59"/>
        <v>127.52507516891892</v>
      </c>
    </row>
    <row r="103" spans="2:67" ht="15" customHeight="1" x14ac:dyDescent="0.25">
      <c r="B103" s="19">
        <f t="shared" si="67"/>
        <v>8</v>
      </c>
      <c r="C103" s="44" t="s">
        <v>121</v>
      </c>
      <c r="D103" s="45"/>
      <c r="E103" s="105" t="s">
        <v>118</v>
      </c>
      <c r="G103" s="477">
        <f>SUM('DUoS (t-1)'!G103,'TUoS (t-1)'!G103,'JSO (t-1)'!G103)</f>
        <v>1148.54</v>
      </c>
      <c r="H103" s="478">
        <f>SUM('DUoS (t-1)'!H103,'TUoS (t-1)'!H103,'JSO (t-1)'!H103)</f>
        <v>5.3E-3</v>
      </c>
      <c r="I103" s="461">
        <f>SUM('DUoS (t-1)'!I103,'TUoS (t-1)'!I103,'JSO (t-1)'!I103)</f>
        <v>0</v>
      </c>
      <c r="J103" s="461">
        <f>SUM('DUoS (t-1)'!J103,'TUoS (t-1)'!J103,'JSO (t-1)'!J103)</f>
        <v>0</v>
      </c>
      <c r="K103" s="462">
        <f>SUM('DUoS (t-1)'!K103,'TUoS (t-1)'!K103,'JSO (t-1)'!K103)</f>
        <v>0</v>
      </c>
      <c r="L103" s="461">
        <f>SUM('DUoS (t-1)'!L103,'TUoS (t-1)'!L103,'JSO (t-1)'!L103)</f>
        <v>0</v>
      </c>
      <c r="M103" s="461">
        <f>SUM('DUoS (t-1)'!M103,'TUoS (t-1)'!M103,'JSO (t-1)'!M103)</f>
        <v>0</v>
      </c>
      <c r="N103" s="461">
        <f>SUM('DUoS (t-1)'!N103,'TUoS (t-1)'!N103,'JSO (t-1)'!N103)</f>
        <v>0</v>
      </c>
      <c r="O103" s="462">
        <f>SUM('DUoS (t-1)'!O103,'TUoS (t-1)'!O103,'JSO (t-1)'!O103)</f>
        <v>0</v>
      </c>
      <c r="P103" s="461">
        <f>SUM('DUoS (t-1)'!P103,'TUoS (t-1)'!P103,'JSO (t-1)'!P103)</f>
        <v>0</v>
      </c>
      <c r="Q103" s="461">
        <f>SUM('DUoS (t-1)'!Q103,'TUoS (t-1)'!Q103,'JSO (t-1)'!Q103)</f>
        <v>0</v>
      </c>
      <c r="R103" s="462">
        <f>SUM('DUoS (t-1)'!R103,'TUoS (t-1)'!R103,'JSO (t-1)'!R103)</f>
        <v>0</v>
      </c>
      <c r="S103" s="478">
        <f>SUM('DUoS (t-1)'!S103,'TUoS (t-1)'!S103,'JSO (t-1)'!S103)</f>
        <v>4.1399999999999999E-2</v>
      </c>
      <c r="T103" s="483">
        <f>SUM('DUoS (t-1)'!T103,'TUoS (t-1)'!T103,'JSO (t-1)'!T103)</f>
        <v>7.3999999999999996E-2</v>
      </c>
      <c r="U103" s="480">
        <f>SUM('DUoS (t-1)'!U103,'TUoS (t-1)'!U103,'JSO (t-1)'!U103)</f>
        <v>0</v>
      </c>
      <c r="V103" s="481">
        <f>SUM('DUoS (t-1)'!V103,'TUoS (t-1)'!V103,'JSO (t-1)'!V103)</f>
        <v>0</v>
      </c>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57"/>
        <v>419.21709999999996</v>
      </c>
      <c r="AP103" s="184">
        <f t="shared" si="68"/>
        <v>128.79</v>
      </c>
      <c r="AQ103" s="178">
        <f t="shared" si="68"/>
        <v>0</v>
      </c>
      <c r="AR103" s="178">
        <f t="shared" si="68"/>
        <v>0</v>
      </c>
      <c r="AS103" s="179">
        <f t="shared" si="68"/>
        <v>0</v>
      </c>
      <c r="AT103" s="178">
        <f t="shared" si="68"/>
        <v>0</v>
      </c>
      <c r="AU103" s="178">
        <f t="shared" si="68"/>
        <v>0</v>
      </c>
      <c r="AV103" s="178">
        <f t="shared" si="68"/>
        <v>0</v>
      </c>
      <c r="AW103" s="179">
        <f t="shared" si="68"/>
        <v>0</v>
      </c>
      <c r="AX103" s="178">
        <f t="shared" si="61"/>
        <v>0</v>
      </c>
      <c r="AY103" s="178">
        <f t="shared" si="61"/>
        <v>0</v>
      </c>
      <c r="AZ103" s="179">
        <f t="shared" si="61"/>
        <v>0</v>
      </c>
      <c r="BA103" s="184">
        <f t="shared" si="61"/>
        <v>66.065291999999999</v>
      </c>
      <c r="BB103" s="178">
        <f t="shared" si="61"/>
        <v>135.05000000000001</v>
      </c>
      <c r="BC103" s="184">
        <f t="shared" si="61"/>
        <v>0</v>
      </c>
      <c r="BD103" s="178">
        <f t="shared" si="61"/>
        <v>0</v>
      </c>
      <c r="BE103" s="244">
        <f t="shared" si="58"/>
        <v>1</v>
      </c>
      <c r="BF103" s="245">
        <f t="shared" si="55"/>
        <v>24300</v>
      </c>
      <c r="BH103" s="255">
        <f t="shared" si="62"/>
        <v>419.21709999999996</v>
      </c>
      <c r="BI103" s="255">
        <f t="shared" si="63"/>
        <v>128.79</v>
      </c>
      <c r="BJ103" s="255">
        <f t="shared" si="64"/>
        <v>0</v>
      </c>
      <c r="BK103" s="256">
        <f t="shared" si="65"/>
        <v>201.11529200000001</v>
      </c>
      <c r="BL103" s="262">
        <f t="shared" si="66"/>
        <v>0</v>
      </c>
      <c r="BM103" s="257">
        <f t="shared" si="56"/>
        <v>749.12239199999999</v>
      </c>
      <c r="BO103" s="714">
        <f t="shared" si="59"/>
        <v>30.828081975308642</v>
      </c>
    </row>
    <row r="104" spans="2:67" ht="15" customHeight="1" x14ac:dyDescent="0.25">
      <c r="B104" s="19"/>
      <c r="C104" s="36" t="s">
        <v>124</v>
      </c>
      <c r="D104" s="85"/>
      <c r="E104" s="85"/>
      <c r="G104" s="482">
        <f>SUM('DUoS (t-1)'!G104,'TUoS (t-1)'!G104,'JSO (t-1)'!G104)</f>
        <v>0</v>
      </c>
      <c r="H104" s="479">
        <f>SUM('DUoS (t-1)'!H104,'TUoS (t-1)'!H104,'JSO (t-1)'!H104)</f>
        <v>0</v>
      </c>
      <c r="I104" s="461">
        <f>SUM('DUoS (t-1)'!I104,'TUoS (t-1)'!I104,'JSO (t-1)'!I104)</f>
        <v>0</v>
      </c>
      <c r="J104" s="461">
        <f>SUM('DUoS (t-1)'!J104,'TUoS (t-1)'!J104,'JSO (t-1)'!J104)</f>
        <v>0</v>
      </c>
      <c r="K104" s="462">
        <f>SUM('DUoS (t-1)'!K104,'TUoS (t-1)'!K104,'JSO (t-1)'!K104)</f>
        <v>0</v>
      </c>
      <c r="L104" s="461">
        <f>SUM('DUoS (t-1)'!L104,'TUoS (t-1)'!L104,'JSO (t-1)'!L104)</f>
        <v>0</v>
      </c>
      <c r="M104" s="461">
        <f>SUM('DUoS (t-1)'!M104,'TUoS (t-1)'!M104,'JSO (t-1)'!M104)</f>
        <v>0</v>
      </c>
      <c r="N104" s="461">
        <f>SUM('DUoS (t-1)'!N104,'TUoS (t-1)'!N104,'JSO (t-1)'!N104)</f>
        <v>0</v>
      </c>
      <c r="O104" s="462">
        <f>SUM('DUoS (t-1)'!O104,'TUoS (t-1)'!O104,'JSO (t-1)'!O104)</f>
        <v>0</v>
      </c>
      <c r="P104" s="461">
        <f>SUM('DUoS (t-1)'!P104,'TUoS (t-1)'!P104,'JSO (t-1)'!P104)</f>
        <v>0</v>
      </c>
      <c r="Q104" s="461">
        <f>SUM('DUoS (t-1)'!Q104,'TUoS (t-1)'!Q104,'JSO (t-1)'!Q104)</f>
        <v>0</v>
      </c>
      <c r="R104" s="462">
        <f>SUM('DUoS (t-1)'!R104,'TUoS (t-1)'!R104,'JSO (t-1)'!R104)</f>
        <v>0</v>
      </c>
      <c r="S104" s="479">
        <f>SUM('DUoS (t-1)'!S104,'TUoS (t-1)'!S104,'JSO (t-1)'!S104)</f>
        <v>0</v>
      </c>
      <c r="T104" s="461">
        <f>SUM('DUoS (t-1)'!T104,'TUoS (t-1)'!T104,'JSO (t-1)'!T104)</f>
        <v>0</v>
      </c>
      <c r="U104" s="479">
        <f>SUM('DUoS (t-1)'!U104,'TUoS (t-1)'!U104,'JSO (t-1)'!U104)</f>
        <v>0</v>
      </c>
      <c r="V104" s="462">
        <f>SUM('DUoS (t-1)'!V104,'TUoS (t-1)'!V104,'JSO (t-1)'!V104)</f>
        <v>0</v>
      </c>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57"/>
        <v>0</v>
      </c>
      <c r="AP104" s="184">
        <f t="shared" si="68"/>
        <v>0</v>
      </c>
      <c r="AQ104" s="178">
        <f t="shared" si="68"/>
        <v>0</v>
      </c>
      <c r="AR104" s="178">
        <f t="shared" si="68"/>
        <v>0</v>
      </c>
      <c r="AS104" s="179">
        <f t="shared" si="68"/>
        <v>0</v>
      </c>
      <c r="AT104" s="178">
        <f t="shared" si="68"/>
        <v>0</v>
      </c>
      <c r="AU104" s="178">
        <f t="shared" si="68"/>
        <v>0</v>
      </c>
      <c r="AV104" s="178">
        <f t="shared" si="68"/>
        <v>0</v>
      </c>
      <c r="AW104" s="179">
        <f t="shared" si="68"/>
        <v>0</v>
      </c>
      <c r="AX104" s="178">
        <f t="shared" si="61"/>
        <v>0</v>
      </c>
      <c r="AY104" s="178">
        <f t="shared" si="61"/>
        <v>0</v>
      </c>
      <c r="AZ104" s="179">
        <f t="shared" si="61"/>
        <v>0</v>
      </c>
      <c r="BA104" s="184">
        <f t="shared" si="61"/>
        <v>0</v>
      </c>
      <c r="BB104" s="178">
        <f t="shared" si="61"/>
        <v>0</v>
      </c>
      <c r="BC104" s="184">
        <f t="shared" si="61"/>
        <v>0</v>
      </c>
      <c r="BD104" s="178">
        <f t="shared" si="61"/>
        <v>0</v>
      </c>
      <c r="BE104" s="244">
        <f t="shared" si="58"/>
        <v>0</v>
      </c>
      <c r="BF104" s="245">
        <f t="shared" si="55"/>
        <v>0</v>
      </c>
      <c r="BH104" s="252">
        <f>SUBTOTAL(9,BH105:BH114)</f>
        <v>2493.5850999999998</v>
      </c>
      <c r="BI104" s="252">
        <f>SUBTOTAL(9,BI105:BI114)</f>
        <v>2288.8969999999999</v>
      </c>
      <c r="BJ104" s="252">
        <f>SUBTOTAL(9,BJ105:BJ114)</f>
        <v>0</v>
      </c>
      <c r="BK104" s="252">
        <f>SUBTOTAL(9,BK105:BK114)</f>
        <v>6328.9209675000002</v>
      </c>
      <c r="BL104" s="252">
        <f>SUBTOTAL(9,BL105:BL114)</f>
        <v>0</v>
      </c>
      <c r="BM104" s="257">
        <f t="shared" si="56"/>
        <v>11111.403067499999</v>
      </c>
      <c r="BO104" s="714" t="str">
        <f t="shared" si="59"/>
        <v/>
      </c>
    </row>
    <row r="105" spans="2:67" ht="15" customHeight="1" x14ac:dyDescent="0.25">
      <c r="B105" s="19">
        <f>B103+1</f>
        <v>9</v>
      </c>
      <c r="C105" s="44" t="s">
        <v>125</v>
      </c>
      <c r="D105" s="45"/>
      <c r="E105" s="105" t="s">
        <v>126</v>
      </c>
      <c r="G105" s="477">
        <f>SUM('DUoS (t-1)'!G105,'TUoS (t-1)'!G105,'JSO (t-1)'!G105)</f>
        <v>3207.2</v>
      </c>
      <c r="H105" s="478">
        <f>SUM('DUoS (t-1)'!H105,'TUoS (t-1)'!H105,'JSO (t-1)'!H105)</f>
        <v>5.3E-3</v>
      </c>
      <c r="I105" s="461">
        <f>SUM('DUoS (t-1)'!I105,'TUoS (t-1)'!I105,'JSO (t-1)'!I105)</f>
        <v>0</v>
      </c>
      <c r="J105" s="461">
        <f>SUM('DUoS (t-1)'!J105,'TUoS (t-1)'!J105,'JSO (t-1)'!J105)</f>
        <v>0</v>
      </c>
      <c r="K105" s="462">
        <f>SUM('DUoS (t-1)'!K105,'TUoS (t-1)'!K105,'JSO (t-1)'!K105)</f>
        <v>0</v>
      </c>
      <c r="L105" s="461">
        <f>SUM('DUoS (t-1)'!L105,'TUoS (t-1)'!L105,'JSO (t-1)'!L105)</f>
        <v>0</v>
      </c>
      <c r="M105" s="461">
        <f>SUM('DUoS (t-1)'!M105,'TUoS (t-1)'!M105,'JSO (t-1)'!M105)</f>
        <v>0</v>
      </c>
      <c r="N105" s="461">
        <f>SUM('DUoS (t-1)'!N105,'TUoS (t-1)'!N105,'JSO (t-1)'!N105)</f>
        <v>0</v>
      </c>
      <c r="O105" s="462">
        <f>SUM('DUoS (t-1)'!O105,'TUoS (t-1)'!O105,'JSO (t-1)'!O105)</f>
        <v>0</v>
      </c>
      <c r="P105" s="461">
        <f>SUM('DUoS (t-1)'!P105,'TUoS (t-1)'!P105,'JSO (t-1)'!P105)</f>
        <v>0</v>
      </c>
      <c r="Q105" s="461">
        <f>SUM('DUoS (t-1)'!Q105,'TUoS (t-1)'!Q105,'JSO (t-1)'!Q105)</f>
        <v>0</v>
      </c>
      <c r="R105" s="462">
        <f>SUM('DUoS (t-1)'!R105,'TUoS (t-1)'!R105,'JSO (t-1)'!R105)</f>
        <v>0</v>
      </c>
      <c r="S105" s="478">
        <f>SUM('DUoS (t-1)'!S105,'TUoS (t-1)'!S105,'JSO (t-1)'!S105)</f>
        <v>4.1399999999999999E-2</v>
      </c>
      <c r="T105" s="483">
        <f>SUM('DUoS (t-1)'!T105,'TUoS (t-1)'!T105,'JSO (t-1)'!T105)</f>
        <v>7.3999999999999996E-2</v>
      </c>
      <c r="U105" s="480">
        <f>SUM('DUoS (t-1)'!U105,'TUoS (t-1)'!U105,'JSO (t-1)'!U105)</f>
        <v>0</v>
      </c>
      <c r="V105" s="481">
        <f>SUM('DUoS (t-1)'!V105,'TUoS (t-1)'!V105,'JSO (t-1)'!V105)</f>
        <v>0</v>
      </c>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57"/>
        <v>1170.6279999999999</v>
      </c>
      <c r="AP105" s="184">
        <f t="shared" si="68"/>
        <v>373.65</v>
      </c>
      <c r="AQ105" s="178">
        <f t="shared" si="68"/>
        <v>0</v>
      </c>
      <c r="AR105" s="178">
        <f t="shared" si="68"/>
        <v>0</v>
      </c>
      <c r="AS105" s="179">
        <f t="shared" si="68"/>
        <v>0</v>
      </c>
      <c r="AT105" s="178">
        <f t="shared" si="68"/>
        <v>0</v>
      </c>
      <c r="AU105" s="178">
        <f t="shared" si="68"/>
        <v>0</v>
      </c>
      <c r="AV105" s="178">
        <f t="shared" si="68"/>
        <v>0</v>
      </c>
      <c r="AW105" s="179">
        <f t="shared" si="68"/>
        <v>0</v>
      </c>
      <c r="AX105" s="178">
        <f t="shared" si="61"/>
        <v>0</v>
      </c>
      <c r="AY105" s="178">
        <f t="shared" si="61"/>
        <v>0</v>
      </c>
      <c r="AZ105" s="179">
        <f t="shared" si="61"/>
        <v>0</v>
      </c>
      <c r="BA105" s="184">
        <f t="shared" si="61"/>
        <v>156.67084800000001</v>
      </c>
      <c r="BB105" s="178">
        <f t="shared" si="61"/>
        <v>307.50885</v>
      </c>
      <c r="BC105" s="184">
        <f t="shared" si="61"/>
        <v>0</v>
      </c>
      <c r="BD105" s="178">
        <f t="shared" si="61"/>
        <v>0</v>
      </c>
      <c r="BE105" s="244">
        <f t="shared" si="58"/>
        <v>1</v>
      </c>
      <c r="BF105" s="245">
        <f t="shared" si="55"/>
        <v>70500</v>
      </c>
      <c r="BH105" s="255">
        <f t="shared" ref="BH105:BH114" si="69">SUM(AO105)</f>
        <v>1170.6279999999999</v>
      </c>
      <c r="BI105" s="255">
        <f t="shared" ref="BI105:BI114" si="70">SUM(AP105:AS105)</f>
        <v>373.65</v>
      </c>
      <c r="BJ105" s="255">
        <f t="shared" ref="BJ105:BJ114" si="71">SUM(AT105:AW105)</f>
        <v>0</v>
      </c>
      <c r="BK105" s="256">
        <f t="shared" ref="BK105:BK114" si="72">SUM(AX105:BB105)</f>
        <v>464.17969800000003</v>
      </c>
      <c r="BL105" s="262">
        <f t="shared" ref="BL105:BL114" si="73">SUM(BC105:BD105)</f>
        <v>0</v>
      </c>
      <c r="BM105" s="257">
        <f t="shared" si="56"/>
        <v>2008.4576979999997</v>
      </c>
      <c r="BO105" s="714">
        <f t="shared" si="59"/>
        <v>28.488761673758859</v>
      </c>
    </row>
    <row r="106" spans="2:67" ht="15" customHeight="1" x14ac:dyDescent="0.25">
      <c r="B106" s="19">
        <f t="shared" si="67"/>
        <v>10</v>
      </c>
      <c r="C106" s="44" t="s">
        <v>127</v>
      </c>
      <c r="D106" s="45"/>
      <c r="E106" s="105" t="s">
        <v>126</v>
      </c>
      <c r="G106" s="477">
        <f>SUM('DUoS (t-1)'!G106,'TUoS (t-1)'!G106,'JSO (t-1)'!G106)</f>
        <v>113.9</v>
      </c>
      <c r="H106" s="478">
        <f>SUM('DUoS (t-1)'!H106,'TUoS (t-1)'!H106,'JSO (t-1)'!H106)</f>
        <v>5.3E-3</v>
      </c>
      <c r="I106" s="461">
        <f>SUM('DUoS (t-1)'!I106,'TUoS (t-1)'!I106,'JSO (t-1)'!I106)</f>
        <v>0</v>
      </c>
      <c r="J106" s="461">
        <f>SUM('DUoS (t-1)'!J106,'TUoS (t-1)'!J106,'JSO (t-1)'!J106)</f>
        <v>0</v>
      </c>
      <c r="K106" s="462">
        <f>SUM('DUoS (t-1)'!K106,'TUoS (t-1)'!K106,'JSO (t-1)'!K106)</f>
        <v>0</v>
      </c>
      <c r="L106" s="461">
        <f>SUM('DUoS (t-1)'!L106,'TUoS (t-1)'!L106,'JSO (t-1)'!L106)</f>
        <v>0</v>
      </c>
      <c r="M106" s="461">
        <f>SUM('DUoS (t-1)'!M106,'TUoS (t-1)'!M106,'JSO (t-1)'!M106)</f>
        <v>0</v>
      </c>
      <c r="N106" s="461">
        <f>SUM('DUoS (t-1)'!N106,'TUoS (t-1)'!N106,'JSO (t-1)'!N106)</f>
        <v>0</v>
      </c>
      <c r="O106" s="462">
        <f>SUM('DUoS (t-1)'!O106,'TUoS (t-1)'!O106,'JSO (t-1)'!O106)</f>
        <v>0</v>
      </c>
      <c r="P106" s="461">
        <f>SUM('DUoS (t-1)'!P106,'TUoS (t-1)'!P106,'JSO (t-1)'!P106)</f>
        <v>0</v>
      </c>
      <c r="Q106" s="461">
        <f>SUM('DUoS (t-1)'!Q106,'TUoS (t-1)'!Q106,'JSO (t-1)'!Q106)</f>
        <v>0</v>
      </c>
      <c r="R106" s="462">
        <f>SUM('DUoS (t-1)'!R106,'TUoS (t-1)'!R106,'JSO (t-1)'!R106)</f>
        <v>0</v>
      </c>
      <c r="S106" s="478">
        <f>SUM('DUoS (t-1)'!S106,'TUoS (t-1)'!S106,'JSO (t-1)'!S106)</f>
        <v>0.20349999999999999</v>
      </c>
      <c r="T106" s="483">
        <f>SUM('DUoS (t-1)'!T106,'TUoS (t-1)'!T106,'JSO (t-1)'!T106)</f>
        <v>7.3999999999999996E-2</v>
      </c>
      <c r="U106" s="480">
        <f>SUM('DUoS (t-1)'!U106,'TUoS (t-1)'!U106,'JSO (t-1)'!U106)</f>
        <v>0</v>
      </c>
      <c r="V106" s="481">
        <f>SUM('DUoS (t-1)'!V106,'TUoS (t-1)'!V106,'JSO (t-1)'!V106)</f>
        <v>0</v>
      </c>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57"/>
        <v>41.573500000000003</v>
      </c>
      <c r="AP106" s="184">
        <f t="shared" si="68"/>
        <v>903.65</v>
      </c>
      <c r="AQ106" s="178">
        <f t="shared" si="68"/>
        <v>0</v>
      </c>
      <c r="AR106" s="178">
        <f t="shared" si="68"/>
        <v>0</v>
      </c>
      <c r="AS106" s="179">
        <f t="shared" si="68"/>
        <v>0</v>
      </c>
      <c r="AT106" s="178">
        <f t="shared" si="68"/>
        <v>0</v>
      </c>
      <c r="AU106" s="178">
        <f t="shared" si="68"/>
        <v>0</v>
      </c>
      <c r="AV106" s="178">
        <f t="shared" si="68"/>
        <v>0</v>
      </c>
      <c r="AW106" s="179">
        <f t="shared" si="68"/>
        <v>0</v>
      </c>
      <c r="AX106" s="178">
        <f t="shared" si="61"/>
        <v>0</v>
      </c>
      <c r="AY106" s="178">
        <f t="shared" si="61"/>
        <v>0</v>
      </c>
      <c r="AZ106" s="179">
        <f t="shared" si="61"/>
        <v>0</v>
      </c>
      <c r="BA106" s="184">
        <f t="shared" si="61"/>
        <v>1795.6585624999998</v>
      </c>
      <c r="BB106" s="178">
        <f t="shared" si="61"/>
        <v>714.36047999999994</v>
      </c>
      <c r="BC106" s="184">
        <f t="shared" si="61"/>
        <v>0</v>
      </c>
      <c r="BD106" s="178">
        <f t="shared" si="61"/>
        <v>0</v>
      </c>
      <c r="BE106" s="244">
        <f t="shared" si="58"/>
        <v>1</v>
      </c>
      <c r="BF106" s="245">
        <f t="shared" si="55"/>
        <v>170500</v>
      </c>
      <c r="BH106" s="255">
        <f t="shared" si="69"/>
        <v>41.573500000000003</v>
      </c>
      <c r="BI106" s="255">
        <f t="shared" si="70"/>
        <v>903.65</v>
      </c>
      <c r="BJ106" s="255">
        <f t="shared" si="71"/>
        <v>0</v>
      </c>
      <c r="BK106" s="256">
        <f t="shared" si="72"/>
        <v>2510.0190424999996</v>
      </c>
      <c r="BL106" s="262">
        <f t="shared" si="73"/>
        <v>0</v>
      </c>
      <c r="BM106" s="257">
        <f t="shared" si="56"/>
        <v>3455.2425424999997</v>
      </c>
      <c r="BO106" s="714">
        <f t="shared" si="59"/>
        <v>20.265352155425216</v>
      </c>
    </row>
    <row r="107" spans="2:67" ht="15" customHeight="1" x14ac:dyDescent="0.25">
      <c r="B107" s="19">
        <f t="shared" si="67"/>
        <v>11</v>
      </c>
      <c r="C107" s="44" t="s">
        <v>128</v>
      </c>
      <c r="D107" s="45"/>
      <c r="E107" s="105" t="s">
        <v>126</v>
      </c>
      <c r="G107" s="477">
        <f>SUM('DUoS (t-1)'!G107,'TUoS (t-1)'!G107,'JSO (t-1)'!G107)</f>
        <v>168.9</v>
      </c>
      <c r="H107" s="478">
        <f>SUM('DUoS (t-1)'!H107,'TUoS (t-1)'!H107,'JSO (t-1)'!H107)</f>
        <v>5.3E-3</v>
      </c>
      <c r="I107" s="461">
        <f>SUM('DUoS (t-1)'!I107,'TUoS (t-1)'!I107,'JSO (t-1)'!I107)</f>
        <v>0</v>
      </c>
      <c r="J107" s="461">
        <f>SUM('DUoS (t-1)'!J107,'TUoS (t-1)'!J107,'JSO (t-1)'!J107)</f>
        <v>0</v>
      </c>
      <c r="K107" s="462">
        <f>SUM('DUoS (t-1)'!K107,'TUoS (t-1)'!K107,'JSO (t-1)'!K107)</f>
        <v>0</v>
      </c>
      <c r="L107" s="461">
        <f>SUM('DUoS (t-1)'!L107,'TUoS (t-1)'!L107,'JSO (t-1)'!L107)</f>
        <v>0</v>
      </c>
      <c r="M107" s="461">
        <f>SUM('DUoS (t-1)'!M107,'TUoS (t-1)'!M107,'JSO (t-1)'!M107)</f>
        <v>0</v>
      </c>
      <c r="N107" s="461">
        <f>SUM('DUoS (t-1)'!N107,'TUoS (t-1)'!N107,'JSO (t-1)'!N107)</f>
        <v>0</v>
      </c>
      <c r="O107" s="462">
        <f>SUM('DUoS (t-1)'!O107,'TUoS (t-1)'!O107,'JSO (t-1)'!O107)</f>
        <v>0</v>
      </c>
      <c r="P107" s="461">
        <f>SUM('DUoS (t-1)'!P107,'TUoS (t-1)'!P107,'JSO (t-1)'!P107)</f>
        <v>0</v>
      </c>
      <c r="Q107" s="461">
        <f>SUM('DUoS (t-1)'!Q107,'TUoS (t-1)'!Q107,'JSO (t-1)'!Q107)</f>
        <v>0</v>
      </c>
      <c r="R107" s="462">
        <f>SUM('DUoS (t-1)'!R107,'TUoS (t-1)'!R107,'JSO (t-1)'!R107)</f>
        <v>0</v>
      </c>
      <c r="S107" s="478">
        <f>SUM('DUoS (t-1)'!S107,'TUoS (t-1)'!S107,'JSO (t-1)'!S107)</f>
        <v>0.24179999999999999</v>
      </c>
      <c r="T107" s="483">
        <f>SUM('DUoS (t-1)'!T107,'TUoS (t-1)'!T107,'JSO (t-1)'!T107)</f>
        <v>7.3999999999999996E-2</v>
      </c>
      <c r="U107" s="480">
        <f>SUM('DUoS (t-1)'!U107,'TUoS (t-1)'!U107,'JSO (t-1)'!U107)</f>
        <v>0</v>
      </c>
      <c r="V107" s="481">
        <f>SUM('DUoS (t-1)'!V107,'TUoS (t-1)'!V107,'JSO (t-1)'!V107)</f>
        <v>0</v>
      </c>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57"/>
        <v>61.648499999999999</v>
      </c>
      <c r="AP107" s="184">
        <f t="shared" si="68"/>
        <v>131.97</v>
      </c>
      <c r="AQ107" s="178">
        <f t="shared" si="68"/>
        <v>0</v>
      </c>
      <c r="AR107" s="178">
        <f t="shared" si="68"/>
        <v>0</v>
      </c>
      <c r="AS107" s="179">
        <f t="shared" si="68"/>
        <v>0</v>
      </c>
      <c r="AT107" s="178">
        <f t="shared" si="68"/>
        <v>0</v>
      </c>
      <c r="AU107" s="178">
        <f t="shared" si="68"/>
        <v>0</v>
      </c>
      <c r="AV107" s="178">
        <f t="shared" si="68"/>
        <v>0</v>
      </c>
      <c r="AW107" s="179">
        <f t="shared" si="68"/>
        <v>0</v>
      </c>
      <c r="AX107" s="178">
        <f t="shared" si="61"/>
        <v>0</v>
      </c>
      <c r="AY107" s="178">
        <f t="shared" si="61"/>
        <v>0</v>
      </c>
      <c r="AZ107" s="179">
        <f t="shared" si="61"/>
        <v>0</v>
      </c>
      <c r="BA107" s="184">
        <f t="shared" si="61"/>
        <v>359.20598999999999</v>
      </c>
      <c r="BB107" s="178">
        <f t="shared" si="61"/>
        <v>135.05000000000001</v>
      </c>
      <c r="BC107" s="184">
        <f t="shared" si="61"/>
        <v>0</v>
      </c>
      <c r="BD107" s="178">
        <f t="shared" si="61"/>
        <v>0</v>
      </c>
      <c r="BE107" s="244">
        <f t="shared" si="58"/>
        <v>1</v>
      </c>
      <c r="BF107" s="245">
        <f t="shared" si="55"/>
        <v>24900</v>
      </c>
      <c r="BH107" s="255">
        <f t="shared" si="69"/>
        <v>61.648499999999999</v>
      </c>
      <c r="BI107" s="255">
        <f t="shared" si="70"/>
        <v>131.97</v>
      </c>
      <c r="BJ107" s="255">
        <f t="shared" si="71"/>
        <v>0</v>
      </c>
      <c r="BK107" s="256">
        <f t="shared" si="72"/>
        <v>494.25599</v>
      </c>
      <c r="BL107" s="262">
        <f t="shared" si="73"/>
        <v>0</v>
      </c>
      <c r="BM107" s="257">
        <f t="shared" si="56"/>
        <v>687.87448999999992</v>
      </c>
      <c r="BO107" s="714">
        <f t="shared" si="59"/>
        <v>27.625481526104412</v>
      </c>
    </row>
    <row r="108" spans="2:67" ht="15" customHeight="1" x14ac:dyDescent="0.25">
      <c r="B108" s="19">
        <f t="shared" si="67"/>
        <v>12</v>
      </c>
      <c r="C108" s="44"/>
      <c r="D108" s="45" t="s">
        <v>129</v>
      </c>
      <c r="E108" s="105" t="s">
        <v>126</v>
      </c>
      <c r="G108" s="477">
        <f>SUM('DUoS (t-1)'!G108,'TUoS (t-1)'!G108,'JSO (t-1)'!G108)</f>
        <v>150.5</v>
      </c>
      <c r="H108" s="478">
        <f>SUM('DUoS (t-1)'!H108,'TUoS (t-1)'!H108,'JSO (t-1)'!H108)</f>
        <v>5.3E-3</v>
      </c>
      <c r="I108" s="461">
        <f>SUM('DUoS (t-1)'!I108,'TUoS (t-1)'!I108,'JSO (t-1)'!I108)</f>
        <v>0</v>
      </c>
      <c r="J108" s="461">
        <f>SUM('DUoS (t-1)'!J108,'TUoS (t-1)'!J108,'JSO (t-1)'!J108)</f>
        <v>0</v>
      </c>
      <c r="K108" s="462">
        <f>SUM('DUoS (t-1)'!K108,'TUoS (t-1)'!K108,'JSO (t-1)'!K108)</f>
        <v>0</v>
      </c>
      <c r="L108" s="461">
        <f>SUM('DUoS (t-1)'!L108,'TUoS (t-1)'!L108,'JSO (t-1)'!L108)</f>
        <v>0</v>
      </c>
      <c r="M108" s="461">
        <f>SUM('DUoS (t-1)'!M108,'TUoS (t-1)'!M108,'JSO (t-1)'!M108)</f>
        <v>0</v>
      </c>
      <c r="N108" s="461">
        <f>SUM('DUoS (t-1)'!N108,'TUoS (t-1)'!N108,'JSO (t-1)'!N108)</f>
        <v>0</v>
      </c>
      <c r="O108" s="462">
        <f>SUM('DUoS (t-1)'!O108,'TUoS (t-1)'!O108,'JSO (t-1)'!O108)</f>
        <v>0</v>
      </c>
      <c r="P108" s="461">
        <f>SUM('DUoS (t-1)'!P108,'TUoS (t-1)'!P108,'JSO (t-1)'!P108)</f>
        <v>0</v>
      </c>
      <c r="Q108" s="461">
        <f>SUM('DUoS (t-1)'!Q108,'TUoS (t-1)'!Q108,'JSO (t-1)'!Q108)</f>
        <v>0</v>
      </c>
      <c r="R108" s="462">
        <f>SUM('DUoS (t-1)'!R108,'TUoS (t-1)'!R108,'JSO (t-1)'!R108)</f>
        <v>0</v>
      </c>
      <c r="S108" s="478">
        <f>SUM('DUoS (t-1)'!S108,'TUoS (t-1)'!S108,'JSO (t-1)'!S108)</f>
        <v>0.23579999999999998</v>
      </c>
      <c r="T108" s="483">
        <f>SUM('DUoS (t-1)'!T108,'TUoS (t-1)'!T108,'JSO (t-1)'!T108)</f>
        <v>7.3999999999999996E-2</v>
      </c>
      <c r="U108" s="480">
        <f>SUM('DUoS (t-1)'!U108,'TUoS (t-1)'!U108,'JSO (t-1)'!U108)</f>
        <v>0</v>
      </c>
      <c r="V108" s="481">
        <f>SUM('DUoS (t-1)'!V108,'TUoS (t-1)'!V108,'JSO (t-1)'!V108)</f>
        <v>0</v>
      </c>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57"/>
        <v>54.932499999999997</v>
      </c>
      <c r="AP108" s="184">
        <f t="shared" si="68"/>
        <v>134.62</v>
      </c>
      <c r="AQ108" s="178">
        <f t="shared" si="68"/>
        <v>0</v>
      </c>
      <c r="AR108" s="178">
        <f t="shared" si="68"/>
        <v>0</v>
      </c>
      <c r="AS108" s="179">
        <f t="shared" si="68"/>
        <v>0</v>
      </c>
      <c r="AT108" s="178">
        <f t="shared" si="68"/>
        <v>0</v>
      </c>
      <c r="AU108" s="178">
        <f t="shared" si="68"/>
        <v>0</v>
      </c>
      <c r="AV108" s="178">
        <f t="shared" si="68"/>
        <v>0</v>
      </c>
      <c r="AW108" s="179">
        <f t="shared" si="68"/>
        <v>0</v>
      </c>
      <c r="AX108" s="178">
        <f t="shared" si="61"/>
        <v>0</v>
      </c>
      <c r="AY108" s="178">
        <f t="shared" si="61"/>
        <v>0</v>
      </c>
      <c r="AZ108" s="179">
        <f t="shared" si="61"/>
        <v>0</v>
      </c>
      <c r="BA108" s="184">
        <f t="shared" si="61"/>
        <v>645.07216499999993</v>
      </c>
      <c r="BB108" s="178">
        <f t="shared" si="61"/>
        <v>218.34884</v>
      </c>
      <c r="BC108" s="184">
        <f t="shared" si="61"/>
        <v>0</v>
      </c>
      <c r="BD108" s="178">
        <f t="shared" si="61"/>
        <v>0</v>
      </c>
      <c r="BE108" s="244">
        <f t="shared" si="58"/>
        <v>1</v>
      </c>
      <c r="BF108" s="245">
        <f t="shared" si="55"/>
        <v>25400</v>
      </c>
      <c r="BH108" s="255">
        <f t="shared" si="69"/>
        <v>54.932499999999997</v>
      </c>
      <c r="BI108" s="255">
        <f t="shared" si="70"/>
        <v>134.62</v>
      </c>
      <c r="BJ108" s="255">
        <f t="shared" si="71"/>
        <v>0</v>
      </c>
      <c r="BK108" s="256">
        <f t="shared" si="72"/>
        <v>863.42100499999992</v>
      </c>
      <c r="BL108" s="262">
        <f t="shared" si="73"/>
        <v>0</v>
      </c>
      <c r="BM108" s="257">
        <f t="shared" si="56"/>
        <v>1052.9735049999999</v>
      </c>
      <c r="BO108" s="714">
        <f t="shared" si="59"/>
        <v>41.455649803149605</v>
      </c>
    </row>
    <row r="109" spans="2:67" ht="15" customHeight="1" x14ac:dyDescent="0.25">
      <c r="B109" s="19">
        <f t="shared" si="67"/>
        <v>13</v>
      </c>
      <c r="C109" s="44" t="s">
        <v>564</v>
      </c>
      <c r="D109" s="45"/>
      <c r="E109" s="105" t="s">
        <v>126</v>
      </c>
      <c r="G109" s="477">
        <f>SUM('DUoS (t-1)'!G109,'TUoS (t-1)'!G109,'JSO (t-1)'!G109)</f>
        <v>0</v>
      </c>
      <c r="H109" s="478">
        <f>SUM('DUoS (t-1)'!H109,'TUoS (t-1)'!H109,'JSO (t-1)'!H109)</f>
        <v>1.35E-2</v>
      </c>
      <c r="I109" s="461">
        <f>SUM('DUoS (t-1)'!I109,'TUoS (t-1)'!I109,'JSO (t-1)'!I109)</f>
        <v>0</v>
      </c>
      <c r="J109" s="461">
        <f>SUM('DUoS (t-1)'!J109,'TUoS (t-1)'!J109,'JSO (t-1)'!J109)</f>
        <v>0</v>
      </c>
      <c r="K109" s="462">
        <f>SUM('DUoS (t-1)'!K109,'TUoS (t-1)'!K109,'JSO (t-1)'!K109)</f>
        <v>0</v>
      </c>
      <c r="L109" s="461">
        <f>SUM('DUoS (t-1)'!L109,'TUoS (t-1)'!L109,'JSO (t-1)'!L109)</f>
        <v>0</v>
      </c>
      <c r="M109" s="461">
        <f>SUM('DUoS (t-1)'!M109,'TUoS (t-1)'!M109,'JSO (t-1)'!M109)</f>
        <v>0</v>
      </c>
      <c r="N109" s="461">
        <f>SUM('DUoS (t-1)'!N109,'TUoS (t-1)'!N109,'JSO (t-1)'!N109)</f>
        <v>0</v>
      </c>
      <c r="O109" s="462">
        <f>SUM('DUoS (t-1)'!O109,'TUoS (t-1)'!O109,'JSO (t-1)'!O109)</f>
        <v>0</v>
      </c>
      <c r="P109" s="461">
        <f>SUM('DUoS (t-1)'!P109,'TUoS (t-1)'!P109,'JSO (t-1)'!P109)</f>
        <v>0</v>
      </c>
      <c r="Q109" s="461">
        <f>SUM('DUoS (t-1)'!Q109,'TUoS (t-1)'!Q109,'JSO (t-1)'!Q109)</f>
        <v>0</v>
      </c>
      <c r="R109" s="462">
        <f>SUM('DUoS (t-1)'!R109,'TUoS (t-1)'!R109,'JSO (t-1)'!R109)</f>
        <v>0</v>
      </c>
      <c r="S109" s="478">
        <f>SUM('DUoS (t-1)'!S109,'TUoS (t-1)'!S109,'JSO (t-1)'!S109)</f>
        <v>0.1497</v>
      </c>
      <c r="T109" s="483">
        <f>SUM('DUoS (t-1)'!T109,'TUoS (t-1)'!T109,'JSO (t-1)'!T109)</f>
        <v>7.3999999999999996E-2</v>
      </c>
      <c r="U109" s="480">
        <f>SUM('DUoS (t-1)'!U109,'TUoS (t-1)'!U109,'JSO (t-1)'!U109)</f>
        <v>0</v>
      </c>
      <c r="V109" s="481">
        <f>SUM('DUoS (t-1)'!V109,'TUoS (t-1)'!V109,'JSO (t-1)'!V109)</f>
        <v>0</v>
      </c>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57"/>
        <v>0</v>
      </c>
      <c r="AP109" s="184">
        <f t="shared" si="68"/>
        <v>150.52500000000001</v>
      </c>
      <c r="AQ109" s="178">
        <f t="shared" si="68"/>
        <v>0</v>
      </c>
      <c r="AR109" s="178">
        <f t="shared" si="68"/>
        <v>0</v>
      </c>
      <c r="AS109" s="179">
        <f t="shared" si="68"/>
        <v>0</v>
      </c>
      <c r="AT109" s="178">
        <f t="shared" si="68"/>
        <v>0</v>
      </c>
      <c r="AU109" s="178">
        <f t="shared" si="68"/>
        <v>0</v>
      </c>
      <c r="AV109" s="178">
        <f t="shared" si="68"/>
        <v>0</v>
      </c>
      <c r="AW109" s="179">
        <f t="shared" si="68"/>
        <v>0</v>
      </c>
      <c r="AX109" s="178">
        <f t="shared" si="61"/>
        <v>0</v>
      </c>
      <c r="AY109" s="178">
        <f t="shared" si="61"/>
        <v>0</v>
      </c>
      <c r="AZ109" s="179">
        <f t="shared" si="61"/>
        <v>0</v>
      </c>
      <c r="BA109" s="184">
        <f t="shared" si="61"/>
        <v>150.042813</v>
      </c>
      <c r="BB109" s="178">
        <f t="shared" si="61"/>
        <v>135.05000000000001</v>
      </c>
      <c r="BC109" s="184">
        <f t="shared" si="61"/>
        <v>0</v>
      </c>
      <c r="BD109" s="178">
        <f t="shared" si="61"/>
        <v>0</v>
      </c>
      <c r="BE109" s="244">
        <f t="shared" si="58"/>
        <v>1</v>
      </c>
      <c r="BF109" s="245">
        <f t="shared" si="55"/>
        <v>11150</v>
      </c>
      <c r="BH109" s="255">
        <f t="shared" si="69"/>
        <v>0</v>
      </c>
      <c r="BI109" s="255">
        <f t="shared" si="70"/>
        <v>150.52500000000001</v>
      </c>
      <c r="BJ109" s="255">
        <f t="shared" si="71"/>
        <v>0</v>
      </c>
      <c r="BK109" s="256">
        <f t="shared" si="72"/>
        <v>285.09281299999998</v>
      </c>
      <c r="BL109" s="262">
        <f t="shared" si="73"/>
        <v>0</v>
      </c>
      <c r="BM109" s="257">
        <f t="shared" si="56"/>
        <v>435.61781299999996</v>
      </c>
      <c r="BO109" s="714">
        <f t="shared" si="59"/>
        <v>39.068862152466366</v>
      </c>
    </row>
    <row r="110" spans="2:67" ht="15" customHeight="1" x14ac:dyDescent="0.25">
      <c r="B110" s="19">
        <f t="shared" si="67"/>
        <v>14</v>
      </c>
      <c r="C110" s="44" t="s">
        <v>565</v>
      </c>
      <c r="D110" s="45"/>
      <c r="E110" s="105" t="s">
        <v>126</v>
      </c>
      <c r="G110" s="477">
        <f>SUM('DUoS (t-1)'!G110,'TUoS (t-1)'!G110,'JSO (t-1)'!G110)</f>
        <v>0</v>
      </c>
      <c r="H110" s="478">
        <f>SUM('DUoS (t-1)'!H110,'TUoS (t-1)'!H110,'JSO (t-1)'!H110)</f>
        <v>1.35E-2</v>
      </c>
      <c r="I110" s="461">
        <f>SUM('DUoS (t-1)'!I110,'TUoS (t-1)'!I110,'JSO (t-1)'!I110)</f>
        <v>0</v>
      </c>
      <c r="J110" s="461">
        <f>SUM('DUoS (t-1)'!J110,'TUoS (t-1)'!J110,'JSO (t-1)'!J110)</f>
        <v>0</v>
      </c>
      <c r="K110" s="462">
        <f>SUM('DUoS (t-1)'!K110,'TUoS (t-1)'!K110,'JSO (t-1)'!K110)</f>
        <v>0</v>
      </c>
      <c r="L110" s="461">
        <f>SUM('DUoS (t-1)'!L110,'TUoS (t-1)'!L110,'JSO (t-1)'!L110)</f>
        <v>0</v>
      </c>
      <c r="M110" s="461">
        <f>SUM('DUoS (t-1)'!M110,'TUoS (t-1)'!M110,'JSO (t-1)'!M110)</f>
        <v>0</v>
      </c>
      <c r="N110" s="461">
        <f>SUM('DUoS (t-1)'!N110,'TUoS (t-1)'!N110,'JSO (t-1)'!N110)</f>
        <v>0</v>
      </c>
      <c r="O110" s="462">
        <f>SUM('DUoS (t-1)'!O110,'TUoS (t-1)'!O110,'JSO (t-1)'!O110)</f>
        <v>0</v>
      </c>
      <c r="P110" s="461">
        <f>SUM('DUoS (t-1)'!P110,'TUoS (t-1)'!P110,'JSO (t-1)'!P110)</f>
        <v>0</v>
      </c>
      <c r="Q110" s="461">
        <f>SUM('DUoS (t-1)'!Q110,'TUoS (t-1)'!Q110,'JSO (t-1)'!Q110)</f>
        <v>0</v>
      </c>
      <c r="R110" s="462">
        <f>SUM('DUoS (t-1)'!R110,'TUoS (t-1)'!R110,'JSO (t-1)'!R110)</f>
        <v>0</v>
      </c>
      <c r="S110" s="478">
        <f>SUM('DUoS (t-1)'!S110,'TUoS (t-1)'!S110,'JSO (t-1)'!S110)</f>
        <v>0.1497</v>
      </c>
      <c r="T110" s="483">
        <f>SUM('DUoS (t-1)'!T110,'TUoS (t-1)'!T110,'JSO (t-1)'!T110)</f>
        <v>7.3999999999999996E-2</v>
      </c>
      <c r="U110" s="480">
        <f>SUM('DUoS (t-1)'!U110,'TUoS (t-1)'!U110,'JSO (t-1)'!U110)</f>
        <v>0</v>
      </c>
      <c r="V110" s="481">
        <f>SUM('DUoS (t-1)'!V110,'TUoS (t-1)'!V110,'JSO (t-1)'!V110)</f>
        <v>0</v>
      </c>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57"/>
        <v>0</v>
      </c>
      <c r="AP110" s="184">
        <f t="shared" si="68"/>
        <v>143.505</v>
      </c>
      <c r="AQ110" s="178">
        <f t="shared" si="68"/>
        <v>0</v>
      </c>
      <c r="AR110" s="178">
        <f t="shared" si="68"/>
        <v>0</v>
      </c>
      <c r="AS110" s="179">
        <f t="shared" si="68"/>
        <v>0</v>
      </c>
      <c r="AT110" s="178">
        <f t="shared" si="68"/>
        <v>0</v>
      </c>
      <c r="AU110" s="178">
        <f t="shared" si="68"/>
        <v>0</v>
      </c>
      <c r="AV110" s="178">
        <f t="shared" si="68"/>
        <v>0</v>
      </c>
      <c r="AW110" s="179">
        <f t="shared" si="68"/>
        <v>0</v>
      </c>
      <c r="AX110" s="178">
        <f t="shared" si="61"/>
        <v>0</v>
      </c>
      <c r="AY110" s="178">
        <f t="shared" si="61"/>
        <v>0</v>
      </c>
      <c r="AZ110" s="179">
        <f t="shared" si="61"/>
        <v>0</v>
      </c>
      <c r="BA110" s="184">
        <f t="shared" si="61"/>
        <v>90.539308500000004</v>
      </c>
      <c r="BB110" s="178">
        <f t="shared" si="61"/>
        <v>135.05000000000001</v>
      </c>
      <c r="BC110" s="184">
        <f t="shared" si="61"/>
        <v>0</v>
      </c>
      <c r="BD110" s="178">
        <f t="shared" si="61"/>
        <v>0</v>
      </c>
      <c r="BE110" s="244">
        <f t="shared" si="58"/>
        <v>1</v>
      </c>
      <c r="BF110" s="245">
        <f t="shared" si="55"/>
        <v>10630</v>
      </c>
      <c r="BH110" s="255">
        <f t="shared" si="69"/>
        <v>0</v>
      </c>
      <c r="BI110" s="255">
        <f t="shared" si="70"/>
        <v>143.505</v>
      </c>
      <c r="BJ110" s="255">
        <f t="shared" si="71"/>
        <v>0</v>
      </c>
      <c r="BK110" s="256">
        <f t="shared" si="72"/>
        <v>225.58930850000002</v>
      </c>
      <c r="BL110" s="262">
        <f t="shared" si="73"/>
        <v>0</v>
      </c>
      <c r="BM110" s="257">
        <f t="shared" si="56"/>
        <v>369.09430850000001</v>
      </c>
      <c r="BO110" s="714">
        <f t="shared" si="59"/>
        <v>34.721948118532453</v>
      </c>
    </row>
    <row r="111" spans="2:67" ht="15" customHeight="1" x14ac:dyDescent="0.25">
      <c r="B111" s="19">
        <f t="shared" si="67"/>
        <v>15</v>
      </c>
      <c r="C111" s="44" t="s">
        <v>560</v>
      </c>
      <c r="D111" s="45"/>
      <c r="E111" s="105" t="s">
        <v>126</v>
      </c>
      <c r="G111" s="477">
        <f>SUM('DUoS (t-1)'!G111,'TUoS (t-1)'!G111,'JSO (t-1)'!G111)</f>
        <v>281.20999999999998</v>
      </c>
      <c r="H111" s="478">
        <f>SUM('DUoS (t-1)'!H111,'TUoS (t-1)'!H111,'JSO (t-1)'!H111)</f>
        <v>5.3E-3</v>
      </c>
      <c r="I111" s="461">
        <f>SUM('DUoS (t-1)'!I111,'TUoS (t-1)'!I111,'JSO (t-1)'!I111)</f>
        <v>0</v>
      </c>
      <c r="J111" s="461">
        <f>SUM('DUoS (t-1)'!J111,'TUoS (t-1)'!J111,'JSO (t-1)'!J111)</f>
        <v>0</v>
      </c>
      <c r="K111" s="462">
        <f>SUM('DUoS (t-1)'!K111,'TUoS (t-1)'!K111,'JSO (t-1)'!K111)</f>
        <v>0</v>
      </c>
      <c r="L111" s="461">
        <f>SUM('DUoS (t-1)'!L111,'TUoS (t-1)'!L111,'JSO (t-1)'!L111)</f>
        <v>0</v>
      </c>
      <c r="M111" s="461">
        <f>SUM('DUoS (t-1)'!M111,'TUoS (t-1)'!M111,'JSO (t-1)'!M111)</f>
        <v>0</v>
      </c>
      <c r="N111" s="461">
        <f>SUM('DUoS (t-1)'!N111,'TUoS (t-1)'!N111,'JSO (t-1)'!N111)</f>
        <v>0</v>
      </c>
      <c r="O111" s="462">
        <f>SUM('DUoS (t-1)'!O111,'TUoS (t-1)'!O111,'JSO (t-1)'!O111)</f>
        <v>0</v>
      </c>
      <c r="P111" s="461">
        <f>SUM('DUoS (t-1)'!P111,'TUoS (t-1)'!P111,'JSO (t-1)'!P111)</f>
        <v>0</v>
      </c>
      <c r="Q111" s="461">
        <f>SUM('DUoS (t-1)'!Q111,'TUoS (t-1)'!Q111,'JSO (t-1)'!Q111)</f>
        <v>0</v>
      </c>
      <c r="R111" s="462">
        <f>SUM('DUoS (t-1)'!R111,'TUoS (t-1)'!R111,'JSO (t-1)'!R111)</f>
        <v>0</v>
      </c>
      <c r="S111" s="478">
        <f>SUM('DUoS (t-1)'!S111,'TUoS (t-1)'!S111,'JSO (t-1)'!S111)</f>
        <v>4.1399999999999999E-2</v>
      </c>
      <c r="T111" s="483">
        <f>SUM('DUoS (t-1)'!T111,'TUoS (t-1)'!T111,'JSO (t-1)'!T111)</f>
        <v>7.3999999999999996E-2</v>
      </c>
      <c r="U111" s="480">
        <f>SUM('DUoS (t-1)'!U111,'TUoS (t-1)'!U111,'JSO (t-1)'!U111)</f>
        <v>0</v>
      </c>
      <c r="V111" s="481">
        <f>SUM('DUoS (t-1)'!V111,'TUoS (t-1)'!V111,'JSO (t-1)'!V111)</f>
        <v>0</v>
      </c>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57"/>
        <v>102.64165</v>
      </c>
      <c r="AP111" s="184">
        <f t="shared" si="68"/>
        <v>21.888999999999999</v>
      </c>
      <c r="AQ111" s="178">
        <f t="shared" si="68"/>
        <v>0</v>
      </c>
      <c r="AR111" s="178">
        <f t="shared" si="68"/>
        <v>0</v>
      </c>
      <c r="AS111" s="179">
        <f t="shared" si="68"/>
        <v>0</v>
      </c>
      <c r="AT111" s="178">
        <f t="shared" si="68"/>
        <v>0</v>
      </c>
      <c r="AU111" s="178">
        <f t="shared" si="68"/>
        <v>0</v>
      </c>
      <c r="AV111" s="178">
        <f t="shared" si="68"/>
        <v>0</v>
      </c>
      <c r="AW111" s="179">
        <f t="shared" si="68"/>
        <v>0</v>
      </c>
      <c r="AX111" s="178">
        <f t="shared" si="61"/>
        <v>0</v>
      </c>
      <c r="AY111" s="178">
        <f t="shared" si="61"/>
        <v>0</v>
      </c>
      <c r="AZ111" s="179">
        <f t="shared" si="61"/>
        <v>0</v>
      </c>
      <c r="BA111" s="184">
        <f t="shared" si="61"/>
        <v>8.870156999999999</v>
      </c>
      <c r="BB111" s="178">
        <f t="shared" si="61"/>
        <v>135.05000000000001</v>
      </c>
      <c r="BC111" s="184">
        <f t="shared" si="61"/>
        <v>0</v>
      </c>
      <c r="BD111" s="178">
        <f t="shared" si="61"/>
        <v>0</v>
      </c>
      <c r="BE111" s="244">
        <f t="shared" si="58"/>
        <v>1</v>
      </c>
      <c r="BF111" s="245">
        <f t="shared" si="55"/>
        <v>4130</v>
      </c>
      <c r="BH111" s="255">
        <f t="shared" si="69"/>
        <v>102.64165</v>
      </c>
      <c r="BI111" s="255">
        <f t="shared" si="70"/>
        <v>21.888999999999999</v>
      </c>
      <c r="BJ111" s="255">
        <f t="shared" si="71"/>
        <v>0</v>
      </c>
      <c r="BK111" s="256">
        <f t="shared" si="72"/>
        <v>143.92015700000002</v>
      </c>
      <c r="BL111" s="262">
        <f t="shared" si="73"/>
        <v>0</v>
      </c>
      <c r="BM111" s="257">
        <f t="shared" si="56"/>
        <v>268.450807</v>
      </c>
      <c r="BO111" s="714">
        <f t="shared" si="59"/>
        <v>65.000195399515732</v>
      </c>
    </row>
    <row r="112" spans="2:67" ht="15" customHeight="1" x14ac:dyDescent="0.25">
      <c r="B112" s="19">
        <f t="shared" si="67"/>
        <v>16</v>
      </c>
      <c r="C112" s="44" t="s">
        <v>130</v>
      </c>
      <c r="D112" s="45"/>
      <c r="E112" s="105" t="s">
        <v>126</v>
      </c>
      <c r="G112" s="477">
        <f>SUM('DUoS (t-1)'!G112,'TUoS (t-1)'!G112,'JSO (t-1)'!G112)</f>
        <v>2192.08</v>
      </c>
      <c r="H112" s="478">
        <f>SUM('DUoS (t-1)'!H112,'TUoS (t-1)'!H112,'JSO (t-1)'!H112)</f>
        <v>5.3E-3</v>
      </c>
      <c r="I112" s="461">
        <f>SUM('DUoS (t-1)'!I112,'TUoS (t-1)'!I112,'JSO (t-1)'!I112)</f>
        <v>0</v>
      </c>
      <c r="J112" s="461">
        <f>SUM('DUoS (t-1)'!J112,'TUoS (t-1)'!J112,'JSO (t-1)'!J112)</f>
        <v>0</v>
      </c>
      <c r="K112" s="462">
        <f>SUM('DUoS (t-1)'!K112,'TUoS (t-1)'!K112,'JSO (t-1)'!K112)</f>
        <v>0</v>
      </c>
      <c r="L112" s="461">
        <f>SUM('DUoS (t-1)'!L112,'TUoS (t-1)'!L112,'JSO (t-1)'!L112)</f>
        <v>0</v>
      </c>
      <c r="M112" s="461">
        <f>SUM('DUoS (t-1)'!M112,'TUoS (t-1)'!M112,'JSO (t-1)'!M112)</f>
        <v>0</v>
      </c>
      <c r="N112" s="461">
        <f>SUM('DUoS (t-1)'!N112,'TUoS (t-1)'!N112,'JSO (t-1)'!N112)</f>
        <v>0</v>
      </c>
      <c r="O112" s="462">
        <f>SUM('DUoS (t-1)'!O112,'TUoS (t-1)'!O112,'JSO (t-1)'!O112)</f>
        <v>0</v>
      </c>
      <c r="P112" s="461">
        <f>SUM('DUoS (t-1)'!P112,'TUoS (t-1)'!P112,'JSO (t-1)'!P112)</f>
        <v>0</v>
      </c>
      <c r="Q112" s="461">
        <f>SUM('DUoS (t-1)'!Q112,'TUoS (t-1)'!Q112,'JSO (t-1)'!Q112)</f>
        <v>0</v>
      </c>
      <c r="R112" s="462">
        <f>SUM('DUoS (t-1)'!R112,'TUoS (t-1)'!R112,'JSO (t-1)'!R112)</f>
        <v>0</v>
      </c>
      <c r="S112" s="478">
        <f>SUM('DUoS (t-1)'!S112,'TUoS (t-1)'!S112,'JSO (t-1)'!S112)</f>
        <v>4.1399999999999999E-2</v>
      </c>
      <c r="T112" s="483">
        <f>SUM('DUoS (t-1)'!T112,'TUoS (t-1)'!T112,'JSO (t-1)'!T112)</f>
        <v>7.3999999999999996E-2</v>
      </c>
      <c r="U112" s="480">
        <f>SUM('DUoS (t-1)'!U112,'TUoS (t-1)'!U112,'JSO (t-1)'!U112)</f>
        <v>0</v>
      </c>
      <c r="V112" s="481">
        <f>SUM('DUoS (t-1)'!V112,'TUoS (t-1)'!V112,'JSO (t-1)'!V112)</f>
        <v>0</v>
      </c>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57"/>
        <v>800.10919999999999</v>
      </c>
      <c r="AP112" s="184">
        <f t="shared" si="68"/>
        <v>160.59</v>
      </c>
      <c r="AQ112" s="178">
        <f t="shared" si="68"/>
        <v>0</v>
      </c>
      <c r="AR112" s="178">
        <f t="shared" si="68"/>
        <v>0</v>
      </c>
      <c r="AS112" s="179">
        <f t="shared" si="68"/>
        <v>0</v>
      </c>
      <c r="AT112" s="178">
        <f t="shared" si="68"/>
        <v>0</v>
      </c>
      <c r="AU112" s="178">
        <f t="shared" si="68"/>
        <v>0</v>
      </c>
      <c r="AV112" s="178">
        <f t="shared" si="68"/>
        <v>0</v>
      </c>
      <c r="AW112" s="179">
        <f t="shared" si="68"/>
        <v>0</v>
      </c>
      <c r="AX112" s="178">
        <f t="shared" si="61"/>
        <v>0</v>
      </c>
      <c r="AY112" s="178">
        <f t="shared" si="61"/>
        <v>0</v>
      </c>
      <c r="AZ112" s="179">
        <f t="shared" si="61"/>
        <v>0</v>
      </c>
      <c r="BA112" s="184">
        <f t="shared" si="61"/>
        <v>149.55356700000002</v>
      </c>
      <c r="BB112" s="178">
        <f t="shared" si="61"/>
        <v>351.69720999999998</v>
      </c>
      <c r="BC112" s="184">
        <f t="shared" si="61"/>
        <v>0</v>
      </c>
      <c r="BD112" s="178">
        <f t="shared" si="61"/>
        <v>0</v>
      </c>
      <c r="BE112" s="244">
        <f t="shared" si="58"/>
        <v>1</v>
      </c>
      <c r="BF112" s="245">
        <f t="shared" ref="BF112:BF129" si="74">SUM(Y112:AF112)</f>
        <v>30300</v>
      </c>
      <c r="BH112" s="255">
        <f t="shared" si="69"/>
        <v>800.10919999999999</v>
      </c>
      <c r="BI112" s="255">
        <f t="shared" si="70"/>
        <v>160.59</v>
      </c>
      <c r="BJ112" s="255">
        <f t="shared" si="71"/>
        <v>0</v>
      </c>
      <c r="BK112" s="256">
        <f t="shared" si="72"/>
        <v>501.25077699999997</v>
      </c>
      <c r="BL112" s="262">
        <f t="shared" si="73"/>
        <v>0</v>
      </c>
      <c r="BM112" s="257">
        <f t="shared" si="56"/>
        <v>1461.949977</v>
      </c>
      <c r="BO112" s="714">
        <f t="shared" si="59"/>
        <v>48.24917415841584</v>
      </c>
    </row>
    <row r="113" spans="2:67" ht="15" customHeight="1" x14ac:dyDescent="0.25">
      <c r="B113" s="19">
        <f t="shared" si="67"/>
        <v>17</v>
      </c>
      <c r="C113" s="44" t="s">
        <v>131</v>
      </c>
      <c r="D113" s="45"/>
      <c r="E113" s="105" t="s">
        <v>126</v>
      </c>
      <c r="G113" s="477">
        <f>SUM('DUoS (t-1)'!G113,'TUoS (t-1)'!G113,'JSO (t-1)'!G113)</f>
        <v>118.64000000000001</v>
      </c>
      <c r="H113" s="478">
        <f>SUM('DUoS (t-1)'!H113,'TUoS (t-1)'!H113,'JSO (t-1)'!H113)</f>
        <v>5.3E-3</v>
      </c>
      <c r="I113" s="461">
        <f>SUM('DUoS (t-1)'!I113,'TUoS (t-1)'!I113,'JSO (t-1)'!I113)</f>
        <v>0</v>
      </c>
      <c r="J113" s="461">
        <f>SUM('DUoS (t-1)'!J113,'TUoS (t-1)'!J113,'JSO (t-1)'!J113)</f>
        <v>0</v>
      </c>
      <c r="K113" s="462">
        <f>SUM('DUoS (t-1)'!K113,'TUoS (t-1)'!K113,'JSO (t-1)'!K113)</f>
        <v>0</v>
      </c>
      <c r="L113" s="461">
        <f>SUM('DUoS (t-1)'!L113,'TUoS (t-1)'!L113,'JSO (t-1)'!L113)</f>
        <v>0</v>
      </c>
      <c r="M113" s="461">
        <f>SUM('DUoS (t-1)'!M113,'TUoS (t-1)'!M113,'JSO (t-1)'!M113)</f>
        <v>0</v>
      </c>
      <c r="N113" s="461">
        <f>SUM('DUoS (t-1)'!N113,'TUoS (t-1)'!N113,'JSO (t-1)'!N113)</f>
        <v>0</v>
      </c>
      <c r="O113" s="462">
        <f>SUM('DUoS (t-1)'!O113,'TUoS (t-1)'!O113,'JSO (t-1)'!O113)</f>
        <v>0</v>
      </c>
      <c r="P113" s="461">
        <f>SUM('DUoS (t-1)'!P113,'TUoS (t-1)'!P113,'JSO (t-1)'!P113)</f>
        <v>0</v>
      </c>
      <c r="Q113" s="461">
        <f>SUM('DUoS (t-1)'!Q113,'TUoS (t-1)'!Q113,'JSO (t-1)'!Q113)</f>
        <v>0</v>
      </c>
      <c r="R113" s="462">
        <f>SUM('DUoS (t-1)'!R113,'TUoS (t-1)'!R113,'JSO (t-1)'!R113)</f>
        <v>0</v>
      </c>
      <c r="S113" s="478">
        <f>SUM('DUoS (t-1)'!S113,'TUoS (t-1)'!S113,'JSO (t-1)'!S113)</f>
        <v>0.20369999999999999</v>
      </c>
      <c r="T113" s="483">
        <f>SUM('DUoS (t-1)'!T113,'TUoS (t-1)'!T113,'JSO (t-1)'!T113)</f>
        <v>7.3999999999999996E-2</v>
      </c>
      <c r="U113" s="480">
        <f>SUM('DUoS (t-1)'!U113,'TUoS (t-1)'!U113,'JSO (t-1)'!U113)</f>
        <v>0</v>
      </c>
      <c r="V113" s="481">
        <f>SUM('DUoS (t-1)'!V113,'TUoS (t-1)'!V113,'JSO (t-1)'!V113)</f>
        <v>0</v>
      </c>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57"/>
        <v>43.303600000000003</v>
      </c>
      <c r="AP113" s="184">
        <f t="shared" si="68"/>
        <v>253.34</v>
      </c>
      <c r="AQ113" s="178">
        <f t="shared" si="68"/>
        <v>0</v>
      </c>
      <c r="AR113" s="178">
        <f t="shared" si="68"/>
        <v>0</v>
      </c>
      <c r="AS113" s="179">
        <f t="shared" si="68"/>
        <v>0</v>
      </c>
      <c r="AT113" s="178">
        <f t="shared" si="68"/>
        <v>0</v>
      </c>
      <c r="AU113" s="178">
        <f t="shared" si="68"/>
        <v>0</v>
      </c>
      <c r="AV113" s="178">
        <f t="shared" si="68"/>
        <v>0</v>
      </c>
      <c r="AW113" s="179">
        <f t="shared" si="68"/>
        <v>0</v>
      </c>
      <c r="AX113" s="178">
        <f t="shared" si="61"/>
        <v>0</v>
      </c>
      <c r="AY113" s="178">
        <f t="shared" si="61"/>
        <v>0</v>
      </c>
      <c r="AZ113" s="179">
        <f t="shared" si="61"/>
        <v>0</v>
      </c>
      <c r="BA113" s="184">
        <f t="shared" si="61"/>
        <v>491.67985649999997</v>
      </c>
      <c r="BB113" s="178">
        <f t="shared" si="61"/>
        <v>195.12024</v>
      </c>
      <c r="BC113" s="184">
        <f t="shared" si="61"/>
        <v>0</v>
      </c>
      <c r="BD113" s="178">
        <f t="shared" si="61"/>
        <v>0</v>
      </c>
      <c r="BE113" s="244">
        <f t="shared" si="58"/>
        <v>1</v>
      </c>
      <c r="BF113" s="245">
        <f t="shared" si="74"/>
        <v>47800</v>
      </c>
      <c r="BH113" s="255">
        <f t="shared" si="69"/>
        <v>43.303600000000003</v>
      </c>
      <c r="BI113" s="255">
        <f t="shared" si="70"/>
        <v>253.34</v>
      </c>
      <c r="BJ113" s="255">
        <f t="shared" si="71"/>
        <v>0</v>
      </c>
      <c r="BK113" s="256">
        <f t="shared" si="72"/>
        <v>686.8000965</v>
      </c>
      <c r="BL113" s="262">
        <f t="shared" si="73"/>
        <v>0</v>
      </c>
      <c r="BM113" s="257">
        <f t="shared" si="56"/>
        <v>983.44369649999999</v>
      </c>
      <c r="BO113" s="714">
        <f t="shared" si="59"/>
        <v>20.574135910041839</v>
      </c>
    </row>
    <row r="114" spans="2:67" ht="15" customHeight="1" x14ac:dyDescent="0.25">
      <c r="B114" s="19">
        <f t="shared" si="67"/>
        <v>18</v>
      </c>
      <c r="C114" s="44" t="s">
        <v>561</v>
      </c>
      <c r="D114" s="45"/>
      <c r="E114" s="105" t="s">
        <v>126</v>
      </c>
      <c r="G114" s="477">
        <f>SUM('DUoS (t-1)'!G114,'TUoS (t-1)'!G114,'JSO (t-1)'!G114)</f>
        <v>599.30999999999995</v>
      </c>
      <c r="H114" s="478">
        <f>SUM('DUoS (t-1)'!H114,'TUoS (t-1)'!H114,'JSO (t-1)'!H114)</f>
        <v>5.3E-3</v>
      </c>
      <c r="I114" s="461">
        <f>SUM('DUoS (t-1)'!I114,'TUoS (t-1)'!I114,'JSO (t-1)'!I114)</f>
        <v>0</v>
      </c>
      <c r="J114" s="461">
        <f>SUM('DUoS (t-1)'!J114,'TUoS (t-1)'!J114,'JSO (t-1)'!J114)</f>
        <v>0</v>
      </c>
      <c r="K114" s="462">
        <f>SUM('DUoS (t-1)'!K114,'TUoS (t-1)'!K114,'JSO (t-1)'!K114)</f>
        <v>0</v>
      </c>
      <c r="L114" s="461">
        <f>SUM('DUoS (t-1)'!L114,'TUoS (t-1)'!L114,'JSO (t-1)'!L114)</f>
        <v>0</v>
      </c>
      <c r="M114" s="461">
        <f>SUM('DUoS (t-1)'!M114,'TUoS (t-1)'!M114,'JSO (t-1)'!M114)</f>
        <v>0</v>
      </c>
      <c r="N114" s="461">
        <f>SUM('DUoS (t-1)'!N114,'TUoS (t-1)'!N114,'JSO (t-1)'!N114)</f>
        <v>0</v>
      </c>
      <c r="O114" s="462">
        <f>SUM('DUoS (t-1)'!O114,'TUoS (t-1)'!O114,'JSO (t-1)'!O114)</f>
        <v>0</v>
      </c>
      <c r="P114" s="461">
        <f>SUM('DUoS (t-1)'!P114,'TUoS (t-1)'!P114,'JSO (t-1)'!P114)</f>
        <v>0</v>
      </c>
      <c r="Q114" s="461">
        <f>SUM('DUoS (t-1)'!Q114,'TUoS (t-1)'!Q114,'JSO (t-1)'!Q114)</f>
        <v>0</v>
      </c>
      <c r="R114" s="462">
        <f>SUM('DUoS (t-1)'!R114,'TUoS (t-1)'!R114,'JSO (t-1)'!R114)</f>
        <v>0</v>
      </c>
      <c r="S114" s="478">
        <f>SUM('DUoS (t-1)'!S114,'TUoS (t-1)'!S114,'JSO (t-1)'!S114)</f>
        <v>4.1399999999999999E-2</v>
      </c>
      <c r="T114" s="483">
        <f>SUM('DUoS (t-1)'!T114,'TUoS (t-1)'!T114,'JSO (t-1)'!T114)</f>
        <v>7.3999999999999996E-2</v>
      </c>
      <c r="U114" s="480">
        <f>SUM('DUoS (t-1)'!U114,'TUoS (t-1)'!U114,'JSO (t-1)'!U114)</f>
        <v>0</v>
      </c>
      <c r="V114" s="481">
        <f>SUM('DUoS (t-1)'!V114,'TUoS (t-1)'!V114,'JSO (t-1)'!V114)</f>
        <v>0</v>
      </c>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57"/>
        <v>218.74814999999998</v>
      </c>
      <c r="AP114" s="184">
        <f t="shared" si="68"/>
        <v>15.157999999999999</v>
      </c>
      <c r="AQ114" s="178">
        <f t="shared" si="68"/>
        <v>0</v>
      </c>
      <c r="AR114" s="178">
        <f t="shared" si="68"/>
        <v>0</v>
      </c>
      <c r="AS114" s="179">
        <f t="shared" si="68"/>
        <v>0</v>
      </c>
      <c r="AT114" s="178">
        <f t="shared" si="68"/>
        <v>0</v>
      </c>
      <c r="AU114" s="178">
        <f t="shared" si="68"/>
        <v>0</v>
      </c>
      <c r="AV114" s="178">
        <f t="shared" si="68"/>
        <v>0</v>
      </c>
      <c r="AW114" s="179">
        <f t="shared" si="68"/>
        <v>0</v>
      </c>
      <c r="AX114" s="178">
        <f t="shared" si="61"/>
        <v>0</v>
      </c>
      <c r="AY114" s="178">
        <f t="shared" si="61"/>
        <v>0</v>
      </c>
      <c r="AZ114" s="179">
        <f t="shared" si="61"/>
        <v>0</v>
      </c>
      <c r="BA114" s="184">
        <f t="shared" si="61"/>
        <v>19.342079999999999</v>
      </c>
      <c r="BB114" s="178">
        <f t="shared" si="61"/>
        <v>135.05000000000001</v>
      </c>
      <c r="BC114" s="184">
        <f t="shared" si="61"/>
        <v>0</v>
      </c>
      <c r="BD114" s="178">
        <f t="shared" si="61"/>
        <v>0</v>
      </c>
      <c r="BE114" s="244">
        <f t="shared" si="58"/>
        <v>1</v>
      </c>
      <c r="BF114" s="245">
        <f t="shared" si="74"/>
        <v>2860</v>
      </c>
      <c r="BH114" s="255">
        <f t="shared" si="69"/>
        <v>218.74814999999998</v>
      </c>
      <c r="BI114" s="255">
        <f t="shared" si="70"/>
        <v>15.157999999999999</v>
      </c>
      <c r="BJ114" s="255">
        <f t="shared" si="71"/>
        <v>0</v>
      </c>
      <c r="BK114" s="256">
        <f t="shared" si="72"/>
        <v>154.39208000000002</v>
      </c>
      <c r="BL114" s="262">
        <f t="shared" si="73"/>
        <v>0</v>
      </c>
      <c r="BM114" s="257">
        <f t="shared" si="56"/>
        <v>388.29822999999999</v>
      </c>
      <c r="BO114" s="714">
        <f t="shared" si="59"/>
        <v>135.76861188811188</v>
      </c>
    </row>
    <row r="115" spans="2:67" ht="15" customHeight="1" x14ac:dyDescent="0.25">
      <c r="B115" s="19"/>
      <c r="C115" s="36" t="s">
        <v>132</v>
      </c>
      <c r="D115" s="85"/>
      <c r="E115" s="85"/>
      <c r="G115" s="482">
        <f>SUM('DUoS (t-1)'!G115,'TUoS (t-1)'!G115,'JSO (t-1)'!G115)</f>
        <v>0</v>
      </c>
      <c r="H115" s="479">
        <f>SUM('DUoS (t-1)'!H115,'TUoS (t-1)'!H115,'JSO (t-1)'!H115)</f>
        <v>0</v>
      </c>
      <c r="I115" s="461">
        <f>SUM('DUoS (t-1)'!I115,'TUoS (t-1)'!I115,'JSO (t-1)'!I115)</f>
        <v>0</v>
      </c>
      <c r="J115" s="461">
        <f>SUM('DUoS (t-1)'!J115,'TUoS (t-1)'!J115,'JSO (t-1)'!J115)</f>
        <v>0</v>
      </c>
      <c r="K115" s="462">
        <f>SUM('DUoS (t-1)'!K115,'TUoS (t-1)'!K115,'JSO (t-1)'!K115)</f>
        <v>0</v>
      </c>
      <c r="L115" s="461">
        <f>SUM('DUoS (t-1)'!L115,'TUoS (t-1)'!L115,'JSO (t-1)'!L115)</f>
        <v>0</v>
      </c>
      <c r="M115" s="461">
        <f>SUM('DUoS (t-1)'!M115,'TUoS (t-1)'!M115,'JSO (t-1)'!M115)</f>
        <v>0</v>
      </c>
      <c r="N115" s="461">
        <f>SUM('DUoS (t-1)'!N115,'TUoS (t-1)'!N115,'JSO (t-1)'!N115)</f>
        <v>0</v>
      </c>
      <c r="O115" s="462">
        <f>SUM('DUoS (t-1)'!O115,'TUoS (t-1)'!O115,'JSO (t-1)'!O115)</f>
        <v>0</v>
      </c>
      <c r="P115" s="461">
        <f>SUM('DUoS (t-1)'!P115,'TUoS (t-1)'!P115,'JSO (t-1)'!P115)</f>
        <v>0</v>
      </c>
      <c r="Q115" s="461">
        <f>SUM('DUoS (t-1)'!Q115,'TUoS (t-1)'!Q115,'JSO (t-1)'!Q115)</f>
        <v>0</v>
      </c>
      <c r="R115" s="462">
        <f>SUM('DUoS (t-1)'!R115,'TUoS (t-1)'!R115,'JSO (t-1)'!R115)</f>
        <v>0</v>
      </c>
      <c r="S115" s="479">
        <f>SUM('DUoS (t-1)'!S115,'TUoS (t-1)'!S115,'JSO (t-1)'!S115)</f>
        <v>0</v>
      </c>
      <c r="T115" s="461">
        <f>SUM('DUoS (t-1)'!T115,'TUoS (t-1)'!T115,'JSO (t-1)'!T115)</f>
        <v>0</v>
      </c>
      <c r="U115" s="479">
        <f>SUM('DUoS (t-1)'!U115,'TUoS (t-1)'!U115,'JSO (t-1)'!U115)</f>
        <v>0</v>
      </c>
      <c r="V115" s="462">
        <f>SUM('DUoS (t-1)'!V115,'TUoS (t-1)'!V115,'JSO (t-1)'!V115)</f>
        <v>0</v>
      </c>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57"/>
        <v>0</v>
      </c>
      <c r="AP115" s="184">
        <f t="shared" si="68"/>
        <v>0</v>
      </c>
      <c r="AQ115" s="178">
        <f t="shared" si="68"/>
        <v>0</v>
      </c>
      <c r="AR115" s="178">
        <f t="shared" si="68"/>
        <v>0</v>
      </c>
      <c r="AS115" s="179">
        <f t="shared" si="68"/>
        <v>0</v>
      </c>
      <c r="AT115" s="178">
        <f t="shared" si="68"/>
        <v>0</v>
      </c>
      <c r="AU115" s="178">
        <f t="shared" si="68"/>
        <v>0</v>
      </c>
      <c r="AV115" s="178">
        <f t="shared" si="68"/>
        <v>0</v>
      </c>
      <c r="AW115" s="179">
        <f t="shared" si="68"/>
        <v>0</v>
      </c>
      <c r="AX115" s="178">
        <f t="shared" si="61"/>
        <v>0</v>
      </c>
      <c r="AY115" s="178">
        <f t="shared" si="61"/>
        <v>0</v>
      </c>
      <c r="AZ115" s="179">
        <f t="shared" si="61"/>
        <v>0</v>
      </c>
      <c r="BA115" s="184">
        <f t="shared" si="61"/>
        <v>0</v>
      </c>
      <c r="BB115" s="178">
        <f t="shared" si="61"/>
        <v>0</v>
      </c>
      <c r="BC115" s="184">
        <f t="shared" si="61"/>
        <v>0</v>
      </c>
      <c r="BD115" s="178">
        <f t="shared" si="61"/>
        <v>0</v>
      </c>
      <c r="BE115" s="244">
        <f t="shared" si="58"/>
        <v>0</v>
      </c>
      <c r="BF115" s="245">
        <f t="shared" si="74"/>
        <v>0</v>
      </c>
      <c r="BH115" s="252">
        <f>SUBTOTAL(9,BH116:BH119)</f>
        <v>530.00189999999998</v>
      </c>
      <c r="BI115" s="252">
        <f>SUBTOTAL(9,BI116:BI119)</f>
        <v>191.31600000000003</v>
      </c>
      <c r="BJ115" s="252">
        <f>SUBTOTAL(9,BJ116:BJ119)</f>
        <v>0</v>
      </c>
      <c r="BK115" s="252">
        <f>SUBTOTAL(9,BK116:BK119)</f>
        <v>472.97331450000001</v>
      </c>
      <c r="BL115" s="252">
        <f>SUBTOTAL(9,BL116:BL119)</f>
        <v>0</v>
      </c>
      <c r="BM115" s="257">
        <f t="shared" si="56"/>
        <v>1194.2912145</v>
      </c>
      <c r="BO115" s="714" t="str">
        <f t="shared" si="59"/>
        <v/>
      </c>
    </row>
    <row r="116" spans="2:67" ht="15" customHeight="1" x14ac:dyDescent="0.25">
      <c r="B116" s="19">
        <f>B114+1</f>
        <v>19</v>
      </c>
      <c r="C116" s="44" t="s">
        <v>133</v>
      </c>
      <c r="D116" s="45"/>
      <c r="E116" s="105" t="s">
        <v>134</v>
      </c>
      <c r="G116" s="477">
        <f>SUM('DUoS (t-1)'!G116,'TUoS (t-1)'!G116,'JSO (t-1)'!G116)</f>
        <v>0</v>
      </c>
      <c r="H116" s="478">
        <f>SUM('DUoS (t-1)'!H116,'TUoS (t-1)'!H116,'JSO (t-1)'!H116)</f>
        <v>1.0700000000000001E-2</v>
      </c>
      <c r="I116" s="461">
        <f>SUM('DUoS (t-1)'!I116,'TUoS (t-1)'!I116,'JSO (t-1)'!I116)</f>
        <v>0</v>
      </c>
      <c r="J116" s="461">
        <f>SUM('DUoS (t-1)'!J116,'TUoS (t-1)'!J116,'JSO (t-1)'!J116)</f>
        <v>0</v>
      </c>
      <c r="K116" s="462">
        <f>SUM('DUoS (t-1)'!K116,'TUoS (t-1)'!K116,'JSO (t-1)'!K116)</f>
        <v>0</v>
      </c>
      <c r="L116" s="461">
        <f>SUM('DUoS (t-1)'!L116,'TUoS (t-1)'!L116,'JSO (t-1)'!L116)</f>
        <v>0</v>
      </c>
      <c r="M116" s="461">
        <f>SUM('DUoS (t-1)'!M116,'TUoS (t-1)'!M116,'JSO (t-1)'!M116)</f>
        <v>0</v>
      </c>
      <c r="N116" s="461">
        <f>SUM('DUoS (t-1)'!N116,'TUoS (t-1)'!N116,'JSO (t-1)'!N116)</f>
        <v>0</v>
      </c>
      <c r="O116" s="462">
        <f>SUM('DUoS (t-1)'!O116,'TUoS (t-1)'!O116,'JSO (t-1)'!O116)</f>
        <v>0</v>
      </c>
      <c r="P116" s="461">
        <f>SUM('DUoS (t-1)'!P116,'TUoS (t-1)'!P116,'JSO (t-1)'!P116)</f>
        <v>0</v>
      </c>
      <c r="Q116" s="461">
        <f>SUM('DUoS (t-1)'!Q116,'TUoS (t-1)'!Q116,'JSO (t-1)'!Q116)</f>
        <v>0</v>
      </c>
      <c r="R116" s="462">
        <f>SUM('DUoS (t-1)'!R116,'TUoS (t-1)'!R116,'JSO (t-1)'!R116)</f>
        <v>0</v>
      </c>
      <c r="S116" s="478">
        <f>SUM('DUoS (t-1)'!S116,'TUoS (t-1)'!S116,'JSO (t-1)'!S116)</f>
        <v>0.10829999999999999</v>
      </c>
      <c r="T116" s="483">
        <f>SUM('DUoS (t-1)'!T116,'TUoS (t-1)'!T116,'JSO (t-1)'!T116)</f>
        <v>4.1399999999999999E-2</v>
      </c>
      <c r="U116" s="480">
        <f>SUM('DUoS (t-1)'!U116,'TUoS (t-1)'!U116,'JSO (t-1)'!U116)</f>
        <v>0</v>
      </c>
      <c r="V116" s="481">
        <f>SUM('DUoS (t-1)'!V116,'TUoS (t-1)'!V116,'JSO (t-1)'!V116)</f>
        <v>0</v>
      </c>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57"/>
        <v>0</v>
      </c>
      <c r="AP116" s="184">
        <f t="shared" si="68"/>
        <v>0</v>
      </c>
      <c r="AQ116" s="178">
        <f t="shared" si="68"/>
        <v>0</v>
      </c>
      <c r="AR116" s="178">
        <f t="shared" si="68"/>
        <v>0</v>
      </c>
      <c r="AS116" s="179">
        <f t="shared" si="68"/>
        <v>0</v>
      </c>
      <c r="AT116" s="178">
        <f t="shared" si="68"/>
        <v>0</v>
      </c>
      <c r="AU116" s="178">
        <f t="shared" si="68"/>
        <v>0</v>
      </c>
      <c r="AV116" s="178">
        <f t="shared" si="68"/>
        <v>0</v>
      </c>
      <c r="AW116" s="179">
        <f t="shared" si="68"/>
        <v>0</v>
      </c>
      <c r="AX116" s="178">
        <f t="shared" si="61"/>
        <v>0</v>
      </c>
      <c r="AY116" s="178">
        <f t="shared" si="61"/>
        <v>0</v>
      </c>
      <c r="AZ116" s="179">
        <f t="shared" si="61"/>
        <v>0</v>
      </c>
      <c r="BA116" s="184">
        <f t="shared" si="61"/>
        <v>0</v>
      </c>
      <c r="BB116" s="178">
        <f t="shared" si="61"/>
        <v>0</v>
      </c>
      <c r="BC116" s="184">
        <f t="shared" si="61"/>
        <v>0</v>
      </c>
      <c r="BD116" s="178">
        <f t="shared" si="61"/>
        <v>0</v>
      </c>
      <c r="BE116" s="244">
        <f t="shared" si="58"/>
        <v>0</v>
      </c>
      <c r="BF116" s="245">
        <f t="shared" si="74"/>
        <v>0</v>
      </c>
      <c r="BH116" s="255">
        <f>SUM(AO116)</f>
        <v>0</v>
      </c>
      <c r="BI116" s="255">
        <f>SUM(AP116:AS116)</f>
        <v>0</v>
      </c>
      <c r="BJ116" s="255">
        <f>SUM(AT116:AW116)</f>
        <v>0</v>
      </c>
      <c r="BK116" s="256">
        <f>SUM(AX116:BB116)</f>
        <v>0</v>
      </c>
      <c r="BL116" s="262">
        <f>SUM(BC116:BD116)</f>
        <v>0</v>
      </c>
      <c r="BM116" s="257">
        <f t="shared" si="56"/>
        <v>0</v>
      </c>
      <c r="BO116" s="714" t="str">
        <f t="shared" si="59"/>
        <v/>
      </c>
    </row>
    <row r="117" spans="2:67" ht="15" customHeight="1" x14ac:dyDescent="0.25">
      <c r="B117" s="19">
        <f>B116+1</f>
        <v>20</v>
      </c>
      <c r="C117" s="44" t="s">
        <v>135</v>
      </c>
      <c r="D117" s="45"/>
      <c r="E117" s="105" t="s">
        <v>136</v>
      </c>
      <c r="G117" s="477">
        <f>SUM('DUoS (t-1)'!G117,'TUoS (t-1)'!G117,'JSO (t-1)'!G117)</f>
        <v>0</v>
      </c>
      <c r="H117" s="478">
        <f>SUM('DUoS (t-1)'!H117,'TUoS (t-1)'!H117,'JSO (t-1)'!H117)</f>
        <v>1.0700000000000001E-2</v>
      </c>
      <c r="I117" s="461">
        <f>SUM('DUoS (t-1)'!I117,'TUoS (t-1)'!I117,'JSO (t-1)'!I117)</f>
        <v>0</v>
      </c>
      <c r="J117" s="461">
        <f>SUM('DUoS (t-1)'!J117,'TUoS (t-1)'!J117,'JSO (t-1)'!J117)</f>
        <v>0</v>
      </c>
      <c r="K117" s="462">
        <f>SUM('DUoS (t-1)'!K117,'TUoS (t-1)'!K117,'JSO (t-1)'!K117)</f>
        <v>0</v>
      </c>
      <c r="L117" s="461">
        <f>SUM('DUoS (t-1)'!L117,'TUoS (t-1)'!L117,'JSO (t-1)'!L117)</f>
        <v>0</v>
      </c>
      <c r="M117" s="461">
        <f>SUM('DUoS (t-1)'!M117,'TUoS (t-1)'!M117,'JSO (t-1)'!M117)</f>
        <v>0</v>
      </c>
      <c r="N117" s="461">
        <f>SUM('DUoS (t-1)'!N117,'TUoS (t-1)'!N117,'JSO (t-1)'!N117)</f>
        <v>0</v>
      </c>
      <c r="O117" s="462">
        <f>SUM('DUoS (t-1)'!O117,'TUoS (t-1)'!O117,'JSO (t-1)'!O117)</f>
        <v>0</v>
      </c>
      <c r="P117" s="461">
        <f>SUM('DUoS (t-1)'!P117,'TUoS (t-1)'!P117,'JSO (t-1)'!P117)</f>
        <v>0</v>
      </c>
      <c r="Q117" s="461">
        <f>SUM('DUoS (t-1)'!Q117,'TUoS (t-1)'!Q117,'JSO (t-1)'!Q117)</f>
        <v>0</v>
      </c>
      <c r="R117" s="462">
        <f>SUM('DUoS (t-1)'!R117,'TUoS (t-1)'!R117,'JSO (t-1)'!R117)</f>
        <v>0</v>
      </c>
      <c r="S117" s="478">
        <f>SUM('DUoS (t-1)'!S117,'TUoS (t-1)'!S117,'JSO (t-1)'!S117)</f>
        <v>0.10829999999999999</v>
      </c>
      <c r="T117" s="483">
        <f>SUM('DUoS (t-1)'!T117,'TUoS (t-1)'!T117,'JSO (t-1)'!T117)</f>
        <v>4.1399999999999999E-2</v>
      </c>
      <c r="U117" s="480">
        <f>SUM('DUoS (t-1)'!U117,'TUoS (t-1)'!U117,'JSO (t-1)'!U117)</f>
        <v>0</v>
      </c>
      <c r="V117" s="481">
        <f>SUM('DUoS (t-1)'!V117,'TUoS (t-1)'!V117,'JSO (t-1)'!V117)</f>
        <v>0</v>
      </c>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57"/>
        <v>0</v>
      </c>
      <c r="AP117" s="184">
        <f t="shared" ref="AP117:AW129" si="75">H117*Y117</f>
        <v>80.250000000000014</v>
      </c>
      <c r="AQ117" s="178">
        <f t="shared" si="75"/>
        <v>0</v>
      </c>
      <c r="AR117" s="178">
        <f t="shared" si="75"/>
        <v>0</v>
      </c>
      <c r="AS117" s="179">
        <f t="shared" si="75"/>
        <v>0</v>
      </c>
      <c r="AT117" s="178">
        <f t="shared" si="75"/>
        <v>0</v>
      </c>
      <c r="AU117" s="178">
        <f t="shared" si="75"/>
        <v>0</v>
      </c>
      <c r="AV117" s="178">
        <f t="shared" si="75"/>
        <v>0</v>
      </c>
      <c r="AW117" s="179">
        <f t="shared" si="75"/>
        <v>0</v>
      </c>
      <c r="AX117" s="178">
        <f t="shared" si="61"/>
        <v>0</v>
      </c>
      <c r="AY117" s="178">
        <f t="shared" si="61"/>
        <v>0</v>
      </c>
      <c r="AZ117" s="179">
        <f t="shared" si="61"/>
        <v>0</v>
      </c>
      <c r="BA117" s="184">
        <f t="shared" si="61"/>
        <v>84.988424999999992</v>
      </c>
      <c r="BB117" s="178">
        <f t="shared" si="61"/>
        <v>75.555000000000007</v>
      </c>
      <c r="BC117" s="184">
        <f t="shared" si="61"/>
        <v>0</v>
      </c>
      <c r="BD117" s="178">
        <f t="shared" si="61"/>
        <v>0</v>
      </c>
      <c r="BE117" s="244">
        <f t="shared" si="58"/>
        <v>1</v>
      </c>
      <c r="BF117" s="245">
        <f t="shared" si="74"/>
        <v>7500</v>
      </c>
      <c r="BH117" s="255">
        <f>SUM(AO117)</f>
        <v>0</v>
      </c>
      <c r="BI117" s="255">
        <f>SUM(AP117:AS117)</f>
        <v>80.250000000000014</v>
      </c>
      <c r="BJ117" s="255">
        <f>SUM(AT117:AW117)</f>
        <v>0</v>
      </c>
      <c r="BK117" s="256">
        <f>SUM(AX117:BB117)</f>
        <v>160.54342500000001</v>
      </c>
      <c r="BL117" s="262">
        <f>SUM(BC117:BD117)</f>
        <v>0</v>
      </c>
      <c r="BM117" s="257">
        <f t="shared" si="56"/>
        <v>240.79342500000001</v>
      </c>
      <c r="BO117" s="714">
        <f t="shared" si="59"/>
        <v>32.105789999999999</v>
      </c>
    </row>
    <row r="118" spans="2:67" ht="15" customHeight="1" x14ac:dyDescent="0.25">
      <c r="B118" s="19">
        <f t="shared" si="67"/>
        <v>21</v>
      </c>
      <c r="C118" s="44" t="s">
        <v>137</v>
      </c>
      <c r="D118" s="45"/>
      <c r="E118" s="105" t="s">
        <v>136</v>
      </c>
      <c r="G118" s="477">
        <f>SUM('DUoS (t-1)'!G118,'TUoS (t-1)'!G118,'JSO (t-1)'!G118)</f>
        <v>1019.18</v>
      </c>
      <c r="H118" s="478">
        <f>SUM('DUoS (t-1)'!H118,'TUoS (t-1)'!H118,'JSO (t-1)'!H118)</f>
        <v>1.0700000000000001E-2</v>
      </c>
      <c r="I118" s="461">
        <f>SUM('DUoS (t-1)'!I118,'TUoS (t-1)'!I118,'JSO (t-1)'!I118)</f>
        <v>0</v>
      </c>
      <c r="J118" s="461">
        <f>SUM('DUoS (t-1)'!J118,'TUoS (t-1)'!J118,'JSO (t-1)'!J118)</f>
        <v>0</v>
      </c>
      <c r="K118" s="462">
        <f>SUM('DUoS (t-1)'!K118,'TUoS (t-1)'!K118,'JSO (t-1)'!K118)</f>
        <v>0</v>
      </c>
      <c r="L118" s="461">
        <f>SUM('DUoS (t-1)'!L118,'TUoS (t-1)'!L118,'JSO (t-1)'!L118)</f>
        <v>0</v>
      </c>
      <c r="M118" s="461">
        <f>SUM('DUoS (t-1)'!M118,'TUoS (t-1)'!M118,'JSO (t-1)'!M118)</f>
        <v>0</v>
      </c>
      <c r="N118" s="461">
        <f>SUM('DUoS (t-1)'!N118,'TUoS (t-1)'!N118,'JSO (t-1)'!N118)</f>
        <v>0</v>
      </c>
      <c r="O118" s="462">
        <f>SUM('DUoS (t-1)'!O118,'TUoS (t-1)'!O118,'JSO (t-1)'!O118)</f>
        <v>0</v>
      </c>
      <c r="P118" s="461">
        <f>SUM('DUoS (t-1)'!P118,'TUoS (t-1)'!P118,'JSO (t-1)'!P118)</f>
        <v>0</v>
      </c>
      <c r="Q118" s="461">
        <f>SUM('DUoS (t-1)'!Q118,'TUoS (t-1)'!Q118,'JSO (t-1)'!Q118)</f>
        <v>0</v>
      </c>
      <c r="R118" s="462">
        <f>SUM('DUoS (t-1)'!R118,'TUoS (t-1)'!R118,'JSO (t-1)'!R118)</f>
        <v>0</v>
      </c>
      <c r="S118" s="478">
        <f>SUM('DUoS (t-1)'!S118,'TUoS (t-1)'!S118,'JSO (t-1)'!S118)</f>
        <v>0.10829999999999999</v>
      </c>
      <c r="T118" s="483">
        <f>SUM('DUoS (t-1)'!T118,'TUoS (t-1)'!T118,'JSO (t-1)'!T118)</f>
        <v>4.1399999999999999E-2</v>
      </c>
      <c r="U118" s="480">
        <f>SUM('DUoS (t-1)'!U118,'TUoS (t-1)'!U118,'JSO (t-1)'!U118)</f>
        <v>0</v>
      </c>
      <c r="V118" s="481">
        <f>SUM('DUoS (t-1)'!V118,'TUoS (t-1)'!V118,'JSO (t-1)'!V118)</f>
        <v>0</v>
      </c>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57"/>
        <v>372.00069999999994</v>
      </c>
      <c r="AP118" s="184">
        <f t="shared" si="75"/>
        <v>23.540000000000003</v>
      </c>
      <c r="AQ118" s="178">
        <f t="shared" si="75"/>
        <v>0</v>
      </c>
      <c r="AR118" s="178">
        <f t="shared" si="75"/>
        <v>0</v>
      </c>
      <c r="AS118" s="179">
        <f t="shared" si="75"/>
        <v>0</v>
      </c>
      <c r="AT118" s="178">
        <f t="shared" si="75"/>
        <v>0</v>
      </c>
      <c r="AU118" s="178">
        <f t="shared" si="75"/>
        <v>0</v>
      </c>
      <c r="AV118" s="178">
        <f t="shared" si="75"/>
        <v>0</v>
      </c>
      <c r="AW118" s="179">
        <f t="shared" si="75"/>
        <v>0</v>
      </c>
      <c r="AX118" s="178">
        <f t="shared" si="61"/>
        <v>0</v>
      </c>
      <c r="AY118" s="178">
        <f t="shared" si="61"/>
        <v>0</v>
      </c>
      <c r="AZ118" s="179">
        <f t="shared" si="61"/>
        <v>0</v>
      </c>
      <c r="BA118" s="184">
        <f t="shared" si="61"/>
        <v>28.8170055</v>
      </c>
      <c r="BB118" s="178">
        <f t="shared" si="61"/>
        <v>75.555000000000007</v>
      </c>
      <c r="BC118" s="184">
        <f t="shared" si="61"/>
        <v>0</v>
      </c>
      <c r="BD118" s="178">
        <f t="shared" si="61"/>
        <v>0</v>
      </c>
      <c r="BE118" s="244">
        <f t="shared" si="58"/>
        <v>1</v>
      </c>
      <c r="BF118" s="245">
        <f t="shared" si="74"/>
        <v>2200</v>
      </c>
      <c r="BH118" s="255">
        <f>SUM(AO118)</f>
        <v>372.00069999999994</v>
      </c>
      <c r="BI118" s="255">
        <f>SUM(AP118:AS118)</f>
        <v>23.540000000000003</v>
      </c>
      <c r="BJ118" s="255">
        <f>SUM(AT118:AW118)</f>
        <v>0</v>
      </c>
      <c r="BK118" s="256">
        <f>SUM(AX118:BB118)</f>
        <v>104.3720055</v>
      </c>
      <c r="BL118" s="262">
        <f>SUM(BC118:BD118)</f>
        <v>0</v>
      </c>
      <c r="BM118" s="257">
        <f t="shared" si="56"/>
        <v>499.91270549999996</v>
      </c>
      <c r="BO118" s="714">
        <f t="shared" si="59"/>
        <v>227.23304795454544</v>
      </c>
    </row>
    <row r="119" spans="2:67" ht="15" customHeight="1" x14ac:dyDescent="0.25">
      <c r="B119" s="19">
        <f t="shared" si="67"/>
        <v>22</v>
      </c>
      <c r="C119" s="44" t="s">
        <v>138</v>
      </c>
      <c r="D119" s="45"/>
      <c r="E119" s="105" t="s">
        <v>136</v>
      </c>
      <c r="G119" s="477">
        <f>SUM('DUoS (t-1)'!G119,'TUoS (t-1)'!G119,'JSO (t-1)'!G119)</f>
        <v>432.88</v>
      </c>
      <c r="H119" s="478">
        <f>SUM('DUoS (t-1)'!H119,'TUoS (t-1)'!H119,'JSO (t-1)'!H119)</f>
        <v>1.0700000000000001E-2</v>
      </c>
      <c r="I119" s="461">
        <f>SUM('DUoS (t-1)'!I119,'TUoS (t-1)'!I119,'JSO (t-1)'!I119)</f>
        <v>0</v>
      </c>
      <c r="J119" s="461">
        <f>SUM('DUoS (t-1)'!J119,'TUoS (t-1)'!J119,'JSO (t-1)'!J119)</f>
        <v>0</v>
      </c>
      <c r="K119" s="462">
        <f>SUM('DUoS (t-1)'!K119,'TUoS (t-1)'!K119,'JSO (t-1)'!K119)</f>
        <v>0</v>
      </c>
      <c r="L119" s="461">
        <f>SUM('DUoS (t-1)'!L119,'TUoS (t-1)'!L119,'JSO (t-1)'!L119)</f>
        <v>0</v>
      </c>
      <c r="M119" s="461">
        <f>SUM('DUoS (t-1)'!M119,'TUoS (t-1)'!M119,'JSO (t-1)'!M119)</f>
        <v>0</v>
      </c>
      <c r="N119" s="461">
        <f>SUM('DUoS (t-1)'!N119,'TUoS (t-1)'!N119,'JSO (t-1)'!N119)</f>
        <v>0</v>
      </c>
      <c r="O119" s="462">
        <f>SUM('DUoS (t-1)'!O119,'TUoS (t-1)'!O119,'JSO (t-1)'!O119)</f>
        <v>0</v>
      </c>
      <c r="P119" s="461">
        <f>SUM('DUoS (t-1)'!P119,'TUoS (t-1)'!P119,'JSO (t-1)'!P119)</f>
        <v>0</v>
      </c>
      <c r="Q119" s="461">
        <f>SUM('DUoS (t-1)'!Q119,'TUoS (t-1)'!Q119,'JSO (t-1)'!Q119)</f>
        <v>0</v>
      </c>
      <c r="R119" s="462">
        <f>SUM('DUoS (t-1)'!R119,'TUoS (t-1)'!R119,'JSO (t-1)'!R119)</f>
        <v>0</v>
      </c>
      <c r="S119" s="478">
        <f>SUM('DUoS (t-1)'!S119,'TUoS (t-1)'!S119,'JSO (t-1)'!S119)</f>
        <v>0.10829999999999999</v>
      </c>
      <c r="T119" s="483">
        <f>SUM('DUoS (t-1)'!T119,'TUoS (t-1)'!T119,'JSO (t-1)'!T119)</f>
        <v>4.1399999999999999E-2</v>
      </c>
      <c r="U119" s="480">
        <f>SUM('DUoS (t-1)'!U119,'TUoS (t-1)'!U119,'JSO (t-1)'!U119)</f>
        <v>0</v>
      </c>
      <c r="V119" s="481">
        <f>SUM('DUoS (t-1)'!V119,'TUoS (t-1)'!V119,'JSO (t-1)'!V119)</f>
        <v>0</v>
      </c>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57"/>
        <v>158.00120000000001</v>
      </c>
      <c r="AP119" s="184">
        <f t="shared" si="75"/>
        <v>87.52600000000001</v>
      </c>
      <c r="AQ119" s="178">
        <f t="shared" si="75"/>
        <v>0</v>
      </c>
      <c r="AR119" s="178">
        <f t="shared" si="75"/>
        <v>0</v>
      </c>
      <c r="AS119" s="179">
        <f t="shared" si="75"/>
        <v>0</v>
      </c>
      <c r="AT119" s="178">
        <f t="shared" si="75"/>
        <v>0</v>
      </c>
      <c r="AU119" s="178">
        <f t="shared" si="75"/>
        <v>0</v>
      </c>
      <c r="AV119" s="178">
        <f t="shared" si="75"/>
        <v>0</v>
      </c>
      <c r="AW119" s="179">
        <f t="shared" si="75"/>
        <v>0</v>
      </c>
      <c r="AX119" s="178">
        <f t="shared" si="61"/>
        <v>0</v>
      </c>
      <c r="AY119" s="178">
        <f t="shared" si="61"/>
        <v>0</v>
      </c>
      <c r="AZ119" s="179">
        <f t="shared" si="61"/>
        <v>0</v>
      </c>
      <c r="BA119" s="184">
        <f t="shared" si="61"/>
        <v>132.50288399999999</v>
      </c>
      <c r="BB119" s="178">
        <f t="shared" si="61"/>
        <v>75.555000000000007</v>
      </c>
      <c r="BC119" s="184">
        <f t="shared" si="61"/>
        <v>0</v>
      </c>
      <c r="BD119" s="178">
        <f t="shared" si="61"/>
        <v>0</v>
      </c>
      <c r="BE119" s="244">
        <f t="shared" si="58"/>
        <v>1</v>
      </c>
      <c r="BF119" s="245">
        <f t="shared" si="74"/>
        <v>8180</v>
      </c>
      <c r="BH119" s="255">
        <f>SUM(AO119)</f>
        <v>158.00120000000001</v>
      </c>
      <c r="BI119" s="255">
        <f>SUM(AP119:AS119)</f>
        <v>87.52600000000001</v>
      </c>
      <c r="BJ119" s="255">
        <f>SUM(AT119:AW119)</f>
        <v>0</v>
      </c>
      <c r="BK119" s="256">
        <f>SUM(AX119:BB119)</f>
        <v>208.057884</v>
      </c>
      <c r="BL119" s="262">
        <f>SUM(BC119:BD119)</f>
        <v>0</v>
      </c>
      <c r="BM119" s="257">
        <f t="shared" si="56"/>
        <v>453.58508400000005</v>
      </c>
      <c r="BO119" s="714">
        <f t="shared" si="59"/>
        <v>55.45049926650367</v>
      </c>
    </row>
    <row r="120" spans="2:67" ht="15" customHeight="1" x14ac:dyDescent="0.25">
      <c r="B120" s="19"/>
      <c r="C120" s="36" t="s">
        <v>139</v>
      </c>
      <c r="D120" s="85"/>
      <c r="E120" s="85"/>
      <c r="G120" s="482">
        <f>SUM('DUoS (t-1)'!G120,'TUoS (t-1)'!G120,'JSO (t-1)'!G120)</f>
        <v>0</v>
      </c>
      <c r="H120" s="479">
        <f>SUM('DUoS (t-1)'!H120,'TUoS (t-1)'!H120,'JSO (t-1)'!H120)</f>
        <v>0</v>
      </c>
      <c r="I120" s="461">
        <f>SUM('DUoS (t-1)'!I120,'TUoS (t-1)'!I120,'JSO (t-1)'!I120)</f>
        <v>0</v>
      </c>
      <c r="J120" s="461">
        <f>SUM('DUoS (t-1)'!J120,'TUoS (t-1)'!J120,'JSO (t-1)'!J120)</f>
        <v>0</v>
      </c>
      <c r="K120" s="462">
        <f>SUM('DUoS (t-1)'!K120,'TUoS (t-1)'!K120,'JSO (t-1)'!K120)</f>
        <v>0</v>
      </c>
      <c r="L120" s="461">
        <f>SUM('DUoS (t-1)'!L120,'TUoS (t-1)'!L120,'JSO (t-1)'!L120)</f>
        <v>0</v>
      </c>
      <c r="M120" s="461">
        <f>SUM('DUoS (t-1)'!M120,'TUoS (t-1)'!M120,'JSO (t-1)'!M120)</f>
        <v>0</v>
      </c>
      <c r="N120" s="461">
        <f>SUM('DUoS (t-1)'!N120,'TUoS (t-1)'!N120,'JSO (t-1)'!N120)</f>
        <v>0</v>
      </c>
      <c r="O120" s="462">
        <f>SUM('DUoS (t-1)'!O120,'TUoS (t-1)'!O120,'JSO (t-1)'!O120)</f>
        <v>0</v>
      </c>
      <c r="P120" s="461">
        <f>SUM('DUoS (t-1)'!P120,'TUoS (t-1)'!P120,'JSO (t-1)'!P120)</f>
        <v>0</v>
      </c>
      <c r="Q120" s="461">
        <f>SUM('DUoS (t-1)'!Q120,'TUoS (t-1)'!Q120,'JSO (t-1)'!Q120)</f>
        <v>0</v>
      </c>
      <c r="R120" s="462">
        <f>SUM('DUoS (t-1)'!R120,'TUoS (t-1)'!R120,'JSO (t-1)'!R120)</f>
        <v>0</v>
      </c>
      <c r="S120" s="479">
        <f>SUM('DUoS (t-1)'!S120,'TUoS (t-1)'!S120,'JSO (t-1)'!S120)</f>
        <v>0</v>
      </c>
      <c r="T120" s="461">
        <f>SUM('DUoS (t-1)'!T120,'TUoS (t-1)'!T120,'JSO (t-1)'!T120)</f>
        <v>0</v>
      </c>
      <c r="U120" s="479">
        <f>SUM('DUoS (t-1)'!U120,'TUoS (t-1)'!U120,'JSO (t-1)'!U120)</f>
        <v>0</v>
      </c>
      <c r="V120" s="462">
        <f>SUM('DUoS (t-1)'!V120,'TUoS (t-1)'!V120,'JSO (t-1)'!V120)</f>
        <v>0</v>
      </c>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57"/>
        <v>0</v>
      </c>
      <c r="AP120" s="184">
        <f t="shared" si="75"/>
        <v>0</v>
      </c>
      <c r="AQ120" s="178">
        <f t="shared" si="75"/>
        <v>0</v>
      </c>
      <c r="AR120" s="178">
        <f t="shared" si="75"/>
        <v>0</v>
      </c>
      <c r="AS120" s="179">
        <f t="shared" si="75"/>
        <v>0</v>
      </c>
      <c r="AT120" s="178">
        <f t="shared" si="75"/>
        <v>0</v>
      </c>
      <c r="AU120" s="178">
        <f t="shared" si="75"/>
        <v>0</v>
      </c>
      <c r="AV120" s="178">
        <f t="shared" si="75"/>
        <v>0</v>
      </c>
      <c r="AW120" s="179">
        <f t="shared" si="75"/>
        <v>0</v>
      </c>
      <c r="AX120" s="178">
        <f t="shared" si="61"/>
        <v>0</v>
      </c>
      <c r="AY120" s="178">
        <f t="shared" si="61"/>
        <v>0</v>
      </c>
      <c r="AZ120" s="179">
        <f t="shared" si="61"/>
        <v>0</v>
      </c>
      <c r="BA120" s="184">
        <f t="shared" si="61"/>
        <v>0</v>
      </c>
      <c r="BB120" s="178">
        <f t="shared" si="61"/>
        <v>0</v>
      </c>
      <c r="BC120" s="184">
        <f t="shared" si="61"/>
        <v>0</v>
      </c>
      <c r="BD120" s="178">
        <f t="shared" si="61"/>
        <v>0</v>
      </c>
      <c r="BE120" s="244">
        <f t="shared" si="58"/>
        <v>0</v>
      </c>
      <c r="BF120" s="245">
        <f t="shared" si="74"/>
        <v>0</v>
      </c>
      <c r="BH120" s="252">
        <f>SUBTOTAL(9,BH121:BH129)</f>
        <v>6551.2682000000013</v>
      </c>
      <c r="BI120" s="252">
        <f>SUBTOTAL(9,BI121:BI129)</f>
        <v>1620.25</v>
      </c>
      <c r="BJ120" s="252">
        <f>SUBTOTAL(9,BJ121:BJ129)</f>
        <v>0</v>
      </c>
      <c r="BK120" s="252">
        <f>SUBTOTAL(9,BK121:BK129)</f>
        <v>7172.8150930000011</v>
      </c>
      <c r="BL120" s="252">
        <f>SUBTOTAL(9,BL121:BL129)</f>
        <v>0</v>
      </c>
      <c r="BM120" s="257">
        <f t="shared" si="56"/>
        <v>15344.333293000003</v>
      </c>
      <c r="BO120" s="714" t="str">
        <f t="shared" si="59"/>
        <v/>
      </c>
    </row>
    <row r="121" spans="2:67" ht="15" customHeight="1" x14ac:dyDescent="0.25">
      <c r="B121" s="19">
        <f>B119+1</f>
        <v>23</v>
      </c>
      <c r="C121" s="44" t="s">
        <v>140</v>
      </c>
      <c r="D121" s="45"/>
      <c r="E121" s="105" t="s">
        <v>141</v>
      </c>
      <c r="G121" s="477">
        <f>SUM('DUoS (t-1)'!G121,'TUoS (t-1)'!G121,'JSO (t-1)'!G121)</f>
        <v>5030.3</v>
      </c>
      <c r="H121" s="478">
        <f>SUM('DUoS (t-1)'!H121,'TUoS (t-1)'!H121,'JSO (t-1)'!H121)</f>
        <v>2.5000000000000001E-3</v>
      </c>
      <c r="I121" s="461">
        <f>SUM('DUoS (t-1)'!I121,'TUoS (t-1)'!I121,'JSO (t-1)'!I121)</f>
        <v>0</v>
      </c>
      <c r="J121" s="461">
        <f>SUM('DUoS (t-1)'!J121,'TUoS (t-1)'!J121,'JSO (t-1)'!J121)</f>
        <v>0</v>
      </c>
      <c r="K121" s="462">
        <f>SUM('DUoS (t-1)'!K121,'TUoS (t-1)'!K121,'JSO (t-1)'!K121)</f>
        <v>0</v>
      </c>
      <c r="L121" s="461">
        <f>SUM('DUoS (t-1)'!L121,'TUoS (t-1)'!L121,'JSO (t-1)'!L121)</f>
        <v>0</v>
      </c>
      <c r="M121" s="461">
        <f>SUM('DUoS (t-1)'!M121,'TUoS (t-1)'!M121,'JSO (t-1)'!M121)</f>
        <v>0</v>
      </c>
      <c r="N121" s="461">
        <f>SUM('DUoS (t-1)'!N121,'TUoS (t-1)'!N121,'JSO (t-1)'!N121)</f>
        <v>0</v>
      </c>
      <c r="O121" s="462">
        <f>SUM('DUoS (t-1)'!O121,'TUoS (t-1)'!O121,'JSO (t-1)'!O121)</f>
        <v>0</v>
      </c>
      <c r="P121" s="461">
        <f>SUM('DUoS (t-1)'!P121,'TUoS (t-1)'!P121,'JSO (t-1)'!P121)</f>
        <v>0</v>
      </c>
      <c r="Q121" s="461">
        <f>SUM('DUoS (t-1)'!Q121,'TUoS (t-1)'!Q121,'JSO (t-1)'!Q121)</f>
        <v>0</v>
      </c>
      <c r="R121" s="462">
        <f>SUM('DUoS (t-1)'!R121,'TUoS (t-1)'!R121,'JSO (t-1)'!R121)</f>
        <v>0</v>
      </c>
      <c r="S121" s="478">
        <f>SUM('DUoS (t-1)'!S121,'TUoS (t-1)'!S121,'JSO (t-1)'!S121)</f>
        <v>0</v>
      </c>
      <c r="T121" s="483">
        <f>SUM('DUoS (t-1)'!T121,'TUoS (t-1)'!T121,'JSO (t-1)'!T121)</f>
        <v>4.1399999999999999E-2</v>
      </c>
      <c r="U121" s="480">
        <f>SUM('DUoS (t-1)'!U121,'TUoS (t-1)'!U121,'JSO (t-1)'!U121)</f>
        <v>0</v>
      </c>
      <c r="V121" s="481">
        <f>SUM('DUoS (t-1)'!V121,'TUoS (t-1)'!V121,'JSO (t-1)'!V121)</f>
        <v>0</v>
      </c>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57"/>
        <v>1836.0595000000001</v>
      </c>
      <c r="AP121" s="184">
        <f t="shared" si="75"/>
        <v>353.75</v>
      </c>
      <c r="AQ121" s="178">
        <f t="shared" si="75"/>
        <v>0</v>
      </c>
      <c r="AR121" s="178">
        <f t="shared" si="75"/>
        <v>0</v>
      </c>
      <c r="AS121" s="179">
        <f t="shared" si="75"/>
        <v>0</v>
      </c>
      <c r="AT121" s="178">
        <f t="shared" si="75"/>
        <v>0</v>
      </c>
      <c r="AU121" s="178">
        <f t="shared" si="75"/>
        <v>0</v>
      </c>
      <c r="AV121" s="178">
        <f t="shared" si="75"/>
        <v>0</v>
      </c>
      <c r="AW121" s="179">
        <f t="shared" si="75"/>
        <v>0</v>
      </c>
      <c r="AX121" s="178">
        <f t="shared" si="61"/>
        <v>0</v>
      </c>
      <c r="AY121" s="178">
        <f t="shared" si="61"/>
        <v>0</v>
      </c>
      <c r="AZ121" s="179">
        <f t="shared" si="61"/>
        <v>0</v>
      </c>
      <c r="BA121" s="184">
        <f t="shared" si="61"/>
        <v>0</v>
      </c>
      <c r="BB121" s="178">
        <f t="shared" si="61"/>
        <v>323.08829099999997</v>
      </c>
      <c r="BC121" s="184">
        <f t="shared" si="61"/>
        <v>0</v>
      </c>
      <c r="BD121" s="178">
        <f t="shared" si="61"/>
        <v>0</v>
      </c>
      <c r="BE121" s="244">
        <f t="shared" si="58"/>
        <v>1</v>
      </c>
      <c r="BF121" s="245">
        <f t="shared" si="74"/>
        <v>141500</v>
      </c>
      <c r="BH121" s="255">
        <f t="shared" ref="BH121:BH129" si="76">SUM(AO121)</f>
        <v>1836.0595000000001</v>
      </c>
      <c r="BI121" s="255">
        <f t="shared" ref="BI121:BI129" si="77">SUM(AP121:AS121)</f>
        <v>353.75</v>
      </c>
      <c r="BJ121" s="255">
        <f t="shared" ref="BJ121:BJ129" si="78">SUM(AT121:AW121)</f>
        <v>0</v>
      </c>
      <c r="BK121" s="256">
        <f t="shared" ref="BK121:BK129" si="79">SUM(AX121:BB121)</f>
        <v>323.08829099999997</v>
      </c>
      <c r="BL121" s="262">
        <f t="shared" ref="BL121:BL129" si="80">SUM(BC121:BD121)</f>
        <v>0</v>
      </c>
      <c r="BM121" s="257">
        <f t="shared" si="56"/>
        <v>2512.8977910000003</v>
      </c>
      <c r="BO121" s="714">
        <f t="shared" si="59"/>
        <v>17.758994989399294</v>
      </c>
    </row>
    <row r="122" spans="2:67" ht="15" customHeight="1" x14ac:dyDescent="0.25">
      <c r="B122" s="19">
        <f t="shared" si="67"/>
        <v>24</v>
      </c>
      <c r="C122" s="44" t="s">
        <v>142</v>
      </c>
      <c r="D122" s="45"/>
      <c r="E122" s="105" t="s">
        <v>141</v>
      </c>
      <c r="G122" s="477">
        <f>SUM('DUoS (t-1)'!G122,'TUoS (t-1)'!G122,'JSO (t-1)'!G122)</f>
        <v>1022.4</v>
      </c>
      <c r="H122" s="478">
        <f>SUM('DUoS (t-1)'!H122,'TUoS (t-1)'!H122,'JSO (t-1)'!H122)</f>
        <v>2.5000000000000001E-3</v>
      </c>
      <c r="I122" s="461">
        <f>SUM('DUoS (t-1)'!I122,'TUoS (t-1)'!I122,'JSO (t-1)'!I122)</f>
        <v>0</v>
      </c>
      <c r="J122" s="461">
        <f>SUM('DUoS (t-1)'!J122,'TUoS (t-1)'!J122,'JSO (t-1)'!J122)</f>
        <v>0</v>
      </c>
      <c r="K122" s="462">
        <f>SUM('DUoS (t-1)'!K122,'TUoS (t-1)'!K122,'JSO (t-1)'!K122)</f>
        <v>0</v>
      </c>
      <c r="L122" s="461">
        <f>SUM('DUoS (t-1)'!L122,'TUoS (t-1)'!L122,'JSO (t-1)'!L122)</f>
        <v>0</v>
      </c>
      <c r="M122" s="461">
        <f>SUM('DUoS (t-1)'!M122,'TUoS (t-1)'!M122,'JSO (t-1)'!M122)</f>
        <v>0</v>
      </c>
      <c r="N122" s="461">
        <f>SUM('DUoS (t-1)'!N122,'TUoS (t-1)'!N122,'JSO (t-1)'!N122)</f>
        <v>0</v>
      </c>
      <c r="O122" s="462">
        <f>SUM('DUoS (t-1)'!O122,'TUoS (t-1)'!O122,'JSO (t-1)'!O122)</f>
        <v>0</v>
      </c>
      <c r="P122" s="461">
        <f>SUM('DUoS (t-1)'!P122,'TUoS (t-1)'!P122,'JSO (t-1)'!P122)</f>
        <v>0</v>
      </c>
      <c r="Q122" s="461">
        <f>SUM('DUoS (t-1)'!Q122,'TUoS (t-1)'!Q122,'JSO (t-1)'!Q122)</f>
        <v>0</v>
      </c>
      <c r="R122" s="462">
        <f>SUM('DUoS (t-1)'!R122,'TUoS (t-1)'!R122,'JSO (t-1)'!R122)</f>
        <v>0</v>
      </c>
      <c r="S122" s="478">
        <f>SUM('DUoS (t-1)'!S122,'TUoS (t-1)'!S122,'JSO (t-1)'!S122)</f>
        <v>0.21079999999999999</v>
      </c>
      <c r="T122" s="483">
        <f>SUM('DUoS (t-1)'!T122,'TUoS (t-1)'!T122,'JSO (t-1)'!T122)</f>
        <v>4.1399999999999999E-2</v>
      </c>
      <c r="U122" s="480">
        <f>SUM('DUoS (t-1)'!U122,'TUoS (t-1)'!U122,'JSO (t-1)'!U122)</f>
        <v>0</v>
      </c>
      <c r="V122" s="481">
        <f>SUM('DUoS (t-1)'!V122,'TUoS (t-1)'!V122,'JSO (t-1)'!V122)</f>
        <v>0</v>
      </c>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57"/>
        <v>373.17599999999999</v>
      </c>
      <c r="AP122" s="184">
        <f t="shared" si="75"/>
        <v>675.25</v>
      </c>
      <c r="AQ122" s="178">
        <f t="shared" si="75"/>
        <v>0</v>
      </c>
      <c r="AR122" s="178">
        <f t="shared" si="75"/>
        <v>0</v>
      </c>
      <c r="AS122" s="179">
        <f t="shared" si="75"/>
        <v>0</v>
      </c>
      <c r="AT122" s="178">
        <f t="shared" si="75"/>
        <v>0</v>
      </c>
      <c r="AU122" s="178">
        <f t="shared" si="75"/>
        <v>0</v>
      </c>
      <c r="AV122" s="178">
        <f t="shared" si="75"/>
        <v>0</v>
      </c>
      <c r="AW122" s="179">
        <f t="shared" si="75"/>
        <v>0</v>
      </c>
      <c r="AX122" s="178">
        <f t="shared" si="61"/>
        <v>0</v>
      </c>
      <c r="AY122" s="178">
        <f t="shared" si="61"/>
        <v>0</v>
      </c>
      <c r="AZ122" s="179">
        <f t="shared" si="61"/>
        <v>0</v>
      </c>
      <c r="BA122" s="184">
        <f t="shared" si="61"/>
        <v>2154.3760000000002</v>
      </c>
      <c r="BB122" s="178">
        <f t="shared" si="61"/>
        <v>778.48849800000005</v>
      </c>
      <c r="BC122" s="184">
        <f t="shared" si="61"/>
        <v>0</v>
      </c>
      <c r="BD122" s="178">
        <f t="shared" si="61"/>
        <v>0</v>
      </c>
      <c r="BE122" s="244">
        <f t="shared" si="58"/>
        <v>1</v>
      </c>
      <c r="BF122" s="245">
        <f t="shared" si="74"/>
        <v>270100</v>
      </c>
      <c r="BH122" s="255">
        <f t="shared" si="76"/>
        <v>373.17599999999999</v>
      </c>
      <c r="BI122" s="255">
        <f t="shared" si="77"/>
        <v>675.25</v>
      </c>
      <c r="BJ122" s="255">
        <f t="shared" si="78"/>
        <v>0</v>
      </c>
      <c r="BK122" s="256">
        <f t="shared" si="79"/>
        <v>2932.8644980000004</v>
      </c>
      <c r="BL122" s="262">
        <f t="shared" si="80"/>
        <v>0</v>
      </c>
      <c r="BM122" s="257">
        <f t="shared" si="56"/>
        <v>3981.2904980000003</v>
      </c>
      <c r="BO122" s="714">
        <f t="shared" si="59"/>
        <v>14.740061081081082</v>
      </c>
    </row>
    <row r="123" spans="2:67" ht="15" customHeight="1" x14ac:dyDescent="0.25">
      <c r="B123" s="19">
        <f t="shared" si="67"/>
        <v>25</v>
      </c>
      <c r="C123" s="44" t="s">
        <v>143</v>
      </c>
      <c r="D123" s="45"/>
      <c r="E123" s="105" t="s">
        <v>141</v>
      </c>
      <c r="G123" s="477">
        <f>SUM('DUoS (t-1)'!G123,'TUoS (t-1)'!G123,'JSO (t-1)'!G123)</f>
        <v>5964.38</v>
      </c>
      <c r="H123" s="478">
        <f>SUM('DUoS (t-1)'!H123,'TUoS (t-1)'!H123,'JSO (t-1)'!H123)</f>
        <v>2.5000000000000001E-3</v>
      </c>
      <c r="I123" s="461">
        <f>SUM('DUoS (t-1)'!I123,'TUoS (t-1)'!I123,'JSO (t-1)'!I123)</f>
        <v>0</v>
      </c>
      <c r="J123" s="461">
        <f>SUM('DUoS (t-1)'!J123,'TUoS (t-1)'!J123,'JSO (t-1)'!J123)</f>
        <v>0</v>
      </c>
      <c r="K123" s="462">
        <f>SUM('DUoS (t-1)'!K123,'TUoS (t-1)'!K123,'JSO (t-1)'!K123)</f>
        <v>0</v>
      </c>
      <c r="L123" s="461">
        <f>SUM('DUoS (t-1)'!L123,'TUoS (t-1)'!L123,'JSO (t-1)'!L123)</f>
        <v>0</v>
      </c>
      <c r="M123" s="461">
        <f>SUM('DUoS (t-1)'!M123,'TUoS (t-1)'!M123,'JSO (t-1)'!M123)</f>
        <v>0</v>
      </c>
      <c r="N123" s="461">
        <f>SUM('DUoS (t-1)'!N123,'TUoS (t-1)'!N123,'JSO (t-1)'!N123)</f>
        <v>0</v>
      </c>
      <c r="O123" s="462">
        <f>SUM('DUoS (t-1)'!O123,'TUoS (t-1)'!O123,'JSO (t-1)'!O123)</f>
        <v>0</v>
      </c>
      <c r="P123" s="461">
        <f>SUM('DUoS (t-1)'!P123,'TUoS (t-1)'!P123,'JSO (t-1)'!P123)</f>
        <v>0</v>
      </c>
      <c r="Q123" s="461">
        <f>SUM('DUoS (t-1)'!Q123,'TUoS (t-1)'!Q123,'JSO (t-1)'!Q123)</f>
        <v>0</v>
      </c>
      <c r="R123" s="462">
        <f>SUM('DUoS (t-1)'!R123,'TUoS (t-1)'!R123,'JSO (t-1)'!R123)</f>
        <v>0</v>
      </c>
      <c r="S123" s="478">
        <f>SUM('DUoS (t-1)'!S123,'TUoS (t-1)'!S123,'JSO (t-1)'!S123)</f>
        <v>0</v>
      </c>
      <c r="T123" s="483">
        <f>SUM('DUoS (t-1)'!T123,'TUoS (t-1)'!T123,'JSO (t-1)'!T123)</f>
        <v>4.1399999999999999E-2</v>
      </c>
      <c r="U123" s="480">
        <f>SUM('DUoS (t-1)'!U123,'TUoS (t-1)'!U123,'JSO (t-1)'!U123)</f>
        <v>0</v>
      </c>
      <c r="V123" s="481">
        <f>SUM('DUoS (t-1)'!V123,'TUoS (t-1)'!V123,'JSO (t-1)'!V123)</f>
        <v>0</v>
      </c>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57"/>
        <v>2176.9987000000001</v>
      </c>
      <c r="AP123" s="184">
        <f t="shared" si="75"/>
        <v>52.5</v>
      </c>
      <c r="AQ123" s="178">
        <f t="shared" si="75"/>
        <v>0</v>
      </c>
      <c r="AR123" s="178">
        <f t="shared" si="75"/>
        <v>0</v>
      </c>
      <c r="AS123" s="179">
        <f t="shared" si="75"/>
        <v>0</v>
      </c>
      <c r="AT123" s="178">
        <f t="shared" si="75"/>
        <v>0</v>
      </c>
      <c r="AU123" s="178">
        <f t="shared" si="75"/>
        <v>0</v>
      </c>
      <c r="AV123" s="178">
        <f t="shared" si="75"/>
        <v>0</v>
      </c>
      <c r="AW123" s="179">
        <f t="shared" si="75"/>
        <v>0</v>
      </c>
      <c r="AX123" s="178">
        <f t="shared" si="61"/>
        <v>0</v>
      </c>
      <c r="AY123" s="178">
        <f t="shared" si="61"/>
        <v>0</v>
      </c>
      <c r="AZ123" s="179">
        <f t="shared" si="61"/>
        <v>0</v>
      </c>
      <c r="BA123" s="184">
        <f t="shared" si="61"/>
        <v>0</v>
      </c>
      <c r="BB123" s="178">
        <f t="shared" si="61"/>
        <v>697.56909299999995</v>
      </c>
      <c r="BC123" s="184">
        <f t="shared" si="61"/>
        <v>0</v>
      </c>
      <c r="BD123" s="178">
        <f t="shared" si="61"/>
        <v>0</v>
      </c>
      <c r="BE123" s="244">
        <f t="shared" si="58"/>
        <v>1</v>
      </c>
      <c r="BF123" s="245">
        <f t="shared" si="74"/>
        <v>21000</v>
      </c>
      <c r="BH123" s="255">
        <f t="shared" si="76"/>
        <v>2176.9987000000001</v>
      </c>
      <c r="BI123" s="255">
        <f t="shared" si="77"/>
        <v>52.5</v>
      </c>
      <c r="BJ123" s="255">
        <f t="shared" si="78"/>
        <v>0</v>
      </c>
      <c r="BK123" s="256">
        <f t="shared" si="79"/>
        <v>697.56909299999995</v>
      </c>
      <c r="BL123" s="262">
        <f t="shared" si="80"/>
        <v>0</v>
      </c>
      <c r="BM123" s="257">
        <f t="shared" si="56"/>
        <v>2927.0677930000002</v>
      </c>
      <c r="BO123" s="714">
        <f t="shared" si="59"/>
        <v>139.38418061904761</v>
      </c>
    </row>
    <row r="124" spans="2:67" ht="15" customHeight="1" x14ac:dyDescent="0.25">
      <c r="B124" s="19">
        <f t="shared" si="67"/>
        <v>26</v>
      </c>
      <c r="C124" s="44" t="s">
        <v>144</v>
      </c>
      <c r="D124" s="45"/>
      <c r="E124" s="105" t="s">
        <v>141</v>
      </c>
      <c r="G124" s="477">
        <f>SUM('DUoS (t-1)'!G124,'TUoS (t-1)'!G124,'JSO (t-1)'!G124)</f>
        <v>73.2</v>
      </c>
      <c r="H124" s="478">
        <f>SUM('DUoS (t-1)'!H124,'TUoS (t-1)'!H124,'JSO (t-1)'!H124)</f>
        <v>2.5000000000000001E-3</v>
      </c>
      <c r="I124" s="461">
        <f>SUM('DUoS (t-1)'!I124,'TUoS (t-1)'!I124,'JSO (t-1)'!I124)</f>
        <v>0</v>
      </c>
      <c r="J124" s="461">
        <f>SUM('DUoS (t-1)'!J124,'TUoS (t-1)'!J124,'JSO (t-1)'!J124)</f>
        <v>0</v>
      </c>
      <c r="K124" s="462">
        <f>SUM('DUoS (t-1)'!K124,'TUoS (t-1)'!K124,'JSO (t-1)'!K124)</f>
        <v>0</v>
      </c>
      <c r="L124" s="461">
        <f>SUM('DUoS (t-1)'!L124,'TUoS (t-1)'!L124,'JSO (t-1)'!L124)</f>
        <v>0</v>
      </c>
      <c r="M124" s="461">
        <f>SUM('DUoS (t-1)'!M124,'TUoS (t-1)'!M124,'JSO (t-1)'!M124)</f>
        <v>0</v>
      </c>
      <c r="N124" s="461">
        <f>SUM('DUoS (t-1)'!N124,'TUoS (t-1)'!N124,'JSO (t-1)'!N124)</f>
        <v>0</v>
      </c>
      <c r="O124" s="462">
        <f>SUM('DUoS (t-1)'!O124,'TUoS (t-1)'!O124,'JSO (t-1)'!O124)</f>
        <v>0</v>
      </c>
      <c r="P124" s="461">
        <f>SUM('DUoS (t-1)'!P124,'TUoS (t-1)'!P124,'JSO (t-1)'!P124)</f>
        <v>0</v>
      </c>
      <c r="Q124" s="461">
        <f>SUM('DUoS (t-1)'!Q124,'TUoS (t-1)'!Q124,'JSO (t-1)'!Q124)</f>
        <v>0</v>
      </c>
      <c r="R124" s="462">
        <f>SUM('DUoS (t-1)'!R124,'TUoS (t-1)'!R124,'JSO (t-1)'!R124)</f>
        <v>0</v>
      </c>
      <c r="S124" s="478">
        <f>SUM('DUoS (t-1)'!S124,'TUoS (t-1)'!S124,'JSO (t-1)'!S124)</f>
        <v>0.17730000000000001</v>
      </c>
      <c r="T124" s="483">
        <f>SUM('DUoS (t-1)'!T124,'TUoS (t-1)'!T124,'JSO (t-1)'!T124)</f>
        <v>4.1399999999999999E-2</v>
      </c>
      <c r="U124" s="480">
        <f>SUM('DUoS (t-1)'!U124,'TUoS (t-1)'!U124,'JSO (t-1)'!U124)</f>
        <v>0</v>
      </c>
      <c r="V124" s="481">
        <f>SUM('DUoS (t-1)'!V124,'TUoS (t-1)'!V124,'JSO (t-1)'!V124)</f>
        <v>0</v>
      </c>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57"/>
        <v>26.718</v>
      </c>
      <c r="AP124" s="184">
        <f t="shared" si="75"/>
        <v>38</v>
      </c>
      <c r="AQ124" s="178">
        <f t="shared" si="75"/>
        <v>0</v>
      </c>
      <c r="AR124" s="178">
        <f t="shared" si="75"/>
        <v>0</v>
      </c>
      <c r="AS124" s="179">
        <f t="shared" si="75"/>
        <v>0</v>
      </c>
      <c r="AT124" s="178">
        <f t="shared" si="75"/>
        <v>0</v>
      </c>
      <c r="AU124" s="178">
        <f t="shared" si="75"/>
        <v>0</v>
      </c>
      <c r="AV124" s="178">
        <f t="shared" si="75"/>
        <v>0</v>
      </c>
      <c r="AW124" s="179">
        <f t="shared" si="75"/>
        <v>0</v>
      </c>
      <c r="AX124" s="178">
        <f t="shared" si="61"/>
        <v>0</v>
      </c>
      <c r="AY124" s="178">
        <f t="shared" si="61"/>
        <v>0</v>
      </c>
      <c r="AZ124" s="179">
        <f t="shared" si="61"/>
        <v>0</v>
      </c>
      <c r="BA124" s="184">
        <f t="shared" si="61"/>
        <v>180.03573900000001</v>
      </c>
      <c r="BB124" s="178">
        <f t="shared" si="61"/>
        <v>151.11000000000001</v>
      </c>
      <c r="BC124" s="184">
        <f t="shared" si="61"/>
        <v>0</v>
      </c>
      <c r="BD124" s="178">
        <f t="shared" si="61"/>
        <v>0</v>
      </c>
      <c r="BE124" s="244">
        <f t="shared" si="58"/>
        <v>1</v>
      </c>
      <c r="BF124" s="245">
        <f t="shared" si="74"/>
        <v>15200</v>
      </c>
      <c r="BH124" s="255">
        <f t="shared" si="76"/>
        <v>26.718</v>
      </c>
      <c r="BI124" s="255">
        <f t="shared" si="77"/>
        <v>38</v>
      </c>
      <c r="BJ124" s="255">
        <f t="shared" si="78"/>
        <v>0</v>
      </c>
      <c r="BK124" s="256">
        <f t="shared" si="79"/>
        <v>331.14573900000005</v>
      </c>
      <c r="BL124" s="262">
        <f t="shared" si="80"/>
        <v>0</v>
      </c>
      <c r="BM124" s="257">
        <f t="shared" si="56"/>
        <v>395.86373900000007</v>
      </c>
      <c r="BO124" s="714">
        <f t="shared" si="59"/>
        <v>26.043667039473689</v>
      </c>
    </row>
    <row r="125" spans="2:67" ht="15" customHeight="1" x14ac:dyDescent="0.25">
      <c r="B125" s="19">
        <f t="shared" si="67"/>
        <v>27</v>
      </c>
      <c r="C125" s="44" t="s">
        <v>145</v>
      </c>
      <c r="D125" s="45"/>
      <c r="E125" s="105" t="s">
        <v>141</v>
      </c>
      <c r="G125" s="477">
        <f>SUM('DUoS (t-1)'!G125,'TUoS (t-1)'!G125,'JSO (t-1)'!G125)</f>
        <v>334.3</v>
      </c>
      <c r="H125" s="478">
        <f>SUM('DUoS (t-1)'!H125,'TUoS (t-1)'!H125,'JSO (t-1)'!H125)</f>
        <v>2.5000000000000001E-3</v>
      </c>
      <c r="I125" s="461">
        <f>SUM('DUoS (t-1)'!I125,'TUoS (t-1)'!I125,'JSO (t-1)'!I125)</f>
        <v>0</v>
      </c>
      <c r="J125" s="461">
        <f>SUM('DUoS (t-1)'!J125,'TUoS (t-1)'!J125,'JSO (t-1)'!J125)</f>
        <v>0</v>
      </c>
      <c r="K125" s="462">
        <f>SUM('DUoS (t-1)'!K125,'TUoS (t-1)'!K125,'JSO (t-1)'!K125)</f>
        <v>0</v>
      </c>
      <c r="L125" s="461">
        <f>SUM('DUoS (t-1)'!L125,'TUoS (t-1)'!L125,'JSO (t-1)'!L125)</f>
        <v>0</v>
      </c>
      <c r="M125" s="461">
        <f>SUM('DUoS (t-1)'!M125,'TUoS (t-1)'!M125,'JSO (t-1)'!M125)</f>
        <v>0</v>
      </c>
      <c r="N125" s="461">
        <f>SUM('DUoS (t-1)'!N125,'TUoS (t-1)'!N125,'JSO (t-1)'!N125)</f>
        <v>0</v>
      </c>
      <c r="O125" s="462">
        <f>SUM('DUoS (t-1)'!O125,'TUoS (t-1)'!O125,'JSO (t-1)'!O125)</f>
        <v>0</v>
      </c>
      <c r="P125" s="461">
        <f>SUM('DUoS (t-1)'!P125,'TUoS (t-1)'!P125,'JSO (t-1)'!P125)</f>
        <v>0</v>
      </c>
      <c r="Q125" s="461">
        <f>SUM('DUoS (t-1)'!Q125,'TUoS (t-1)'!Q125,'JSO (t-1)'!Q125)</f>
        <v>0</v>
      </c>
      <c r="R125" s="462">
        <f>SUM('DUoS (t-1)'!R125,'TUoS (t-1)'!R125,'JSO (t-1)'!R125)</f>
        <v>0</v>
      </c>
      <c r="S125" s="478">
        <f>SUM('DUoS (t-1)'!S125,'TUoS (t-1)'!S125,'JSO (t-1)'!S125)</f>
        <v>0.22109999999999999</v>
      </c>
      <c r="T125" s="483">
        <f>SUM('DUoS (t-1)'!T125,'TUoS (t-1)'!T125,'JSO (t-1)'!T125)</f>
        <v>4.1399999999999999E-2</v>
      </c>
      <c r="U125" s="480">
        <f>SUM('DUoS (t-1)'!U125,'TUoS (t-1)'!U125,'JSO (t-1)'!U125)</f>
        <v>0</v>
      </c>
      <c r="V125" s="481">
        <f>SUM('DUoS (t-1)'!V125,'TUoS (t-1)'!V125,'JSO (t-1)'!V125)</f>
        <v>0</v>
      </c>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57"/>
        <v>122.01949999999999</v>
      </c>
      <c r="AP125" s="184">
        <f t="shared" si="75"/>
        <v>215</v>
      </c>
      <c r="AQ125" s="178">
        <f t="shared" si="75"/>
        <v>0</v>
      </c>
      <c r="AR125" s="178">
        <f t="shared" si="75"/>
        <v>0</v>
      </c>
      <c r="AS125" s="179">
        <f t="shared" si="75"/>
        <v>0</v>
      </c>
      <c r="AT125" s="178">
        <f t="shared" si="75"/>
        <v>0</v>
      </c>
      <c r="AU125" s="178">
        <f t="shared" si="75"/>
        <v>0</v>
      </c>
      <c r="AV125" s="178">
        <f t="shared" si="75"/>
        <v>0</v>
      </c>
      <c r="AW125" s="179">
        <f t="shared" si="75"/>
        <v>0</v>
      </c>
      <c r="AX125" s="178">
        <f t="shared" si="61"/>
        <v>0</v>
      </c>
      <c r="AY125" s="178">
        <f t="shared" si="61"/>
        <v>0</v>
      </c>
      <c r="AZ125" s="179">
        <f t="shared" si="61"/>
        <v>0</v>
      </c>
      <c r="BA125" s="184">
        <f t="shared" si="61"/>
        <v>887.39369399999998</v>
      </c>
      <c r="BB125" s="178">
        <f t="shared" si="61"/>
        <v>239.73601499999998</v>
      </c>
      <c r="BC125" s="184">
        <f t="shared" si="61"/>
        <v>0</v>
      </c>
      <c r="BD125" s="178">
        <f t="shared" si="61"/>
        <v>0</v>
      </c>
      <c r="BE125" s="244">
        <f t="shared" si="58"/>
        <v>1</v>
      </c>
      <c r="BF125" s="245">
        <f t="shared" si="74"/>
        <v>86000</v>
      </c>
      <c r="BH125" s="255">
        <f t="shared" si="76"/>
        <v>122.01949999999999</v>
      </c>
      <c r="BI125" s="255">
        <f t="shared" si="77"/>
        <v>215</v>
      </c>
      <c r="BJ125" s="255">
        <f t="shared" si="78"/>
        <v>0</v>
      </c>
      <c r="BK125" s="256">
        <f t="shared" si="79"/>
        <v>1127.129709</v>
      </c>
      <c r="BL125" s="262">
        <f t="shared" si="80"/>
        <v>0</v>
      </c>
      <c r="BM125" s="257">
        <f t="shared" si="56"/>
        <v>1464.1492090000002</v>
      </c>
      <c r="BO125" s="714">
        <f t="shared" si="59"/>
        <v>17.024990802325583</v>
      </c>
    </row>
    <row r="126" spans="2:67" ht="15" customHeight="1" x14ac:dyDescent="0.25">
      <c r="B126" s="19">
        <f t="shared" si="67"/>
        <v>28</v>
      </c>
      <c r="C126" s="44" t="s">
        <v>146</v>
      </c>
      <c r="D126" s="45"/>
      <c r="E126" s="105" t="s">
        <v>141</v>
      </c>
      <c r="G126" s="477">
        <f>SUM('DUoS (t-1)'!G126,'TUoS (t-1)'!G126,'JSO (t-1)'!G126)</f>
        <v>440</v>
      </c>
      <c r="H126" s="478">
        <f>SUM('DUoS (t-1)'!H126,'TUoS (t-1)'!H126,'JSO (t-1)'!H126)</f>
        <v>2.5000000000000001E-3</v>
      </c>
      <c r="I126" s="461">
        <f>SUM('DUoS (t-1)'!I126,'TUoS (t-1)'!I126,'JSO (t-1)'!I126)</f>
        <v>0</v>
      </c>
      <c r="J126" s="461">
        <f>SUM('DUoS (t-1)'!J126,'TUoS (t-1)'!J126,'JSO (t-1)'!J126)</f>
        <v>0</v>
      </c>
      <c r="K126" s="462">
        <f>SUM('DUoS (t-1)'!K126,'TUoS (t-1)'!K126,'JSO (t-1)'!K126)</f>
        <v>0</v>
      </c>
      <c r="L126" s="461">
        <f>SUM('DUoS (t-1)'!L126,'TUoS (t-1)'!L126,'JSO (t-1)'!L126)</f>
        <v>0</v>
      </c>
      <c r="M126" s="461">
        <f>SUM('DUoS (t-1)'!M126,'TUoS (t-1)'!M126,'JSO (t-1)'!M126)</f>
        <v>0</v>
      </c>
      <c r="N126" s="461">
        <f>SUM('DUoS (t-1)'!N126,'TUoS (t-1)'!N126,'JSO (t-1)'!N126)</f>
        <v>0</v>
      </c>
      <c r="O126" s="462">
        <f>SUM('DUoS (t-1)'!O126,'TUoS (t-1)'!O126,'JSO (t-1)'!O126)</f>
        <v>0</v>
      </c>
      <c r="P126" s="461">
        <f>SUM('DUoS (t-1)'!P126,'TUoS (t-1)'!P126,'JSO (t-1)'!P126)</f>
        <v>0</v>
      </c>
      <c r="Q126" s="461">
        <f>SUM('DUoS (t-1)'!Q126,'TUoS (t-1)'!Q126,'JSO (t-1)'!Q126)</f>
        <v>0</v>
      </c>
      <c r="R126" s="462">
        <f>SUM('DUoS (t-1)'!R126,'TUoS (t-1)'!R126,'JSO (t-1)'!R126)</f>
        <v>0</v>
      </c>
      <c r="S126" s="478">
        <f>SUM('DUoS (t-1)'!S126,'TUoS (t-1)'!S126,'JSO (t-1)'!S126)</f>
        <v>0.25169999999999998</v>
      </c>
      <c r="T126" s="483">
        <f>SUM('DUoS (t-1)'!T126,'TUoS (t-1)'!T126,'JSO (t-1)'!T126)</f>
        <v>4.1399999999999999E-2</v>
      </c>
      <c r="U126" s="480">
        <f>SUM('DUoS (t-1)'!U126,'TUoS (t-1)'!U126,'JSO (t-1)'!U126)</f>
        <v>0</v>
      </c>
      <c r="V126" s="481">
        <f>SUM('DUoS (t-1)'!V126,'TUoS (t-1)'!V126,'JSO (t-1)'!V126)</f>
        <v>0</v>
      </c>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57"/>
        <v>160.6</v>
      </c>
      <c r="AP126" s="184">
        <f t="shared" si="75"/>
        <v>69.75</v>
      </c>
      <c r="AQ126" s="178">
        <f t="shared" si="75"/>
        <v>0</v>
      </c>
      <c r="AR126" s="178">
        <f t="shared" si="75"/>
        <v>0</v>
      </c>
      <c r="AS126" s="179">
        <f t="shared" si="75"/>
        <v>0</v>
      </c>
      <c r="AT126" s="178">
        <f t="shared" si="75"/>
        <v>0</v>
      </c>
      <c r="AU126" s="178">
        <f t="shared" si="75"/>
        <v>0</v>
      </c>
      <c r="AV126" s="178">
        <f t="shared" si="75"/>
        <v>0</v>
      </c>
      <c r="AW126" s="179">
        <f t="shared" si="75"/>
        <v>0</v>
      </c>
      <c r="AX126" s="178">
        <f t="shared" si="61"/>
        <v>0</v>
      </c>
      <c r="AY126" s="178">
        <f t="shared" si="61"/>
        <v>0</v>
      </c>
      <c r="AZ126" s="179">
        <f t="shared" si="61"/>
        <v>0</v>
      </c>
      <c r="BA126" s="184">
        <f t="shared" ref="AX126:BD129" si="81">S126*AJ126/1000</f>
        <v>926.42212199999994</v>
      </c>
      <c r="BB126" s="178">
        <f t="shared" si="81"/>
        <v>194.856345</v>
      </c>
      <c r="BC126" s="184">
        <f t="shared" si="81"/>
        <v>0</v>
      </c>
      <c r="BD126" s="178">
        <f t="shared" si="81"/>
        <v>0</v>
      </c>
      <c r="BE126" s="244">
        <f t="shared" si="58"/>
        <v>1</v>
      </c>
      <c r="BF126" s="245">
        <f t="shared" si="74"/>
        <v>27900</v>
      </c>
      <c r="BH126" s="255">
        <f t="shared" si="76"/>
        <v>160.6</v>
      </c>
      <c r="BI126" s="255">
        <f t="shared" si="77"/>
        <v>69.75</v>
      </c>
      <c r="BJ126" s="255">
        <f t="shared" si="78"/>
        <v>0</v>
      </c>
      <c r="BK126" s="256">
        <f t="shared" si="79"/>
        <v>1121.2784669999999</v>
      </c>
      <c r="BL126" s="262">
        <f t="shared" si="80"/>
        <v>0</v>
      </c>
      <c r="BM126" s="257">
        <f t="shared" si="56"/>
        <v>1351.6284669999998</v>
      </c>
      <c r="BO126" s="714">
        <f t="shared" si="59"/>
        <v>48.445464767025079</v>
      </c>
    </row>
    <row r="127" spans="2:67" ht="15" customHeight="1" x14ac:dyDescent="0.25">
      <c r="B127" s="19">
        <f t="shared" si="67"/>
        <v>29</v>
      </c>
      <c r="C127" s="44" t="s">
        <v>147</v>
      </c>
      <c r="D127" s="45"/>
      <c r="E127" s="105" t="s">
        <v>141</v>
      </c>
      <c r="G127" s="477">
        <f>SUM('DUoS (t-1)'!G127,'TUoS (t-1)'!G127,'JSO (t-1)'!G127)</f>
        <v>3459</v>
      </c>
      <c r="H127" s="478">
        <f>SUM('DUoS (t-1)'!H127,'TUoS (t-1)'!H127,'JSO (t-1)'!H127)</f>
        <v>2.5000000000000001E-3</v>
      </c>
      <c r="I127" s="461">
        <f>SUM('DUoS (t-1)'!I127,'TUoS (t-1)'!I127,'JSO (t-1)'!I127)</f>
        <v>0</v>
      </c>
      <c r="J127" s="461">
        <f>SUM('DUoS (t-1)'!J127,'TUoS (t-1)'!J127,'JSO (t-1)'!J127)</f>
        <v>0</v>
      </c>
      <c r="K127" s="462">
        <f>SUM('DUoS (t-1)'!K127,'TUoS (t-1)'!K127,'JSO (t-1)'!K127)</f>
        <v>0</v>
      </c>
      <c r="L127" s="461">
        <f>SUM('DUoS (t-1)'!L127,'TUoS (t-1)'!L127,'JSO (t-1)'!L127)</f>
        <v>0</v>
      </c>
      <c r="M127" s="461">
        <f>SUM('DUoS (t-1)'!M127,'TUoS (t-1)'!M127,'JSO (t-1)'!M127)</f>
        <v>0</v>
      </c>
      <c r="N127" s="461">
        <f>SUM('DUoS (t-1)'!N127,'TUoS (t-1)'!N127,'JSO (t-1)'!N127)</f>
        <v>0</v>
      </c>
      <c r="O127" s="462">
        <f>SUM('DUoS (t-1)'!O127,'TUoS (t-1)'!O127,'JSO (t-1)'!O127)</f>
        <v>0</v>
      </c>
      <c r="P127" s="461">
        <f>SUM('DUoS (t-1)'!P127,'TUoS (t-1)'!P127,'JSO (t-1)'!P127)</f>
        <v>0</v>
      </c>
      <c r="Q127" s="461">
        <f>SUM('DUoS (t-1)'!Q127,'TUoS (t-1)'!Q127,'JSO (t-1)'!Q127)</f>
        <v>0</v>
      </c>
      <c r="R127" s="462">
        <f>SUM('DUoS (t-1)'!R127,'TUoS (t-1)'!R127,'JSO (t-1)'!R127)</f>
        <v>0</v>
      </c>
      <c r="S127" s="478">
        <f>SUM('DUoS (t-1)'!S127,'TUoS (t-1)'!S127,'JSO (t-1)'!S127)</f>
        <v>0</v>
      </c>
      <c r="T127" s="483">
        <f>SUM('DUoS (t-1)'!T127,'TUoS (t-1)'!T127,'JSO (t-1)'!T127)</f>
        <v>4.1399999999999999E-2</v>
      </c>
      <c r="U127" s="480">
        <f>SUM('DUoS (t-1)'!U127,'TUoS (t-1)'!U127,'JSO (t-1)'!U127)</f>
        <v>0</v>
      </c>
      <c r="V127" s="481">
        <f>SUM('DUoS (t-1)'!V127,'TUoS (t-1)'!V127,'JSO (t-1)'!V127)</f>
        <v>0</v>
      </c>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57"/>
        <v>1262.5350000000001</v>
      </c>
      <c r="AP127" s="184">
        <f t="shared" si="75"/>
        <v>68.5</v>
      </c>
      <c r="AQ127" s="178">
        <f t="shared" si="75"/>
        <v>0</v>
      </c>
      <c r="AR127" s="178">
        <f t="shared" si="75"/>
        <v>0</v>
      </c>
      <c r="AS127" s="179">
        <f t="shared" si="75"/>
        <v>0</v>
      </c>
      <c r="AT127" s="178">
        <f t="shared" si="75"/>
        <v>0</v>
      </c>
      <c r="AU127" s="178">
        <f t="shared" si="75"/>
        <v>0</v>
      </c>
      <c r="AV127" s="178">
        <f t="shared" si="75"/>
        <v>0</v>
      </c>
      <c r="AW127" s="179">
        <f t="shared" si="75"/>
        <v>0</v>
      </c>
      <c r="AX127" s="178">
        <f t="shared" si="81"/>
        <v>0</v>
      </c>
      <c r="AY127" s="178">
        <f t="shared" si="81"/>
        <v>0</v>
      </c>
      <c r="AZ127" s="179">
        <f t="shared" si="81"/>
        <v>0</v>
      </c>
      <c r="BA127" s="184">
        <f t="shared" si="81"/>
        <v>0</v>
      </c>
      <c r="BB127" s="178">
        <f t="shared" si="81"/>
        <v>384.19717500000002</v>
      </c>
      <c r="BC127" s="184">
        <f t="shared" si="81"/>
        <v>0</v>
      </c>
      <c r="BD127" s="178">
        <f t="shared" si="81"/>
        <v>0</v>
      </c>
      <c r="BE127" s="244">
        <f t="shared" si="58"/>
        <v>1</v>
      </c>
      <c r="BF127" s="245">
        <f t="shared" si="74"/>
        <v>27400</v>
      </c>
      <c r="BH127" s="255">
        <f t="shared" si="76"/>
        <v>1262.5350000000001</v>
      </c>
      <c r="BI127" s="255">
        <f t="shared" si="77"/>
        <v>68.5</v>
      </c>
      <c r="BJ127" s="255">
        <f t="shared" si="78"/>
        <v>0</v>
      </c>
      <c r="BK127" s="256">
        <f t="shared" si="79"/>
        <v>384.19717500000002</v>
      </c>
      <c r="BL127" s="262">
        <f t="shared" si="80"/>
        <v>0</v>
      </c>
      <c r="BM127" s="257">
        <f t="shared" si="56"/>
        <v>1715.2321750000001</v>
      </c>
      <c r="BO127" s="714">
        <f t="shared" si="59"/>
        <v>62.599714416058397</v>
      </c>
    </row>
    <row r="128" spans="2:67" ht="15" customHeight="1" x14ac:dyDescent="0.25">
      <c r="B128" s="19">
        <f t="shared" si="67"/>
        <v>30</v>
      </c>
      <c r="C128" s="44" t="s">
        <v>148</v>
      </c>
      <c r="D128" s="45"/>
      <c r="E128" s="105" t="s">
        <v>141</v>
      </c>
      <c r="G128" s="477">
        <f>SUM('DUoS (t-1)'!G128,'TUoS (t-1)'!G128,'JSO (t-1)'!G128)</f>
        <v>1625.1</v>
      </c>
      <c r="H128" s="478">
        <f>SUM('DUoS (t-1)'!H128,'TUoS (t-1)'!H128,'JSO (t-1)'!H128)</f>
        <v>2.5000000000000001E-3</v>
      </c>
      <c r="I128" s="461">
        <f>SUM('DUoS (t-1)'!I128,'TUoS (t-1)'!I128,'JSO (t-1)'!I128)</f>
        <v>0</v>
      </c>
      <c r="J128" s="461">
        <f>SUM('DUoS (t-1)'!J128,'TUoS (t-1)'!J128,'JSO (t-1)'!J128)</f>
        <v>0</v>
      </c>
      <c r="K128" s="462">
        <f>SUM('DUoS (t-1)'!K128,'TUoS (t-1)'!K128,'JSO (t-1)'!K128)</f>
        <v>0</v>
      </c>
      <c r="L128" s="461">
        <f>SUM('DUoS (t-1)'!L128,'TUoS (t-1)'!L128,'JSO (t-1)'!L128)</f>
        <v>0</v>
      </c>
      <c r="M128" s="461">
        <f>SUM('DUoS (t-1)'!M128,'TUoS (t-1)'!M128,'JSO (t-1)'!M128)</f>
        <v>0</v>
      </c>
      <c r="N128" s="461">
        <f>SUM('DUoS (t-1)'!N128,'TUoS (t-1)'!N128,'JSO (t-1)'!N128)</f>
        <v>0</v>
      </c>
      <c r="O128" s="462">
        <f>SUM('DUoS (t-1)'!O128,'TUoS (t-1)'!O128,'JSO (t-1)'!O128)</f>
        <v>0</v>
      </c>
      <c r="P128" s="461">
        <f>SUM('DUoS (t-1)'!P128,'TUoS (t-1)'!P128,'JSO (t-1)'!P128)</f>
        <v>0</v>
      </c>
      <c r="Q128" s="461">
        <f>SUM('DUoS (t-1)'!Q128,'TUoS (t-1)'!Q128,'JSO (t-1)'!Q128)</f>
        <v>0</v>
      </c>
      <c r="R128" s="462">
        <f>SUM('DUoS (t-1)'!R128,'TUoS (t-1)'!R128,'JSO (t-1)'!R128)</f>
        <v>0</v>
      </c>
      <c r="S128" s="478">
        <f>SUM('DUoS (t-1)'!S128,'TUoS (t-1)'!S128,'JSO (t-1)'!S128)</f>
        <v>0</v>
      </c>
      <c r="T128" s="483">
        <f>SUM('DUoS (t-1)'!T128,'TUoS (t-1)'!T128,'JSO (t-1)'!T128)</f>
        <v>4.1399999999999999E-2</v>
      </c>
      <c r="U128" s="480">
        <f>SUM('DUoS (t-1)'!U128,'TUoS (t-1)'!U128,'JSO (t-1)'!U128)</f>
        <v>0</v>
      </c>
      <c r="V128" s="481">
        <f>SUM('DUoS (t-1)'!V128,'TUoS (t-1)'!V128,'JSO (t-1)'!V128)</f>
        <v>0</v>
      </c>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57"/>
        <v>593.16150000000005</v>
      </c>
      <c r="AP128" s="184">
        <f t="shared" si="75"/>
        <v>147.5</v>
      </c>
      <c r="AQ128" s="178">
        <f t="shared" si="75"/>
        <v>0</v>
      </c>
      <c r="AR128" s="178">
        <f t="shared" si="75"/>
        <v>0</v>
      </c>
      <c r="AS128" s="179">
        <f t="shared" si="75"/>
        <v>0</v>
      </c>
      <c r="AT128" s="178">
        <f t="shared" si="75"/>
        <v>0</v>
      </c>
      <c r="AU128" s="178">
        <f t="shared" si="75"/>
        <v>0</v>
      </c>
      <c r="AV128" s="178">
        <f t="shared" si="75"/>
        <v>0</v>
      </c>
      <c r="AW128" s="179">
        <f t="shared" si="75"/>
        <v>0</v>
      </c>
      <c r="AX128" s="178">
        <f t="shared" si="81"/>
        <v>0</v>
      </c>
      <c r="AY128" s="178">
        <f t="shared" si="81"/>
        <v>0</v>
      </c>
      <c r="AZ128" s="179">
        <f t="shared" si="81"/>
        <v>0</v>
      </c>
      <c r="BA128" s="184">
        <f t="shared" si="81"/>
        <v>0</v>
      </c>
      <c r="BB128" s="178">
        <f t="shared" si="81"/>
        <v>255.54212099999998</v>
      </c>
      <c r="BC128" s="184">
        <f t="shared" si="81"/>
        <v>0</v>
      </c>
      <c r="BD128" s="178">
        <f t="shared" si="81"/>
        <v>0</v>
      </c>
      <c r="BE128" s="244">
        <f t="shared" si="58"/>
        <v>1</v>
      </c>
      <c r="BF128" s="245">
        <f t="shared" si="74"/>
        <v>59000</v>
      </c>
      <c r="BH128" s="255">
        <f t="shared" si="76"/>
        <v>593.16150000000005</v>
      </c>
      <c r="BI128" s="255">
        <f t="shared" si="77"/>
        <v>147.5</v>
      </c>
      <c r="BJ128" s="255">
        <f t="shared" si="78"/>
        <v>0</v>
      </c>
      <c r="BK128" s="256">
        <f t="shared" si="79"/>
        <v>255.54212099999998</v>
      </c>
      <c r="BL128" s="262">
        <f t="shared" si="80"/>
        <v>0</v>
      </c>
      <c r="BM128" s="257">
        <f t="shared" si="56"/>
        <v>996.203621</v>
      </c>
      <c r="BO128" s="714">
        <f t="shared" si="59"/>
        <v>16.884807135593221</v>
      </c>
    </row>
    <row r="129" spans="1:72" ht="15" customHeight="1" x14ac:dyDescent="0.25">
      <c r="A129" s="214"/>
      <c r="B129" s="26">
        <f t="shared" si="67"/>
        <v>31</v>
      </c>
      <c r="C129" s="839" t="s">
        <v>149</v>
      </c>
      <c r="D129" s="56"/>
      <c r="E129" s="840" t="s">
        <v>141</v>
      </c>
      <c r="G129" s="485">
        <f>SUM('DUoS (t-1)'!G129,'TUoS (t-1)'!G129,'JSO (t-1)'!G129)</f>
        <v>864.12</v>
      </c>
      <c r="H129" s="486">
        <f>SUM('DUoS (t-1)'!H129,'TUoS (t-1)'!H129,'JSO (t-1)'!H129)</f>
        <v>2.5000000000000001E-3</v>
      </c>
      <c r="I129" s="487">
        <f>SUM('DUoS (t-1)'!I129,'TUoS (t-1)'!I129,'JSO (t-1)'!I129)</f>
        <v>0</v>
      </c>
      <c r="J129" s="487">
        <f>SUM('DUoS (t-1)'!J129,'TUoS (t-1)'!J129,'JSO (t-1)'!J129)</f>
        <v>0</v>
      </c>
      <c r="K129" s="488">
        <f>SUM('DUoS (t-1)'!K129,'TUoS (t-1)'!K129,'JSO (t-1)'!K129)</f>
        <v>0</v>
      </c>
      <c r="L129" s="487">
        <f>SUM('DUoS (t-1)'!L129,'TUoS (t-1)'!L129,'JSO (t-1)'!L129)</f>
        <v>0</v>
      </c>
      <c r="M129" s="487">
        <f>SUM('DUoS (t-1)'!M129,'TUoS (t-1)'!M129,'JSO (t-1)'!M129)</f>
        <v>0</v>
      </c>
      <c r="N129" s="487">
        <f>SUM('DUoS (t-1)'!N129,'TUoS (t-1)'!N129,'JSO (t-1)'!N129)</f>
        <v>0</v>
      </c>
      <c r="O129" s="488">
        <f>SUM('DUoS (t-1)'!O129,'TUoS (t-1)'!O129,'JSO (t-1)'!O129)</f>
        <v>0</v>
      </c>
      <c r="P129" s="487">
        <f>SUM('DUoS (t-1)'!P129,'TUoS (t-1)'!P129,'JSO (t-1)'!P129)</f>
        <v>0</v>
      </c>
      <c r="Q129" s="487">
        <f>SUM('DUoS (t-1)'!Q129,'TUoS (t-1)'!Q129,'JSO (t-1)'!Q129)</f>
        <v>0</v>
      </c>
      <c r="R129" s="488">
        <f>SUM('DUoS (t-1)'!R129,'TUoS (t-1)'!R129,'JSO (t-1)'!R129)</f>
        <v>0</v>
      </c>
      <c r="S129" s="486">
        <f>SUM('DUoS (t-1)'!S129,'TUoS (t-1)'!S129,'JSO (t-1)'!S129)</f>
        <v>0</v>
      </c>
      <c r="T129" s="489">
        <f>SUM('DUoS (t-1)'!T129,'TUoS (t-1)'!T129,'JSO (t-1)'!T129)</f>
        <v>4.1399999999999999E-2</v>
      </c>
      <c r="U129" s="492">
        <f>SUM('DUoS (t-1)'!U129,'TUoS (t-1)'!U129,'JSO (t-1)'!U129)</f>
        <v>0</v>
      </c>
      <c r="V129" s="493">
        <f>SUM('DUoS (t-1)'!V129,'TUoS (t-1)'!V129,'JSO (t-1)'!V129)</f>
        <v>0</v>
      </c>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57"/>
        <v>0</v>
      </c>
      <c r="AP129" s="197">
        <f t="shared" si="75"/>
        <v>0</v>
      </c>
      <c r="AQ129" s="192">
        <f t="shared" si="75"/>
        <v>0</v>
      </c>
      <c r="AR129" s="192">
        <f t="shared" si="75"/>
        <v>0</v>
      </c>
      <c r="AS129" s="193">
        <f t="shared" si="75"/>
        <v>0</v>
      </c>
      <c r="AT129" s="192">
        <f t="shared" si="75"/>
        <v>0</v>
      </c>
      <c r="AU129" s="192">
        <f t="shared" si="75"/>
        <v>0</v>
      </c>
      <c r="AV129" s="192">
        <f t="shared" si="75"/>
        <v>0</v>
      </c>
      <c r="AW129" s="193">
        <f t="shared" si="75"/>
        <v>0</v>
      </c>
      <c r="AX129" s="192">
        <f t="shared" si="81"/>
        <v>0</v>
      </c>
      <c r="AY129" s="192">
        <f t="shared" si="81"/>
        <v>0</v>
      </c>
      <c r="AZ129" s="193">
        <f t="shared" si="81"/>
        <v>0</v>
      </c>
      <c r="BA129" s="197">
        <f t="shared" si="81"/>
        <v>0</v>
      </c>
      <c r="BB129" s="192">
        <f t="shared" si="81"/>
        <v>0</v>
      </c>
      <c r="BC129" s="197">
        <f t="shared" si="81"/>
        <v>0</v>
      </c>
      <c r="BD129" s="193">
        <f t="shared" si="81"/>
        <v>0</v>
      </c>
      <c r="BE129" s="246">
        <f t="shared" si="58"/>
        <v>0</v>
      </c>
      <c r="BF129" s="247">
        <f t="shared" si="74"/>
        <v>0</v>
      </c>
      <c r="BH129" s="258">
        <f t="shared" si="76"/>
        <v>0</v>
      </c>
      <c r="BI129" s="258">
        <f t="shared" si="77"/>
        <v>0</v>
      </c>
      <c r="BJ129" s="258">
        <f t="shared" si="78"/>
        <v>0</v>
      </c>
      <c r="BK129" s="259">
        <f t="shared" si="79"/>
        <v>0</v>
      </c>
      <c r="BL129" s="263">
        <f t="shared" si="80"/>
        <v>0</v>
      </c>
      <c r="BM129" s="264">
        <f t="shared" si="56"/>
        <v>0</v>
      </c>
      <c r="BO129" s="714" t="str">
        <f t="shared" si="59"/>
        <v/>
      </c>
    </row>
    <row r="130" spans="1:72" x14ac:dyDescent="0.25">
      <c r="BE130" s="248"/>
      <c r="BF130" s="249"/>
    </row>
    <row r="131" spans="1:72"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82">SUM(X16:X25)</f>
        <v>293618410</v>
      </c>
      <c r="Y131" s="218">
        <f t="shared" si="82"/>
        <v>2400100</v>
      </c>
      <c r="Z131" s="218">
        <f t="shared" si="82"/>
        <v>570050</v>
      </c>
      <c r="AA131" s="218">
        <f t="shared" si="82"/>
        <v>114350</v>
      </c>
      <c r="AB131" s="218">
        <f t="shared" si="82"/>
        <v>126950</v>
      </c>
      <c r="AC131" s="218">
        <f t="shared" si="82"/>
        <v>361300</v>
      </c>
      <c r="AD131" s="218">
        <f t="shared" si="82"/>
        <v>0</v>
      </c>
      <c r="AE131" s="218">
        <f t="shared" si="82"/>
        <v>92600</v>
      </c>
      <c r="AF131" s="218">
        <f t="shared" si="82"/>
        <v>23100</v>
      </c>
      <c r="AG131" s="218">
        <f t="shared" si="82"/>
        <v>0</v>
      </c>
      <c r="AH131" s="218">
        <f t="shared" si="82"/>
        <v>0</v>
      </c>
      <c r="AI131" s="218">
        <f t="shared" si="82"/>
        <v>0</v>
      </c>
      <c r="AJ131" s="218">
        <f t="shared" si="82"/>
        <v>0</v>
      </c>
      <c r="AK131" s="218">
        <f t="shared" si="82"/>
        <v>0</v>
      </c>
      <c r="AL131" s="218">
        <f t="shared" si="82"/>
        <v>446395</v>
      </c>
      <c r="AM131" s="218">
        <f t="shared" si="82"/>
        <v>0</v>
      </c>
      <c r="AO131" s="218">
        <f t="shared" ref="AO131:BD131" si="83">SUM(AO16:AO25)</f>
        <v>136767.45537799998</v>
      </c>
      <c r="AP131" s="218">
        <f t="shared" si="83"/>
        <v>330733.77999999997</v>
      </c>
      <c r="AQ131" s="218">
        <f t="shared" si="83"/>
        <v>98188.565000000002</v>
      </c>
      <c r="AR131" s="218">
        <f t="shared" si="83"/>
        <v>7877.7300000000005</v>
      </c>
      <c r="AS131" s="218">
        <f t="shared" si="83"/>
        <v>4376.3</v>
      </c>
      <c r="AT131" s="218">
        <f t="shared" si="83"/>
        <v>24929.7</v>
      </c>
      <c r="AU131" s="218">
        <f t="shared" si="83"/>
        <v>0</v>
      </c>
      <c r="AV131" s="218">
        <f t="shared" si="83"/>
        <v>6389.4000000000005</v>
      </c>
      <c r="AW131" s="218">
        <f t="shared" si="83"/>
        <v>796.95</v>
      </c>
      <c r="AX131" s="218">
        <f t="shared" si="83"/>
        <v>0</v>
      </c>
      <c r="AY131" s="218">
        <f t="shared" si="83"/>
        <v>0</v>
      </c>
      <c r="AZ131" s="218">
        <f t="shared" si="83"/>
        <v>0</v>
      </c>
      <c r="BA131" s="218">
        <f t="shared" si="83"/>
        <v>0</v>
      </c>
      <c r="BB131" s="218">
        <f t="shared" si="83"/>
        <v>0</v>
      </c>
      <c r="BC131" s="218">
        <f t="shared" si="83"/>
        <v>341.98320949999999</v>
      </c>
      <c r="BD131" s="218">
        <f t="shared" si="83"/>
        <v>0</v>
      </c>
      <c r="BE131" s="244">
        <f>SUM(BE17:BE25)</f>
        <v>804434</v>
      </c>
      <c r="BF131" s="245">
        <f>SUM(BF17:BF25)</f>
        <v>3688450</v>
      </c>
      <c r="BH131" s="218">
        <f t="shared" ref="BH131:BM131" si="84">BH16</f>
        <v>136950.89371999999</v>
      </c>
      <c r="BI131" s="218">
        <f t="shared" si="84"/>
        <v>441306.09224000003</v>
      </c>
      <c r="BJ131" s="218">
        <f t="shared" si="84"/>
        <v>32116.050000000003</v>
      </c>
      <c r="BK131" s="218">
        <f t="shared" si="84"/>
        <v>0</v>
      </c>
      <c r="BL131" s="218">
        <f t="shared" si="84"/>
        <v>341.98320949999999</v>
      </c>
      <c r="BM131" s="218">
        <f t="shared" si="84"/>
        <v>610715.01916949998</v>
      </c>
      <c r="BN131" s="718">
        <f t="shared" ref="BN131:BN136" si="85">BM131/$BM$136</f>
        <v>0.53604327308231503</v>
      </c>
      <c r="BO131" s="714">
        <f t="shared" ref="BO131:BO136" si="86">BM131*1000/BF131</f>
        <v>165.57497571323998</v>
      </c>
      <c r="BQ131" s="659">
        <f>'[19]NUOS (t)'!AT133</f>
        <v>170.25817172489204</v>
      </c>
      <c r="BR131" s="718">
        <f>BO131/BQ131-1</f>
        <v>-2.7506438981497405E-2</v>
      </c>
      <c r="BT131" s="137"/>
    </row>
    <row r="132" spans="1:72"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87">SUM(X28:X41)</f>
        <v>34229335</v>
      </c>
      <c r="Y132" s="218">
        <f t="shared" si="87"/>
        <v>447400</v>
      </c>
      <c r="Z132" s="218">
        <f t="shared" si="87"/>
        <v>200600</v>
      </c>
      <c r="AA132" s="218">
        <f t="shared" si="87"/>
        <v>272300</v>
      </c>
      <c r="AB132" s="218">
        <f t="shared" si="87"/>
        <v>379200</v>
      </c>
      <c r="AC132" s="218">
        <f t="shared" si="87"/>
        <v>6000</v>
      </c>
      <c r="AD132" s="218">
        <f t="shared" si="87"/>
        <v>0</v>
      </c>
      <c r="AE132" s="218">
        <f t="shared" si="87"/>
        <v>0</v>
      </c>
      <c r="AF132" s="218">
        <f t="shared" si="87"/>
        <v>0</v>
      </c>
      <c r="AG132" s="218">
        <f t="shared" si="87"/>
        <v>0</v>
      </c>
      <c r="AH132" s="218">
        <f t="shared" si="87"/>
        <v>1070741</v>
      </c>
      <c r="AI132" s="218">
        <f t="shared" si="87"/>
        <v>2717425</v>
      </c>
      <c r="AJ132" s="218">
        <f t="shared" si="87"/>
        <v>0</v>
      </c>
      <c r="AK132" s="218">
        <f t="shared" si="87"/>
        <v>27963015</v>
      </c>
      <c r="AL132" s="218">
        <f t="shared" si="87"/>
        <v>0</v>
      </c>
      <c r="AM132" s="218">
        <f t="shared" si="87"/>
        <v>0</v>
      </c>
      <c r="AO132" s="218">
        <f t="shared" ref="AO132:BF132" si="88">SUM(AO28:AO41)</f>
        <v>17918.473857999998</v>
      </c>
      <c r="AP132" s="218">
        <f t="shared" si="88"/>
        <v>60346.499999999993</v>
      </c>
      <c r="AQ132" s="218">
        <f t="shared" si="88"/>
        <v>35827.68</v>
      </c>
      <c r="AR132" s="218">
        <f t="shared" si="88"/>
        <v>41415.519999999997</v>
      </c>
      <c r="AS132" s="218">
        <f t="shared" si="88"/>
        <v>31613.879999999997</v>
      </c>
      <c r="AT132" s="218">
        <f t="shared" si="88"/>
        <v>429.00000000000006</v>
      </c>
      <c r="AU132" s="218">
        <f t="shared" si="88"/>
        <v>0</v>
      </c>
      <c r="AV132" s="218">
        <f t="shared" si="88"/>
        <v>0</v>
      </c>
      <c r="AW132" s="218">
        <f t="shared" si="88"/>
        <v>0</v>
      </c>
      <c r="AX132" s="218">
        <f t="shared" si="88"/>
        <v>0</v>
      </c>
      <c r="AY132" s="218">
        <f t="shared" si="88"/>
        <v>424.22758419999997</v>
      </c>
      <c r="AZ132" s="218">
        <f t="shared" si="88"/>
        <v>532.61530000000005</v>
      </c>
      <c r="BA132" s="218">
        <f t="shared" si="88"/>
        <v>0</v>
      </c>
      <c r="BB132" s="218">
        <f t="shared" si="88"/>
        <v>2276.189421</v>
      </c>
      <c r="BC132" s="218">
        <f t="shared" si="88"/>
        <v>0</v>
      </c>
      <c r="BD132" s="218">
        <f t="shared" si="88"/>
        <v>0</v>
      </c>
      <c r="BE132" s="244">
        <f t="shared" si="88"/>
        <v>93779</v>
      </c>
      <c r="BF132" s="245">
        <f t="shared" si="88"/>
        <v>1305500</v>
      </c>
      <c r="BH132" s="218">
        <f t="shared" ref="BH132:BM132" si="89">BH28</f>
        <v>17918.473857999998</v>
      </c>
      <c r="BI132" s="218">
        <f t="shared" si="89"/>
        <v>169203.58</v>
      </c>
      <c r="BJ132" s="218">
        <f t="shared" si="89"/>
        <v>429.00000000000006</v>
      </c>
      <c r="BK132" s="218">
        <f t="shared" si="89"/>
        <v>3233.0323052000003</v>
      </c>
      <c r="BL132" s="218">
        <f t="shared" si="89"/>
        <v>0</v>
      </c>
      <c r="BM132" s="218">
        <f t="shared" si="89"/>
        <v>190784.08616319997</v>
      </c>
      <c r="BN132" s="718">
        <f t="shared" si="85"/>
        <v>0.16745703444138837</v>
      </c>
      <c r="BO132" s="714">
        <f t="shared" si="86"/>
        <v>146.13871019777861</v>
      </c>
      <c r="BQ132" s="659">
        <f>'[19]NUOS (t)'!AT134</f>
        <v>146.48379397738697</v>
      </c>
      <c r="BR132" s="718">
        <f t="shared" ref="BR132:BR139" si="90">BO132/BQ132-1</f>
        <v>-2.3557812795429456E-3</v>
      </c>
      <c r="BT132" s="137"/>
    </row>
    <row r="133" spans="1:72"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91">SUM(X42:X69)</f>
        <v>1953845</v>
      </c>
      <c r="Y133" s="218">
        <f t="shared" si="91"/>
        <v>10000</v>
      </c>
      <c r="Z133" s="218">
        <f t="shared" si="91"/>
        <v>1383994</v>
      </c>
      <c r="AA133" s="218">
        <f t="shared" si="91"/>
        <v>0</v>
      </c>
      <c r="AB133" s="218">
        <f t="shared" si="91"/>
        <v>1232955</v>
      </c>
      <c r="AC133" s="218">
        <f t="shared" si="91"/>
        <v>0</v>
      </c>
      <c r="AD133" s="218">
        <f t="shared" si="91"/>
        <v>0</v>
      </c>
      <c r="AE133" s="218">
        <f t="shared" si="91"/>
        <v>0</v>
      </c>
      <c r="AF133" s="218">
        <f t="shared" si="91"/>
        <v>0</v>
      </c>
      <c r="AG133" s="218">
        <f t="shared" si="91"/>
        <v>3555144</v>
      </c>
      <c r="AH133" s="218">
        <f t="shared" si="91"/>
        <v>757869</v>
      </c>
      <c r="AI133" s="218">
        <f t="shared" si="91"/>
        <v>1631915</v>
      </c>
      <c r="AJ133" s="218">
        <f t="shared" si="91"/>
        <v>232218475</v>
      </c>
      <c r="AK133" s="218">
        <f t="shared" si="91"/>
        <v>345057495</v>
      </c>
      <c r="AL133" s="218">
        <f t="shared" si="91"/>
        <v>0</v>
      </c>
      <c r="AM133" s="218">
        <f t="shared" si="91"/>
        <v>0</v>
      </c>
      <c r="AO133" s="218">
        <f t="shared" ref="AO133:BF133" si="92">SUM(AO42:AO69)</f>
        <v>13418.970229999999</v>
      </c>
      <c r="AP133" s="218">
        <f t="shared" si="92"/>
        <v>770</v>
      </c>
      <c r="AQ133" s="218">
        <f t="shared" si="92"/>
        <v>91574.062800000014</v>
      </c>
      <c r="AR133" s="218">
        <f t="shared" si="92"/>
        <v>0</v>
      </c>
      <c r="AS133" s="218">
        <f t="shared" si="92"/>
        <v>51019.497000000003</v>
      </c>
      <c r="AT133" s="218">
        <f t="shared" si="92"/>
        <v>0</v>
      </c>
      <c r="AU133" s="218">
        <f t="shared" si="92"/>
        <v>0</v>
      </c>
      <c r="AV133" s="218">
        <f t="shared" si="92"/>
        <v>0</v>
      </c>
      <c r="AW133" s="218">
        <f t="shared" si="92"/>
        <v>0</v>
      </c>
      <c r="AX133" s="218">
        <f t="shared" si="92"/>
        <v>3264.6887351999994</v>
      </c>
      <c r="AY133" s="218">
        <f t="shared" si="92"/>
        <v>300.26769780000001</v>
      </c>
      <c r="AZ133" s="218">
        <f t="shared" si="92"/>
        <v>319.85534000000001</v>
      </c>
      <c r="BA133" s="218">
        <f t="shared" si="92"/>
        <v>58820.939717499983</v>
      </c>
      <c r="BB133" s="218">
        <f t="shared" si="92"/>
        <v>35747.956481999994</v>
      </c>
      <c r="BC133" s="218">
        <f t="shared" si="92"/>
        <v>0</v>
      </c>
      <c r="BD133" s="218">
        <f t="shared" si="92"/>
        <v>0</v>
      </c>
      <c r="BE133" s="244">
        <f t="shared" si="92"/>
        <v>5353</v>
      </c>
      <c r="BF133" s="245">
        <f t="shared" si="92"/>
        <v>2626949</v>
      </c>
      <c r="BH133" s="218">
        <f t="shared" ref="BH133:BM133" si="93">BH42</f>
        <v>13418.970229999999</v>
      </c>
      <c r="BI133" s="218">
        <f t="shared" si="93"/>
        <v>143363.55980000005</v>
      </c>
      <c r="BJ133" s="218">
        <f t="shared" si="93"/>
        <v>0</v>
      </c>
      <c r="BK133" s="218">
        <f t="shared" si="93"/>
        <v>98453.707972499964</v>
      </c>
      <c r="BL133" s="218">
        <f t="shared" si="93"/>
        <v>0</v>
      </c>
      <c r="BM133" s="218">
        <f t="shared" si="93"/>
        <v>255236.23800250003</v>
      </c>
      <c r="BN133" s="718">
        <f t="shared" si="85"/>
        <v>0.22402866170563923</v>
      </c>
      <c r="BO133" s="714">
        <f t="shared" si="86"/>
        <v>97.16071305628698</v>
      </c>
      <c r="BQ133" s="659">
        <f>'[19]NUOS (t)'!AT135</f>
        <v>97.609685747815405</v>
      </c>
      <c r="BR133" s="718">
        <f t="shared" si="90"/>
        <v>-4.5996735681373968E-3</v>
      </c>
      <c r="BT133" s="137"/>
    </row>
    <row r="134" spans="1:72"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94">SUM(X70:X93)</f>
        <v>72635</v>
      </c>
      <c r="Y134" s="218">
        <f t="shared" si="94"/>
        <v>0</v>
      </c>
      <c r="Z134" s="218">
        <f t="shared" si="94"/>
        <v>364504</v>
      </c>
      <c r="AA134" s="218">
        <f t="shared" si="94"/>
        <v>0</v>
      </c>
      <c r="AB134" s="218">
        <f t="shared" si="94"/>
        <v>350404</v>
      </c>
      <c r="AC134" s="218">
        <f t="shared" si="94"/>
        <v>0</v>
      </c>
      <c r="AD134" s="218">
        <f t="shared" si="94"/>
        <v>0</v>
      </c>
      <c r="AE134" s="218">
        <f t="shared" si="94"/>
        <v>0</v>
      </c>
      <c r="AF134" s="218">
        <f t="shared" si="94"/>
        <v>0</v>
      </c>
      <c r="AG134" s="218">
        <f t="shared" si="94"/>
        <v>1488105</v>
      </c>
      <c r="AH134" s="218">
        <f t="shared" si="94"/>
        <v>0</v>
      </c>
      <c r="AI134" s="218">
        <f t="shared" si="94"/>
        <v>0</v>
      </c>
      <c r="AJ134" s="218">
        <f t="shared" si="94"/>
        <v>59423825</v>
      </c>
      <c r="AK134" s="218">
        <f t="shared" si="94"/>
        <v>87282815</v>
      </c>
      <c r="AL134" s="218">
        <f t="shared" si="94"/>
        <v>0</v>
      </c>
      <c r="AM134" s="218">
        <f t="shared" si="94"/>
        <v>0</v>
      </c>
      <c r="AO134" s="218">
        <f t="shared" ref="AO134:BF134" si="95">SUM(AO70:AO93)</f>
        <v>3009.9084059999991</v>
      </c>
      <c r="AP134" s="218">
        <f t="shared" si="95"/>
        <v>0</v>
      </c>
      <c r="AQ134" s="218">
        <f t="shared" si="95"/>
        <v>15021.635600000001</v>
      </c>
      <c r="AR134" s="218">
        <f t="shared" si="95"/>
        <v>0</v>
      </c>
      <c r="AS134" s="218">
        <f t="shared" si="95"/>
        <v>9016.4736000000012</v>
      </c>
      <c r="AT134" s="218">
        <f t="shared" si="95"/>
        <v>0</v>
      </c>
      <c r="AU134" s="218">
        <f t="shared" si="95"/>
        <v>0</v>
      </c>
      <c r="AV134" s="218">
        <f t="shared" si="95"/>
        <v>0</v>
      </c>
      <c r="AW134" s="218">
        <f t="shared" si="95"/>
        <v>0</v>
      </c>
      <c r="AX134" s="218">
        <f t="shared" si="95"/>
        <v>1158.9361739999999</v>
      </c>
      <c r="AY134" s="218">
        <f t="shared" si="95"/>
        <v>0</v>
      </c>
      <c r="AZ134" s="218">
        <f t="shared" si="95"/>
        <v>0</v>
      </c>
      <c r="BA134" s="218">
        <f t="shared" si="95"/>
        <v>12624.773080999998</v>
      </c>
      <c r="BB134" s="218">
        <f t="shared" si="95"/>
        <v>9042.4996340000016</v>
      </c>
      <c r="BC134" s="218">
        <f t="shared" si="95"/>
        <v>0</v>
      </c>
      <c r="BD134" s="218">
        <f t="shared" si="95"/>
        <v>0</v>
      </c>
      <c r="BE134" s="244">
        <f t="shared" si="95"/>
        <v>199</v>
      </c>
      <c r="BF134" s="245">
        <f t="shared" si="95"/>
        <v>714908</v>
      </c>
      <c r="BH134" s="218">
        <f t="shared" ref="BH134:BM134" si="96">BH70</f>
        <v>3009.9084059999991</v>
      </c>
      <c r="BI134" s="218">
        <f t="shared" si="96"/>
        <v>24038.10920000001</v>
      </c>
      <c r="BJ134" s="218">
        <f t="shared" si="96"/>
        <v>0</v>
      </c>
      <c r="BK134" s="218">
        <f t="shared" si="96"/>
        <v>22826.208888999998</v>
      </c>
      <c r="BL134" s="218">
        <f t="shared" si="96"/>
        <v>0</v>
      </c>
      <c r="BM134" s="218">
        <f t="shared" si="96"/>
        <v>49874.22649500001</v>
      </c>
      <c r="BN134" s="718">
        <f t="shared" si="85"/>
        <v>4.3776135797650113E-2</v>
      </c>
      <c r="BO134" s="714">
        <f t="shared" si="86"/>
        <v>69.763139445914732</v>
      </c>
      <c r="BQ134" s="659">
        <f>'[19]NUOS (t)'!AT136</f>
        <v>72.051715082964776</v>
      </c>
      <c r="BR134" s="718">
        <f t="shared" si="90"/>
        <v>-3.1762958514101158E-2</v>
      </c>
      <c r="BT134" s="137"/>
    </row>
    <row r="135" spans="1:72"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97">SUM(X94:X129)</f>
        <v>10220</v>
      </c>
      <c r="Y135" s="218">
        <f t="shared" si="97"/>
        <v>1181592</v>
      </c>
      <c r="Z135" s="218">
        <f t="shared" si="97"/>
        <v>0</v>
      </c>
      <c r="AA135" s="218">
        <f t="shared" si="97"/>
        <v>0</v>
      </c>
      <c r="AB135" s="218">
        <f t="shared" si="97"/>
        <v>0</v>
      </c>
      <c r="AC135" s="218">
        <f t="shared" si="97"/>
        <v>0</v>
      </c>
      <c r="AD135" s="218">
        <f t="shared" si="97"/>
        <v>0</v>
      </c>
      <c r="AE135" s="218">
        <f t="shared" si="97"/>
        <v>0</v>
      </c>
      <c r="AF135" s="218">
        <f t="shared" si="97"/>
        <v>0</v>
      </c>
      <c r="AG135" s="218">
        <f t="shared" si="97"/>
        <v>0</v>
      </c>
      <c r="AH135" s="218">
        <f t="shared" si="97"/>
        <v>0</v>
      </c>
      <c r="AI135" s="218">
        <f t="shared" si="97"/>
        <v>0</v>
      </c>
      <c r="AJ135" s="218">
        <f t="shared" si="97"/>
        <v>82932745</v>
      </c>
      <c r="AK135" s="218">
        <f t="shared" si="97"/>
        <v>125423125</v>
      </c>
      <c r="AL135" s="218">
        <f t="shared" si="97"/>
        <v>0</v>
      </c>
      <c r="AM135" s="218">
        <f t="shared" si="97"/>
        <v>0</v>
      </c>
      <c r="AO135" s="218">
        <f t="shared" ref="AO135:BF135" si="98">SUM(AO94:AO129)</f>
        <v>10715.843703500002</v>
      </c>
      <c r="AP135" s="218">
        <f t="shared" si="98"/>
        <v>5626.9328000000005</v>
      </c>
      <c r="AQ135" s="218">
        <f t="shared" si="98"/>
        <v>0</v>
      </c>
      <c r="AR135" s="218">
        <f t="shared" si="98"/>
        <v>0</v>
      </c>
      <c r="AS135" s="218">
        <f t="shared" si="98"/>
        <v>0</v>
      </c>
      <c r="AT135" s="218">
        <f t="shared" si="98"/>
        <v>0</v>
      </c>
      <c r="AU135" s="218">
        <f t="shared" si="98"/>
        <v>0</v>
      </c>
      <c r="AV135" s="218">
        <f t="shared" si="98"/>
        <v>0</v>
      </c>
      <c r="AW135" s="218">
        <f t="shared" si="98"/>
        <v>0</v>
      </c>
      <c r="AX135" s="218">
        <f t="shared" si="98"/>
        <v>0</v>
      </c>
      <c r="AY135" s="218">
        <f t="shared" si="98"/>
        <v>0</v>
      </c>
      <c r="AZ135" s="218">
        <f t="shared" si="98"/>
        <v>0</v>
      </c>
      <c r="BA135" s="218">
        <f t="shared" si="98"/>
        <v>9574.2002804999993</v>
      </c>
      <c r="BB135" s="218">
        <f t="shared" si="98"/>
        <v>6775.1662080000015</v>
      </c>
      <c r="BC135" s="218">
        <f t="shared" si="98"/>
        <v>0</v>
      </c>
      <c r="BD135" s="218">
        <f t="shared" si="98"/>
        <v>0</v>
      </c>
      <c r="BE135" s="244">
        <f t="shared" si="98"/>
        <v>28</v>
      </c>
      <c r="BF135" s="245">
        <f t="shared" si="98"/>
        <v>1181592</v>
      </c>
      <c r="BH135" s="218">
        <f t="shared" ref="BH135:BM135" si="99">BH94</f>
        <v>10715.843703500002</v>
      </c>
      <c r="BI135" s="218">
        <f t="shared" si="99"/>
        <v>5626.9328000000005</v>
      </c>
      <c r="BJ135" s="218">
        <f t="shared" si="99"/>
        <v>0</v>
      </c>
      <c r="BK135" s="218">
        <f t="shared" si="99"/>
        <v>16349.3664885</v>
      </c>
      <c r="BL135" s="218">
        <f t="shared" si="99"/>
        <v>0</v>
      </c>
      <c r="BM135" s="218">
        <f t="shared" si="99"/>
        <v>32692.142992000001</v>
      </c>
      <c r="BN135" s="718">
        <f t="shared" si="85"/>
        <v>2.8694894973006983E-2</v>
      </c>
      <c r="BO135" s="714">
        <f t="shared" si="86"/>
        <v>27.667877737831674</v>
      </c>
      <c r="BQ135" s="659">
        <f>'[19]NUOS (t)'!AT137</f>
        <v>27.296410725554065</v>
      </c>
      <c r="BR135" s="718">
        <f t="shared" si="90"/>
        <v>1.3608639465915395E-2</v>
      </c>
      <c r="BT135" s="137"/>
    </row>
    <row r="136" spans="1:72"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00">SUM(X131:X135)</f>
        <v>329884445</v>
      </c>
      <c r="Y136" s="221">
        <f t="shared" si="100"/>
        <v>4039092</v>
      </c>
      <c r="Z136" s="221">
        <f t="shared" si="100"/>
        <v>2519148</v>
      </c>
      <c r="AA136" s="221">
        <f t="shared" si="100"/>
        <v>386650</v>
      </c>
      <c r="AB136" s="221">
        <f t="shared" si="100"/>
        <v>2089509</v>
      </c>
      <c r="AC136" s="221">
        <f t="shared" si="100"/>
        <v>367300</v>
      </c>
      <c r="AD136" s="221">
        <f t="shared" si="100"/>
        <v>0</v>
      </c>
      <c r="AE136" s="221">
        <f t="shared" si="100"/>
        <v>92600</v>
      </c>
      <c r="AF136" s="221">
        <f t="shared" si="100"/>
        <v>23100</v>
      </c>
      <c r="AG136" s="221">
        <f t="shared" si="100"/>
        <v>5043249</v>
      </c>
      <c r="AH136" s="221">
        <f t="shared" si="100"/>
        <v>1828610</v>
      </c>
      <c r="AI136" s="221">
        <f t="shared" si="100"/>
        <v>4349340</v>
      </c>
      <c r="AJ136" s="221">
        <f t="shared" si="100"/>
        <v>374575045</v>
      </c>
      <c r="AK136" s="221">
        <f t="shared" si="100"/>
        <v>585726450</v>
      </c>
      <c r="AL136" s="221">
        <f t="shared" si="100"/>
        <v>446395</v>
      </c>
      <c r="AM136" s="221">
        <f>SUM(AM131:AM135)</f>
        <v>0</v>
      </c>
      <c r="AO136" s="221">
        <f>SUM(AO131:AO135)</f>
        <v>181830.6515755</v>
      </c>
      <c r="AP136" s="221">
        <f t="shared" ref="AP136:BD136" si="101">SUM(AP131:AP135)</f>
        <v>397477.21279999998</v>
      </c>
      <c r="AQ136" s="221">
        <f t="shared" si="101"/>
        <v>240611.94340000002</v>
      </c>
      <c r="AR136" s="221">
        <f t="shared" si="101"/>
        <v>49293.25</v>
      </c>
      <c r="AS136" s="221">
        <f t="shared" si="101"/>
        <v>96026.150599999994</v>
      </c>
      <c r="AT136" s="221">
        <f t="shared" si="101"/>
        <v>25358.7</v>
      </c>
      <c r="AU136" s="221">
        <f t="shared" si="101"/>
        <v>0</v>
      </c>
      <c r="AV136" s="221">
        <f t="shared" si="101"/>
        <v>6389.4000000000005</v>
      </c>
      <c r="AW136" s="221">
        <f t="shared" si="101"/>
        <v>796.95</v>
      </c>
      <c r="AX136" s="221">
        <f t="shared" si="101"/>
        <v>4423.6249091999998</v>
      </c>
      <c r="AY136" s="221">
        <f t="shared" si="101"/>
        <v>724.49528199999997</v>
      </c>
      <c r="AZ136" s="221">
        <f t="shared" si="101"/>
        <v>852.47064</v>
      </c>
      <c r="BA136" s="221">
        <f t="shared" si="101"/>
        <v>81019.913078999976</v>
      </c>
      <c r="BB136" s="221">
        <f t="shared" si="101"/>
        <v>53841.811744999999</v>
      </c>
      <c r="BC136" s="221">
        <f t="shared" si="101"/>
        <v>341.98320949999999</v>
      </c>
      <c r="BD136" s="221">
        <f t="shared" si="101"/>
        <v>0</v>
      </c>
      <c r="BE136" s="238">
        <f>SUM(BE131:BE135)</f>
        <v>903793</v>
      </c>
      <c r="BF136" s="239">
        <f>SUM(BF131:BF135)</f>
        <v>9517399</v>
      </c>
      <c r="BH136" s="221">
        <f t="shared" ref="BH136:BM136" si="102">SUM(BH131:BH135)</f>
        <v>182014.08991750001</v>
      </c>
      <c r="BI136" s="221">
        <f t="shared" si="102"/>
        <v>783538.27404000005</v>
      </c>
      <c r="BJ136" s="221">
        <f t="shared" si="102"/>
        <v>32545.050000000003</v>
      </c>
      <c r="BK136" s="221">
        <f t="shared" si="102"/>
        <v>140862.31565519996</v>
      </c>
      <c r="BL136" s="221">
        <f t="shared" si="102"/>
        <v>341.98320949999999</v>
      </c>
      <c r="BM136" s="221">
        <f t="shared" si="102"/>
        <v>1139301.7128222003</v>
      </c>
      <c r="BN136" s="718">
        <f t="shared" si="85"/>
        <v>1</v>
      </c>
      <c r="BO136" s="715">
        <f t="shared" si="86"/>
        <v>119.70725539847602</v>
      </c>
      <c r="BQ136" s="659">
        <f>'[19]NUOS (t)'!AT138</f>
        <v>121.11818256028208</v>
      </c>
      <c r="BR136" s="718">
        <f t="shared" si="90"/>
        <v>-1.164917712585245E-2</v>
      </c>
      <c r="BS136" s="128"/>
      <c r="BT136" s="137"/>
    </row>
    <row r="137" spans="1:72"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R137" s="718"/>
    </row>
    <row r="138" spans="1:72"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136950.89371999999</v>
      </c>
      <c r="BI138" s="218">
        <f>BI131</f>
        <v>441306.09224000003</v>
      </c>
      <c r="BJ138" s="218"/>
      <c r="BK138" s="218">
        <f>BK131</f>
        <v>0</v>
      </c>
      <c r="BL138" s="218">
        <f>BL131</f>
        <v>341.98320949999999</v>
      </c>
      <c r="BM138" s="218">
        <f>SUM(BH138:BL138)</f>
        <v>578598.96916949993</v>
      </c>
      <c r="BN138" s="718">
        <f>BM138/$BM$136</f>
        <v>0.50785403256897965</v>
      </c>
      <c r="BO138" s="714">
        <f>BM138*1000/BF138</f>
        <v>180.16751597238007</v>
      </c>
      <c r="BQ138" s="659">
        <f>'[19]NUOS (t)'!AT131</f>
        <v>184.77974696924755</v>
      </c>
      <c r="BR138" s="718">
        <f t="shared" si="90"/>
        <v>-2.4960695490264362E-2</v>
      </c>
    </row>
    <row r="139" spans="1:72"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32116.050000000003</v>
      </c>
      <c r="BK139" s="218"/>
      <c r="BL139" s="218"/>
      <c r="BM139" s="218">
        <f>SUM(BH139:BL139)</f>
        <v>32116.050000000003</v>
      </c>
      <c r="BN139" s="718">
        <f>BM139/$BM$136</f>
        <v>2.818924051333542E-2</v>
      </c>
      <c r="BO139" s="714">
        <f>BM139*1000/BF139</f>
        <v>67.329245283018878</v>
      </c>
      <c r="BQ139" s="659">
        <f>'[19]NUOS (t)'!AT132</f>
        <v>73.400000000000006</v>
      </c>
      <c r="BR139" s="718">
        <f t="shared" si="90"/>
        <v>-8.2707829931622956E-2</v>
      </c>
    </row>
    <row r="140" spans="1:72"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716"/>
      <c r="BH140" s="218"/>
      <c r="BI140" s="218"/>
      <c r="BJ140" s="218"/>
      <c r="BK140" s="218"/>
      <c r="BL140" s="218"/>
      <c r="BM140" s="218"/>
      <c r="BN140" s="718"/>
      <c r="BO140" s="714"/>
    </row>
    <row r="141" spans="1:72"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row>
    <row r="142" spans="1:72"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row>
    <row r="143" spans="1:72"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row>
    <row r="144" spans="1:72" x14ac:dyDescent="0.25">
      <c r="E144" s="224" t="s">
        <v>45</v>
      </c>
      <c r="F144" s="224"/>
      <c r="G144" s="225">
        <f>SUM(AO18:AO19,AX18:BD19)</f>
        <v>108049.20384</v>
      </c>
      <c r="H144" s="225">
        <f>SUM(AP18:AS19)</f>
        <v>330733.77999999997</v>
      </c>
      <c r="I144" s="225">
        <f>SUM(G144:H144)</f>
        <v>438782.98384</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28545.004215000001</v>
      </c>
      <c r="H145" s="225">
        <f>SUM(AP22:AS23)</f>
        <v>110372.33</v>
      </c>
      <c r="I145" s="225">
        <f t="shared" ref="I145:I164" si="103">SUM(G145:H145)</f>
        <v>138917.33421500001</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515.23053249999998</v>
      </c>
      <c r="H146" s="225">
        <f>SUM(AP24:AS25)</f>
        <v>70.265000000000001</v>
      </c>
      <c r="I146" s="225">
        <f t="shared" si="103"/>
        <v>585.49553249999997</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183.43834199999998</v>
      </c>
      <c r="H147" s="225">
        <f>SUM(AP26:AS27)</f>
        <v>129.71724</v>
      </c>
      <c r="I147" s="225">
        <f t="shared" si="103"/>
        <v>313.15558199999998</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25358.700000000004</v>
      </c>
      <c r="I148" s="225">
        <f t="shared" si="103"/>
        <v>25358.700000000004</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7186.35</v>
      </c>
      <c r="I149" s="225">
        <f t="shared" si="103"/>
        <v>7186.35</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10627.199999999999</v>
      </c>
      <c r="I150" s="225">
        <f t="shared" si="103"/>
        <v>10627.199999999999</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12778.926523999999</v>
      </c>
      <c r="H151" s="225">
        <f>SUM(AP33:AS37,AP44:AS47)</f>
        <v>88495.889999999985</v>
      </c>
      <c r="I151" s="225">
        <f t="shared" si="103"/>
        <v>101274.81652399998</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4153.2158639999998</v>
      </c>
      <c r="H152" s="225">
        <f>SUM(AP39:AS39)</f>
        <v>60891.159999999996</v>
      </c>
      <c r="I152" s="225">
        <f t="shared" si="103"/>
        <v>65044.375863999994</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2564.2063950000002</v>
      </c>
      <c r="H153" s="225">
        <f>SUM(AP40:AS40)</f>
        <v>7832.25</v>
      </c>
      <c r="I153" s="225">
        <f t="shared" si="103"/>
        <v>10396.456395000001</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1655.1573802000003</v>
      </c>
      <c r="H154" s="225">
        <f>SUM(AP41:AS41)</f>
        <v>1357.08</v>
      </c>
      <c r="I154" s="225">
        <f t="shared" si="103"/>
        <v>3012.2373802000002</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SUM(AO49:AO49,AO56:AO69,AX49:BD49,AX56:BD69)</f>
        <v>104390.16014779998</v>
      </c>
      <c r="H155" s="225">
        <f>SUM(AP49:AS49,AP56:AS69)</f>
        <v>135534.174</v>
      </c>
      <c r="I155" s="225">
        <f t="shared" si="103"/>
        <v>239924.33414779999</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SUM(AO50:AO51,AX50:BD51)</f>
        <v>6686.8568443999993</v>
      </c>
      <c r="H156" s="225">
        <f>SUM(AP50:AS51)</f>
        <v>6956.5260000000007</v>
      </c>
      <c r="I156" s="225">
        <f t="shared" si="103"/>
        <v>13643.382844399999</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681.02555080000013</v>
      </c>
      <c r="H157" s="225">
        <f>SUM(AP52:AS53)</f>
        <v>770</v>
      </c>
      <c r="I157" s="225">
        <f t="shared" si="103"/>
        <v>1451.0255508</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23443.820789999998</v>
      </c>
      <c r="H158" s="225">
        <f>SUM(AP72:AS72,AP76:AS76,AP79:AS87)</f>
        <v>22318.349200000001</v>
      </c>
      <c r="I158" s="225">
        <f t="shared" si="103"/>
        <v>45762.169989999995</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2359.0201849999999</v>
      </c>
      <c r="H159" s="225">
        <f>SUM(AP73:AS74)</f>
        <v>1719.7600000000002</v>
      </c>
      <c r="I159" s="225">
        <f t="shared" si="103"/>
        <v>4078.7801850000001</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33.276319999999998</v>
      </c>
      <c r="H160" s="225">
        <f>SUM(AP75:AS75,AP77:AS77)</f>
        <v>0</v>
      </c>
      <c r="I160" s="225">
        <f t="shared" si="103"/>
        <v>33.276319999999998</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3515.6456170000001</v>
      </c>
      <c r="H161" s="225">
        <f>SUM(AP96:AS103)</f>
        <v>1526.4698000000001</v>
      </c>
      <c r="I161" s="225">
        <f t="shared" si="103"/>
        <v>5042.115417</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SUM(AO105:AO113,AX105:BD113)</f>
        <v>8449.3658375000014</v>
      </c>
      <c r="H162" s="225">
        <f>SUM(AP105:AS113)</f>
        <v>2273.739</v>
      </c>
      <c r="I162" s="225">
        <f t="shared" si="103"/>
        <v>10723.104837500001</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1002.9752145000002</v>
      </c>
      <c r="H163" s="225">
        <f>SUM(AP116:AS119)</f>
        <v>191.31600000000003</v>
      </c>
      <c r="I163" s="225">
        <f t="shared" si="103"/>
        <v>1194.2912145000003</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13724.083293000005</v>
      </c>
      <c r="H164" s="225">
        <f>SUM(AP121:AS129)</f>
        <v>1620.25</v>
      </c>
      <c r="I164" s="225">
        <f t="shared" si="103"/>
        <v>15344.333293000005</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322730.61289270001</v>
      </c>
      <c r="H165" s="226">
        <f>SUM(H144:H164)</f>
        <v>815965.30623999995</v>
      </c>
      <c r="I165" s="226">
        <f>SUM(I144:I164)</f>
        <v>1138695.9191326997</v>
      </c>
    </row>
    <row r="166" spans="3:57" x14ac:dyDescent="0.25">
      <c r="E166" s="222" t="s">
        <v>176</v>
      </c>
      <c r="F166" s="222"/>
      <c r="G166" s="227"/>
      <c r="H166" s="227"/>
      <c r="I166" s="228">
        <f>SUM(BM136)</f>
        <v>1139301.7128222003</v>
      </c>
    </row>
    <row r="167" spans="3:57" x14ac:dyDescent="0.25">
      <c r="E167" s="222" t="s">
        <v>177</v>
      </c>
      <c r="F167" s="222"/>
      <c r="G167" s="228"/>
      <c r="H167" s="228"/>
      <c r="I167" s="228">
        <f>I166-I165</f>
        <v>605.79368950054049</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D762F-02C9-4F78-A2CD-942001761838}">
  <sheetPr>
    <tabColor rgb="FFFF0000"/>
    <pageSetUpPr fitToPage="1"/>
  </sheetPr>
  <dimension ref="A1:AC454"/>
  <sheetViews>
    <sheetView showGridLines="0" zoomScale="90" zoomScaleNormal="90" workbookViewId="0">
      <pane xSplit="4" ySplit="15" topLeftCell="E149" activePane="bottomRight" state="frozenSplit"/>
      <selection activeCell="X100" sqref="X100:BO101"/>
      <selection pane="topRight" activeCell="X100" sqref="X100:BO101"/>
      <selection pane="bottomLeft" activeCell="X100" sqref="X100:BO101"/>
      <selection pane="bottomRight" activeCell="H155" sqref="H155:H162"/>
    </sheetView>
  </sheetViews>
  <sheetFormatPr defaultRowHeight="15" x14ac:dyDescent="0.25"/>
  <cols>
    <col min="1" max="1" width="1.5703125" style="3" customWidth="1"/>
    <col min="2" max="2" width="7.7109375" style="3" customWidth="1"/>
    <col min="3" max="3" width="12.7109375" style="3" bestFit="1" customWidth="1"/>
    <col min="4" max="4" width="14" style="3" bestFit="1" customWidth="1"/>
    <col min="5" max="5" width="48.42578125" style="3" bestFit="1" customWidth="1"/>
    <col min="6" max="6" width="3.7109375" style="3" customWidth="1"/>
    <col min="7" max="24" width="13.140625" style="3" customWidth="1"/>
    <col min="25" max="26" width="9.140625" style="3"/>
    <col min="27" max="29" width="12.140625" style="128" customWidth="1"/>
    <col min="30" max="16384" width="9.140625" style="3"/>
  </cols>
  <sheetData>
    <row r="1" spans="2:29" ht="24" customHeight="1" x14ac:dyDescent="0.35">
      <c r="B1" s="1" t="str">
        <f>'Model Update'!D5</f>
        <v>SA Power Networks</v>
      </c>
      <c r="C1" s="2"/>
      <c r="D1" s="2"/>
      <c r="G1" s="4" t="s">
        <v>11</v>
      </c>
    </row>
    <row r="2" spans="2:29" ht="21.75" customHeight="1" x14ac:dyDescent="0.25">
      <c r="B2" s="5" t="s">
        <v>178</v>
      </c>
      <c r="C2" s="2"/>
      <c r="D2" s="2"/>
      <c r="H2" s="6" t="s">
        <v>13</v>
      </c>
      <c r="I2" s="6"/>
      <c r="J2" s="6"/>
      <c r="K2" s="6"/>
    </row>
    <row r="3" spans="2:29" ht="18" hidden="1" customHeight="1" x14ac:dyDescent="0.3">
      <c r="B3" s="7"/>
      <c r="C3" s="2"/>
      <c r="D3" s="2"/>
      <c r="H3" s="6"/>
      <c r="I3" s="6"/>
      <c r="J3" s="6"/>
      <c r="K3" s="6"/>
    </row>
    <row r="4" spans="2:29" ht="18" hidden="1" customHeight="1" x14ac:dyDescent="0.3">
      <c r="B4" s="7"/>
      <c r="C4" s="2"/>
      <c r="D4" s="2"/>
      <c r="H4" s="6"/>
      <c r="I4" s="6"/>
      <c r="J4" s="6"/>
      <c r="K4" s="6"/>
    </row>
    <row r="5" spans="2:29" ht="12.75" customHeight="1" x14ac:dyDescent="0.3">
      <c r="B5" s="7"/>
      <c r="C5" s="2"/>
      <c r="D5" s="2"/>
      <c r="H5" s="6"/>
      <c r="I5" s="6"/>
      <c r="J5" s="6"/>
      <c r="K5" s="6"/>
    </row>
    <row r="6" spans="2:29" ht="12.75" customHeight="1" x14ac:dyDescent="0.3">
      <c r="B6" s="7"/>
      <c r="C6" s="2"/>
      <c r="D6" s="2"/>
      <c r="I6" s="6"/>
      <c r="J6" s="6"/>
      <c r="K6" s="6"/>
    </row>
    <row r="7" spans="2:29" ht="18.75" x14ac:dyDescent="0.3">
      <c r="B7" s="7" t="str">
        <f>"Information for financial year ending 30 June "&amp;'Model Update'!C12</f>
        <v>Information for financial year ending 30 June 2022</v>
      </c>
      <c r="C7" s="2"/>
      <c r="D7" s="2"/>
      <c r="H7" s="6"/>
      <c r="I7" s="6"/>
      <c r="J7" s="6"/>
      <c r="K7" s="6"/>
      <c r="W7" s="251">
        <f>Days_Year</f>
        <v>365</v>
      </c>
    </row>
    <row r="8" spans="2:29" x14ac:dyDescent="0.25">
      <c r="B8" s="8"/>
      <c r="C8" s="2"/>
      <c r="D8" s="2"/>
    </row>
    <row r="9" spans="2:29" ht="18.75" x14ac:dyDescent="0.25">
      <c r="B9" s="8"/>
      <c r="C9" s="2"/>
      <c r="D9" s="2"/>
      <c r="G9" s="913" t="s">
        <v>15</v>
      </c>
      <c r="H9" s="913"/>
      <c r="I9" s="913"/>
      <c r="J9" s="913"/>
      <c r="K9" s="913"/>
      <c r="L9" s="913"/>
      <c r="M9" s="913"/>
      <c r="N9" s="913"/>
      <c r="O9" s="913"/>
      <c r="P9" s="913"/>
      <c r="Q9" s="913"/>
      <c r="R9" s="913"/>
      <c r="S9" s="913"/>
      <c r="T9" s="913"/>
      <c r="U9" s="913"/>
      <c r="V9" s="914"/>
      <c r="W9" s="915"/>
      <c r="X9" s="915"/>
    </row>
    <row r="10" spans="2:29" x14ac:dyDescent="0.25">
      <c r="E10" s="9"/>
      <c r="V10" s="10"/>
    </row>
    <row r="11" spans="2:29" ht="12.75" x14ac:dyDescent="0.2">
      <c r="B11" s="11" t="s">
        <v>16</v>
      </c>
      <c r="C11" s="12"/>
      <c r="D11" s="12"/>
      <c r="E11" s="13"/>
      <c r="G11" s="121">
        <f>'Model Update'!C12</f>
        <v>2022</v>
      </c>
      <c r="H11" s="122">
        <f>$G$11</f>
        <v>2022</v>
      </c>
      <c r="I11" s="12"/>
      <c r="J11" s="14"/>
      <c r="K11" s="15"/>
      <c r="L11" s="122">
        <f>$G$11</f>
        <v>2022</v>
      </c>
      <c r="M11" s="16"/>
      <c r="N11" s="16"/>
      <c r="O11" s="15"/>
      <c r="P11" s="122">
        <f>$G$11</f>
        <v>2022</v>
      </c>
      <c r="Q11" s="12"/>
      <c r="R11" s="14"/>
      <c r="S11" s="122">
        <f>$G$11</f>
        <v>2022</v>
      </c>
      <c r="T11" s="17"/>
      <c r="U11" s="122">
        <f>$G$11</f>
        <v>2022</v>
      </c>
      <c r="V11" s="13"/>
      <c r="W11" s="919" t="s">
        <v>17</v>
      </c>
      <c r="X11" s="920"/>
      <c r="AA11" s="452"/>
      <c r="AB11" s="12"/>
      <c r="AC11" s="13"/>
    </row>
    <row r="12" spans="2:29" x14ac:dyDescent="0.25">
      <c r="B12" s="18"/>
      <c r="E12" s="10"/>
      <c r="G12" s="19" t="s">
        <v>18</v>
      </c>
      <c r="H12" s="20" t="s">
        <v>19</v>
      </c>
      <c r="J12" s="21"/>
      <c r="K12" s="637"/>
      <c r="L12" s="20" t="s">
        <v>20</v>
      </c>
      <c r="M12" s="23"/>
      <c r="N12" s="23"/>
      <c r="O12" s="637"/>
      <c r="P12" s="904" t="s">
        <v>21</v>
      </c>
      <c r="Q12" s="905"/>
      <c r="R12" s="906"/>
      <c r="S12" s="907" t="s">
        <v>634</v>
      </c>
      <c r="T12" s="908"/>
      <c r="U12" s="904" t="s">
        <v>635</v>
      </c>
      <c r="V12" s="906"/>
      <c r="W12" s="24"/>
      <c r="X12" s="637" t="s">
        <v>23</v>
      </c>
      <c r="AA12" s="916" t="s">
        <v>366</v>
      </c>
      <c r="AB12" s="917"/>
      <c r="AC12" s="918"/>
    </row>
    <row r="13" spans="2:29" x14ac:dyDescent="0.25">
      <c r="B13" s="18"/>
      <c r="E13" s="10"/>
      <c r="G13" s="19"/>
      <c r="H13" s="25" t="s">
        <v>23</v>
      </c>
      <c r="I13" s="21" t="s">
        <v>23</v>
      </c>
      <c r="J13" s="21" t="s">
        <v>23</v>
      </c>
      <c r="K13" s="637" t="s">
        <v>23</v>
      </c>
      <c r="L13" s="25" t="s">
        <v>23</v>
      </c>
      <c r="M13" s="21" t="s">
        <v>23</v>
      </c>
      <c r="N13" s="21" t="s">
        <v>23</v>
      </c>
      <c r="O13" s="637" t="s">
        <v>23</v>
      </c>
      <c r="P13" s="129" t="s">
        <v>24</v>
      </c>
      <c r="Q13" s="128" t="s">
        <v>24</v>
      </c>
      <c r="R13" s="159" t="s">
        <v>24</v>
      </c>
      <c r="S13" s="129" t="s">
        <v>24</v>
      </c>
      <c r="T13" s="159" t="s">
        <v>24</v>
      </c>
      <c r="U13" s="160" t="s">
        <v>25</v>
      </c>
      <c r="V13" s="158" t="s">
        <v>25</v>
      </c>
      <c r="W13" s="24"/>
      <c r="X13" s="637"/>
      <c r="AA13" s="825" t="s">
        <v>23</v>
      </c>
      <c r="AB13" s="826" t="s">
        <v>23</v>
      </c>
      <c r="AC13" s="827" t="s">
        <v>212</v>
      </c>
    </row>
    <row r="14" spans="2:29" s="21" customFormat="1" x14ac:dyDescent="0.25">
      <c r="B14" s="19" t="s">
        <v>26</v>
      </c>
      <c r="C14" s="21" t="s">
        <v>27</v>
      </c>
      <c r="D14" s="21" t="s">
        <v>27</v>
      </c>
      <c r="E14" s="637" t="s">
        <v>28</v>
      </c>
      <c r="F14" s="3"/>
      <c r="G14" s="19" t="s">
        <v>29</v>
      </c>
      <c r="H14" s="25" t="s">
        <v>30</v>
      </c>
      <c r="I14" s="21" t="s">
        <v>31</v>
      </c>
      <c r="J14" s="21" t="s">
        <v>32</v>
      </c>
      <c r="K14" s="637" t="s">
        <v>33</v>
      </c>
      <c r="L14" s="25" t="s">
        <v>30</v>
      </c>
      <c r="M14" s="21" t="s">
        <v>31</v>
      </c>
      <c r="N14" s="21" t="s">
        <v>32</v>
      </c>
      <c r="O14" s="637" t="s">
        <v>33</v>
      </c>
      <c r="P14" s="160"/>
      <c r="Q14" s="129"/>
      <c r="R14" s="129"/>
      <c r="S14" s="160"/>
      <c r="T14" s="158"/>
      <c r="U14" s="160" t="s">
        <v>34</v>
      </c>
      <c r="V14" s="158"/>
      <c r="W14" s="25" t="s">
        <v>22</v>
      </c>
      <c r="X14" s="637" t="s">
        <v>35</v>
      </c>
      <c r="AA14" s="825" t="s">
        <v>208</v>
      </c>
      <c r="AB14" s="826" t="s">
        <v>209</v>
      </c>
      <c r="AC14" s="827"/>
    </row>
    <row r="15" spans="2:29" s="21" customFormat="1" x14ac:dyDescent="0.25">
      <c r="B15" s="26"/>
      <c r="C15" s="27" t="s">
        <v>36</v>
      </c>
      <c r="D15" s="27" t="s">
        <v>37</v>
      </c>
      <c r="E15" s="28" t="s">
        <v>38</v>
      </c>
      <c r="F15" s="3"/>
      <c r="G15" s="26" t="s">
        <v>29</v>
      </c>
      <c r="H15" s="29" t="s">
        <v>30</v>
      </c>
      <c r="I15" s="27" t="s">
        <v>31</v>
      </c>
      <c r="J15" s="27" t="s">
        <v>39</v>
      </c>
      <c r="K15" s="28" t="s">
        <v>32</v>
      </c>
      <c r="L15" s="29" t="s">
        <v>30</v>
      </c>
      <c r="M15" s="27"/>
      <c r="N15" s="27"/>
      <c r="O15" s="28"/>
      <c r="P15" s="165" t="s">
        <v>40</v>
      </c>
      <c r="Q15" s="163" t="s">
        <v>638</v>
      </c>
      <c r="R15" s="163" t="s">
        <v>639</v>
      </c>
      <c r="S15" s="165" t="s">
        <v>637</v>
      </c>
      <c r="T15" s="164" t="s">
        <v>636</v>
      </c>
      <c r="U15" s="165" t="s">
        <v>34</v>
      </c>
      <c r="V15" s="166" t="s">
        <v>636</v>
      </c>
      <c r="W15" s="29" t="s">
        <v>22</v>
      </c>
      <c r="X15" s="28" t="s">
        <v>35</v>
      </c>
      <c r="AA15" s="165"/>
      <c r="AB15" s="163"/>
      <c r="AC15" s="164"/>
    </row>
    <row r="16" spans="2:29" ht="15" customHeight="1" x14ac:dyDescent="0.25">
      <c r="B16" s="30" t="s">
        <v>41</v>
      </c>
      <c r="C16" s="14" t="s">
        <v>42</v>
      </c>
      <c r="D16" s="12"/>
      <c r="E16" s="13"/>
      <c r="G16" s="31"/>
      <c r="H16" s="32"/>
      <c r="I16" s="33"/>
      <c r="J16" s="33"/>
      <c r="K16" s="34"/>
      <c r="L16" s="33"/>
      <c r="M16" s="33"/>
      <c r="N16" s="33"/>
      <c r="O16" s="34"/>
      <c r="P16" s="32"/>
      <c r="Q16" s="33"/>
      <c r="R16" s="34"/>
      <c r="S16" s="32"/>
      <c r="T16" s="33"/>
      <c r="U16" s="32"/>
      <c r="V16" s="34"/>
      <c r="W16" s="301">
        <f>G16/$W$7</f>
        <v>0</v>
      </c>
      <c r="X16" s="302">
        <f>SUM(H16:O16)</f>
        <v>0</v>
      </c>
      <c r="AA16" s="253">
        <f>SUBTOTAL(9,AA17:AA27)</f>
        <v>3187000</v>
      </c>
      <c r="AB16" s="253">
        <f>SUBTOTAL(9,AB17:AB27)</f>
        <v>471000</v>
      </c>
      <c r="AC16" s="254">
        <f>SUM(AA16:AB16)</f>
        <v>3658000</v>
      </c>
    </row>
    <row r="17" spans="2:29" ht="15" customHeight="1" x14ac:dyDescent="0.25">
      <c r="B17" s="35"/>
      <c r="C17" s="36" t="s">
        <v>43</v>
      </c>
      <c r="D17" s="37"/>
      <c r="E17" s="10"/>
      <c r="G17" s="38"/>
      <c r="H17" s="39"/>
      <c r="I17" s="40"/>
      <c r="J17" s="40"/>
      <c r="K17" s="41"/>
      <c r="L17" s="42"/>
      <c r="M17" s="42"/>
      <c r="N17" s="42"/>
      <c r="O17" s="43"/>
      <c r="P17" s="39"/>
      <c r="Q17" s="40"/>
      <c r="R17" s="41"/>
      <c r="S17" s="39"/>
      <c r="T17" s="40"/>
      <c r="U17" s="39"/>
      <c r="V17" s="41"/>
      <c r="W17" s="303">
        <f t="shared" ref="W17:W80" si="0">G17/$W$7</f>
        <v>0</v>
      </c>
      <c r="X17" s="304">
        <f t="shared" ref="X17:X80" si="1">SUM(H17:O17)</f>
        <v>0</v>
      </c>
      <c r="AA17" s="260">
        <f>SUBTOTAL(9,AA18:AA19)</f>
        <v>2657800</v>
      </c>
      <c r="AB17" s="261">
        <f>SUBTOTAL(9,AB18:AB19)</f>
        <v>361600</v>
      </c>
      <c r="AC17" s="254">
        <f>SUM(AA17:AB17)</f>
        <v>3019400</v>
      </c>
    </row>
    <row r="18" spans="2:29" ht="15" customHeight="1" x14ac:dyDescent="0.25">
      <c r="B18" s="156">
        <v>1</v>
      </c>
      <c r="C18" s="44" t="s">
        <v>44</v>
      </c>
      <c r="D18" s="45" t="s">
        <v>44</v>
      </c>
      <c r="E18" s="46" t="s">
        <v>641</v>
      </c>
      <c r="G18" s="47">
        <f>'[17]Billing Qty 2021 NEW Format'!G18</f>
        <v>242803475</v>
      </c>
      <c r="H18" s="48">
        <f>'[17]Billing Qty 2021 NEW Format'!H18</f>
        <v>2657800</v>
      </c>
      <c r="I18" s="40"/>
      <c r="J18" s="40"/>
      <c r="K18" s="41"/>
      <c r="L18" s="42"/>
      <c r="M18" s="49"/>
      <c r="N18" s="49"/>
      <c r="O18" s="50"/>
      <c r="P18" s="39"/>
      <c r="Q18" s="40"/>
      <c r="R18" s="41"/>
      <c r="S18" s="39"/>
      <c r="T18" s="40"/>
      <c r="U18" s="39"/>
      <c r="V18" s="41"/>
      <c r="W18" s="303">
        <f t="shared" si="0"/>
        <v>665215</v>
      </c>
      <c r="X18" s="304">
        <f t="shared" si="1"/>
        <v>2657800</v>
      </c>
      <c r="AA18" s="256">
        <f>SUM(H18:K18)</f>
        <v>2657800</v>
      </c>
      <c r="AB18" s="262">
        <f>SUM(L18:O18)</f>
        <v>0</v>
      </c>
      <c r="AC18" s="257">
        <f t="shared" ref="AC18:AC82" si="2">SUM(AA18:AB18)</f>
        <v>2657800</v>
      </c>
    </row>
    <row r="19" spans="2:29" ht="15" customHeight="1" x14ac:dyDescent="0.25">
      <c r="B19" s="156">
        <f>B18+1</f>
        <v>2</v>
      </c>
      <c r="C19" s="44" t="s">
        <v>643</v>
      </c>
      <c r="D19" s="45" t="s">
        <v>643</v>
      </c>
      <c r="E19" s="46" t="s">
        <v>47</v>
      </c>
      <c r="G19" s="47">
        <f>'[17]Billing Qty 2021 NEW Format'!G19</f>
        <v>0</v>
      </c>
      <c r="H19" s="48">
        <f>'[17]Billing Qty 2021 NEW Format'!H19</f>
        <v>0</v>
      </c>
      <c r="I19" s="40"/>
      <c r="J19" s="40"/>
      <c r="K19" s="41"/>
      <c r="L19" s="53">
        <f>'[17]Billing Qty 2021 NEW Format'!L19</f>
        <v>361600</v>
      </c>
      <c r="M19" s="49"/>
      <c r="N19" s="49"/>
      <c r="O19" s="50"/>
      <c r="P19" s="39"/>
      <c r="Q19" s="40"/>
      <c r="R19" s="41"/>
      <c r="S19" s="39"/>
      <c r="T19" s="40"/>
      <c r="U19" s="39"/>
      <c r="V19" s="41"/>
      <c r="W19" s="303">
        <f t="shared" si="0"/>
        <v>0</v>
      </c>
      <c r="X19" s="304">
        <f>SUM(H19:O19)</f>
        <v>361600</v>
      </c>
      <c r="AA19" s="256">
        <f>SUM(H19:K19)</f>
        <v>0</v>
      </c>
      <c r="AB19" s="262">
        <f>SUM(L19:O19)</f>
        <v>361600</v>
      </c>
      <c r="AC19" s="257">
        <f t="shared" si="2"/>
        <v>361600</v>
      </c>
    </row>
    <row r="20" spans="2:29" ht="15" customHeight="1" x14ac:dyDescent="0.25">
      <c r="B20" s="172"/>
      <c r="C20" s="36" t="s">
        <v>48</v>
      </c>
      <c r="D20" s="37"/>
      <c r="E20" s="10"/>
      <c r="G20" s="38"/>
      <c r="H20" s="39"/>
      <c r="I20" s="40"/>
      <c r="J20" s="40"/>
      <c r="K20" s="41"/>
      <c r="L20" s="40"/>
      <c r="M20" s="40"/>
      <c r="N20" s="40"/>
      <c r="O20" s="41"/>
      <c r="P20" s="39"/>
      <c r="Q20" s="40"/>
      <c r="R20" s="41"/>
      <c r="S20" s="39"/>
      <c r="T20" s="40"/>
      <c r="U20" s="39"/>
      <c r="V20" s="41"/>
      <c r="W20" s="303">
        <f t="shared" si="0"/>
        <v>0</v>
      </c>
      <c r="X20" s="304">
        <f t="shared" si="1"/>
        <v>0</v>
      </c>
      <c r="AA20" s="260">
        <f>SUBTOTAL(9,AA22:AA27)</f>
        <v>529200</v>
      </c>
      <c r="AB20" s="261">
        <f>SUBTOTAL(9,AB22:AB27)</f>
        <v>109400</v>
      </c>
      <c r="AC20" s="257">
        <f t="shared" si="2"/>
        <v>638600</v>
      </c>
    </row>
    <row r="21" spans="2:29" ht="15" customHeight="1" x14ac:dyDescent="0.25">
      <c r="B21" s="156">
        <f>B19+1</f>
        <v>3</v>
      </c>
      <c r="C21" s="44" t="s">
        <v>46</v>
      </c>
      <c r="D21" s="45" t="s">
        <v>46</v>
      </c>
      <c r="E21" s="182" t="s">
        <v>642</v>
      </c>
      <c r="G21" s="47">
        <v>0</v>
      </c>
      <c r="H21" s="48">
        <v>0</v>
      </c>
      <c r="I21" s="40"/>
      <c r="J21" s="40"/>
      <c r="K21" s="41"/>
      <c r="L21" s="49"/>
      <c r="M21" s="53">
        <v>0</v>
      </c>
      <c r="N21" s="53">
        <v>0</v>
      </c>
      <c r="O21" s="53">
        <v>0</v>
      </c>
      <c r="P21" s="39"/>
      <c r="Q21" s="40"/>
      <c r="R21" s="41"/>
      <c r="S21" s="39"/>
      <c r="T21" s="40"/>
      <c r="U21" s="39"/>
      <c r="V21" s="41"/>
      <c r="W21" s="303"/>
      <c r="X21" s="304">
        <f>SUM(H21:O21)</f>
        <v>0</v>
      </c>
      <c r="AA21" s="256">
        <f t="shared" ref="AA21:AA27" si="3">SUM(H21:K21)</f>
        <v>0</v>
      </c>
      <c r="AB21" s="262">
        <f t="shared" ref="AB21:AB27" si="4">SUM(L21:O21)</f>
        <v>0</v>
      </c>
      <c r="AC21" s="257">
        <f t="shared" si="2"/>
        <v>0</v>
      </c>
    </row>
    <row r="22" spans="2:29" ht="15" customHeight="1" x14ac:dyDescent="0.25">
      <c r="B22" s="156">
        <f>B21+1</f>
        <v>4</v>
      </c>
      <c r="C22" s="44" t="s">
        <v>49</v>
      </c>
      <c r="D22" s="45" t="s">
        <v>49</v>
      </c>
      <c r="E22" s="46" t="s">
        <v>50</v>
      </c>
      <c r="G22" s="47">
        <f>'[17]Billing Qty 2021 NEW Format'!G21</f>
        <v>47156905</v>
      </c>
      <c r="H22" s="39"/>
      <c r="I22" s="53">
        <f>'[17]Billing Qty 2021 NEW Format'!I21</f>
        <v>352600</v>
      </c>
      <c r="J22" s="53">
        <f>'[17]Billing Qty 2021 NEW Format'!J21</f>
        <v>67700</v>
      </c>
      <c r="K22" s="54">
        <f>'[17]Billing Qty 2021 NEW Format'!K21</f>
        <v>104400</v>
      </c>
      <c r="L22" s="49"/>
      <c r="M22" s="49"/>
      <c r="N22" s="49"/>
      <c r="O22" s="50"/>
      <c r="P22" s="39"/>
      <c r="Q22" s="40"/>
      <c r="R22" s="41"/>
      <c r="S22" s="39"/>
      <c r="T22" s="40"/>
      <c r="U22" s="39"/>
      <c r="V22" s="41"/>
      <c r="W22" s="303">
        <f t="shared" si="0"/>
        <v>129197</v>
      </c>
      <c r="X22" s="304">
        <f t="shared" si="1"/>
        <v>524700</v>
      </c>
      <c r="AA22" s="256">
        <f t="shared" si="3"/>
        <v>524700</v>
      </c>
      <c r="AB22" s="262">
        <f t="shared" si="4"/>
        <v>0</v>
      </c>
      <c r="AC22" s="257">
        <f t="shared" si="2"/>
        <v>524700</v>
      </c>
    </row>
    <row r="23" spans="2:29" ht="15" customHeight="1" x14ac:dyDescent="0.25">
      <c r="B23" s="19">
        <f>B22+1</f>
        <v>5</v>
      </c>
      <c r="C23" s="44" t="s">
        <v>51</v>
      </c>
      <c r="D23" s="45" t="s">
        <v>51</v>
      </c>
      <c r="E23" s="46" t="s">
        <v>52</v>
      </c>
      <c r="G23" s="47">
        <f>'[17]Billing Qty 2021 NEW Format'!G22</f>
        <v>0</v>
      </c>
      <c r="H23" s="39"/>
      <c r="I23" s="53">
        <f>'[17]Billing Qty 2021 NEW Format'!I22</f>
        <v>0</v>
      </c>
      <c r="J23" s="53">
        <f>'[17]Billing Qty 2021 NEW Format'!J22</f>
        <v>0</v>
      </c>
      <c r="K23" s="54">
        <f>'[17]Billing Qty 2021 NEW Format'!K22</f>
        <v>0</v>
      </c>
      <c r="L23" s="49"/>
      <c r="M23" s="53">
        <f>'[17]Billing Qty 2021 NEW Format'!M22</f>
        <v>0</v>
      </c>
      <c r="N23" s="53">
        <f>'[17]Billing Qty 2021 NEW Format'!N22</f>
        <v>87500</v>
      </c>
      <c r="O23" s="53">
        <f>'[17]Billing Qty 2021 NEW Format'!O22</f>
        <v>21900</v>
      </c>
      <c r="P23" s="39"/>
      <c r="Q23" s="40"/>
      <c r="R23" s="41"/>
      <c r="S23" s="39"/>
      <c r="T23" s="40"/>
      <c r="U23" s="39"/>
      <c r="V23" s="41"/>
      <c r="W23" s="303">
        <f t="shared" si="0"/>
        <v>0</v>
      </c>
      <c r="X23" s="304">
        <f t="shared" si="1"/>
        <v>109400</v>
      </c>
      <c r="AA23" s="256">
        <f t="shared" si="3"/>
        <v>0</v>
      </c>
      <c r="AB23" s="262">
        <f t="shared" si="4"/>
        <v>109400</v>
      </c>
      <c r="AC23" s="257">
        <f t="shared" si="2"/>
        <v>109400</v>
      </c>
    </row>
    <row r="24" spans="2:29" ht="15" customHeight="1" x14ac:dyDescent="0.25">
      <c r="B24" s="19">
        <f>B23+1</f>
        <v>6</v>
      </c>
      <c r="C24" s="44" t="s">
        <v>53</v>
      </c>
      <c r="D24" s="45" t="s">
        <v>53</v>
      </c>
      <c r="E24" s="46" t="s">
        <v>54</v>
      </c>
      <c r="G24" s="47">
        <f>'[17]Billing Qty 2021 NEW Format'!G23</f>
        <v>1460000</v>
      </c>
      <c r="H24" s="39"/>
      <c r="I24" s="53">
        <f>'[17]Billing Qty 2021 NEW Format'!I23</f>
        <v>1800</v>
      </c>
      <c r="J24" s="53">
        <f>'[17]Billing Qty 2021 NEW Format'!J23</f>
        <v>1700</v>
      </c>
      <c r="K24" s="54">
        <f>'[17]Billing Qty 2021 NEW Format'!K23</f>
        <v>1000</v>
      </c>
      <c r="L24" s="49"/>
      <c r="M24" s="49"/>
      <c r="N24" s="49"/>
      <c r="O24" s="50"/>
      <c r="P24" s="39"/>
      <c r="Q24" s="40"/>
      <c r="R24" s="41"/>
      <c r="S24" s="39"/>
      <c r="T24" s="40"/>
      <c r="U24" s="48">
        <f>'[17]Billing Qty 2021 NEW Format'!U23</f>
        <v>1752000</v>
      </c>
      <c r="V24" s="41"/>
      <c r="W24" s="303">
        <f t="shared" si="0"/>
        <v>4000</v>
      </c>
      <c r="X24" s="304">
        <f t="shared" si="1"/>
        <v>4500</v>
      </c>
      <c r="AA24" s="256">
        <f t="shared" si="3"/>
        <v>4500</v>
      </c>
      <c r="AB24" s="262">
        <f t="shared" si="4"/>
        <v>0</v>
      </c>
      <c r="AC24" s="257">
        <f t="shared" si="2"/>
        <v>4500</v>
      </c>
    </row>
    <row r="25" spans="2:29" ht="15" customHeight="1" x14ac:dyDescent="0.25">
      <c r="B25" s="19">
        <f>B24+1</f>
        <v>7</v>
      </c>
      <c r="C25" s="44" t="s">
        <v>55</v>
      </c>
      <c r="D25" s="45" t="s">
        <v>55</v>
      </c>
      <c r="E25" s="46" t="s">
        <v>56</v>
      </c>
      <c r="G25" s="47">
        <f>'[17]Billing Qty 2021 NEW Format'!G24</f>
        <v>0</v>
      </c>
      <c r="H25" s="39"/>
      <c r="I25" s="53">
        <f>'[17]Billing Qty 2021 NEW Format'!I24</f>
        <v>0</v>
      </c>
      <c r="J25" s="53">
        <f>'[17]Billing Qty 2021 NEW Format'!J24</f>
        <v>0</v>
      </c>
      <c r="K25" s="54">
        <f>'[17]Billing Qty 2021 NEW Format'!K24</f>
        <v>0</v>
      </c>
      <c r="L25" s="49"/>
      <c r="M25" s="53">
        <f>'[17]Billing Qty 2021 NEW Format'!M24</f>
        <v>0</v>
      </c>
      <c r="N25" s="53">
        <f>'[17]Billing Qty 2021 NEW Format'!N24</f>
        <v>0</v>
      </c>
      <c r="O25" s="53">
        <f>'[17]Billing Qty 2021 NEW Format'!O24</f>
        <v>0</v>
      </c>
      <c r="P25" s="39"/>
      <c r="Q25" s="40"/>
      <c r="R25" s="41"/>
      <c r="S25" s="39"/>
      <c r="T25" s="40"/>
      <c r="U25" s="39">
        <f>'[17]Billing Qty 2021 NEW Format'!U24</f>
        <v>0</v>
      </c>
      <c r="V25" s="41"/>
      <c r="W25" s="303">
        <f t="shared" si="0"/>
        <v>0</v>
      </c>
      <c r="X25" s="304">
        <f t="shared" si="1"/>
        <v>0</v>
      </c>
      <c r="AA25" s="256">
        <f t="shared" si="3"/>
        <v>0</v>
      </c>
      <c r="AB25" s="262">
        <f t="shared" si="4"/>
        <v>0</v>
      </c>
      <c r="AC25" s="257">
        <f t="shared" si="2"/>
        <v>0</v>
      </c>
    </row>
    <row r="26" spans="2:29" ht="15" customHeight="1" x14ac:dyDescent="0.25">
      <c r="B26" s="19">
        <v>8</v>
      </c>
      <c r="C26" s="44" t="s">
        <v>699</v>
      </c>
      <c r="D26" s="45" t="s">
        <v>699</v>
      </c>
      <c r="E26" s="46" t="s">
        <v>701</v>
      </c>
      <c r="G26" s="47"/>
      <c r="H26" s="39"/>
      <c r="I26" s="53"/>
      <c r="J26" s="53"/>
      <c r="K26" s="54"/>
      <c r="L26" s="49"/>
      <c r="M26" s="49"/>
      <c r="N26" s="49"/>
      <c r="O26" s="50"/>
      <c r="P26" s="39"/>
      <c r="Q26" s="40"/>
      <c r="R26" s="41"/>
      <c r="S26" s="39"/>
      <c r="T26" s="40"/>
      <c r="U26" s="48"/>
      <c r="V26" s="41"/>
      <c r="W26" s="303">
        <f t="shared" si="0"/>
        <v>0</v>
      </c>
      <c r="X26" s="304">
        <f t="shared" si="1"/>
        <v>0</v>
      </c>
      <c r="AA26" s="256">
        <f t="shared" si="3"/>
        <v>0</v>
      </c>
      <c r="AB26" s="262">
        <f t="shared" si="4"/>
        <v>0</v>
      </c>
      <c r="AC26" s="257">
        <f t="shared" si="2"/>
        <v>0</v>
      </c>
    </row>
    <row r="27" spans="2:29" ht="15" customHeight="1" x14ac:dyDescent="0.25">
      <c r="B27" s="26">
        <v>9</v>
      </c>
      <c r="C27" s="55" t="s">
        <v>700</v>
      </c>
      <c r="D27" s="56" t="s">
        <v>700</v>
      </c>
      <c r="E27" s="57" t="s">
        <v>702</v>
      </c>
      <c r="G27" s="58"/>
      <c r="H27" s="59"/>
      <c r="I27" s="60"/>
      <c r="J27" s="60"/>
      <c r="K27" s="61"/>
      <c r="L27" s="62"/>
      <c r="M27" s="60"/>
      <c r="N27" s="60"/>
      <c r="O27" s="60"/>
      <c r="P27" s="59"/>
      <c r="Q27" s="63"/>
      <c r="R27" s="64"/>
      <c r="S27" s="59"/>
      <c r="T27" s="63"/>
      <c r="U27" s="65"/>
      <c r="V27" s="64"/>
      <c r="W27" s="305">
        <f t="shared" si="0"/>
        <v>0</v>
      </c>
      <c r="X27" s="306">
        <f t="shared" si="1"/>
        <v>0</v>
      </c>
      <c r="AA27" s="256">
        <f t="shared" si="3"/>
        <v>0</v>
      </c>
      <c r="AB27" s="262">
        <f t="shared" si="4"/>
        <v>0</v>
      </c>
      <c r="AC27" s="257">
        <f t="shared" si="2"/>
        <v>0</v>
      </c>
    </row>
    <row r="28" spans="2:29" ht="15" customHeight="1" x14ac:dyDescent="0.25">
      <c r="B28" s="30" t="s">
        <v>57</v>
      </c>
      <c r="C28" s="14" t="s">
        <v>58</v>
      </c>
      <c r="D28" s="14"/>
      <c r="E28" s="13"/>
      <c r="G28" s="66"/>
      <c r="H28" s="67"/>
      <c r="I28" s="68"/>
      <c r="J28" s="68"/>
      <c r="K28" s="69"/>
      <c r="L28" s="70"/>
      <c r="M28" s="70"/>
      <c r="N28" s="70"/>
      <c r="O28" s="71"/>
      <c r="P28" s="68"/>
      <c r="Q28" s="68"/>
      <c r="R28" s="69"/>
      <c r="S28" s="67"/>
      <c r="T28" s="68"/>
      <c r="U28" s="67"/>
      <c r="V28" s="69"/>
      <c r="W28" s="301">
        <f t="shared" si="0"/>
        <v>0</v>
      </c>
      <c r="X28" s="302">
        <f t="shared" si="1"/>
        <v>0</v>
      </c>
      <c r="AA28" s="253">
        <f>SUBTOTAL(9,AA29:AA41)</f>
        <v>1340300</v>
      </c>
      <c r="AB28" s="253">
        <f>SUBTOTAL(9,AB29:AB41)</f>
        <v>6000</v>
      </c>
      <c r="AC28" s="254">
        <f t="shared" si="2"/>
        <v>1346300</v>
      </c>
    </row>
    <row r="29" spans="2:29" ht="15" customHeight="1" x14ac:dyDescent="0.25">
      <c r="B29" s="35"/>
      <c r="C29" s="36" t="s">
        <v>59</v>
      </c>
      <c r="D29" s="37"/>
      <c r="E29" s="10"/>
      <c r="G29" s="72"/>
      <c r="H29" s="73"/>
      <c r="I29" s="74"/>
      <c r="J29" s="74"/>
      <c r="K29" s="75"/>
      <c r="L29" s="51"/>
      <c r="M29" s="51"/>
      <c r="N29" s="51"/>
      <c r="O29" s="52"/>
      <c r="P29" s="74"/>
      <c r="Q29" s="74"/>
      <c r="R29" s="75"/>
      <c r="S29" s="73"/>
      <c r="T29" s="74"/>
      <c r="U29" s="73"/>
      <c r="V29" s="75"/>
      <c r="W29" s="303">
        <f t="shared" si="0"/>
        <v>0</v>
      </c>
      <c r="X29" s="304">
        <f t="shared" si="1"/>
        <v>0</v>
      </c>
      <c r="AA29" s="260">
        <f>SUBTOTAL(9,AA30:AA31)</f>
        <v>110000</v>
      </c>
      <c r="AB29" s="261">
        <f>SUBTOTAL(9,AB30:AB31)</f>
        <v>0</v>
      </c>
      <c r="AC29" s="257">
        <f t="shared" si="2"/>
        <v>110000</v>
      </c>
    </row>
    <row r="30" spans="2:29" ht="15" customHeight="1" x14ac:dyDescent="0.25">
      <c r="B30" s="19">
        <v>1</v>
      </c>
      <c r="C30" s="44" t="s">
        <v>60</v>
      </c>
      <c r="D30" s="45" t="str">
        <f>C30</f>
        <v>LVUU</v>
      </c>
      <c r="E30" s="76" t="s">
        <v>61</v>
      </c>
      <c r="G30" s="77">
        <f>'[17]Billing Qty 2021 NEW Format'!G27</f>
        <v>0</v>
      </c>
      <c r="H30" s="78">
        <f>'[17]Billing Qty 2021 NEW Format'!H27</f>
        <v>93000</v>
      </c>
      <c r="I30" s="79"/>
      <c r="J30" s="79"/>
      <c r="K30" s="80"/>
      <c r="L30" s="79"/>
      <c r="M30" s="79"/>
      <c r="N30" s="79"/>
      <c r="O30" s="80"/>
      <c r="P30" s="79"/>
      <c r="Q30" s="79"/>
      <c r="R30" s="80"/>
      <c r="S30" s="81"/>
      <c r="T30" s="79"/>
      <c r="U30" s="82"/>
      <c r="V30" s="83"/>
      <c r="W30" s="303">
        <f t="shared" si="0"/>
        <v>0</v>
      </c>
      <c r="X30" s="304">
        <f t="shared" si="1"/>
        <v>93000</v>
      </c>
      <c r="AA30" s="256">
        <f>SUM(H30:K30)</f>
        <v>93000</v>
      </c>
      <c r="AB30" s="262">
        <f>SUM(L30:O30)</f>
        <v>0</v>
      </c>
      <c r="AC30" s="257">
        <f t="shared" si="2"/>
        <v>93000</v>
      </c>
    </row>
    <row r="31" spans="2:29" ht="15" customHeight="1" x14ac:dyDescent="0.25">
      <c r="B31" s="19">
        <f t="shared" ref="B31:B41" si="5">B30+1</f>
        <v>2</v>
      </c>
      <c r="C31" s="44" t="s">
        <v>62</v>
      </c>
      <c r="D31" s="45" t="str">
        <f>C31</f>
        <v>LVUU24</v>
      </c>
      <c r="E31" s="76" t="s">
        <v>63</v>
      </c>
      <c r="G31" s="77">
        <f>'[17]Billing Qty 2021 NEW Format'!G28</f>
        <v>0</v>
      </c>
      <c r="H31" s="78">
        <f>'[17]Billing Qty 2021 NEW Format'!H28</f>
        <v>17000</v>
      </c>
      <c r="I31" s="79"/>
      <c r="J31" s="79"/>
      <c r="K31" s="80"/>
      <c r="L31" s="79"/>
      <c r="M31" s="79"/>
      <c r="N31" s="79"/>
      <c r="O31" s="80"/>
      <c r="P31" s="79"/>
      <c r="Q31" s="79"/>
      <c r="R31" s="80"/>
      <c r="S31" s="81"/>
      <c r="T31" s="79"/>
      <c r="U31" s="82"/>
      <c r="V31" s="83"/>
      <c r="W31" s="303">
        <f t="shared" si="0"/>
        <v>0</v>
      </c>
      <c r="X31" s="304">
        <f t="shared" si="1"/>
        <v>17000</v>
      </c>
      <c r="AA31" s="256">
        <f>SUM(H31:K31)</f>
        <v>17000</v>
      </c>
      <c r="AB31" s="262">
        <f>SUM(L31:O31)</f>
        <v>0</v>
      </c>
      <c r="AC31" s="257">
        <f t="shared" si="2"/>
        <v>17000</v>
      </c>
    </row>
    <row r="32" spans="2:29" ht="15" customHeight="1" x14ac:dyDescent="0.25">
      <c r="B32" s="19"/>
      <c r="C32" s="84" t="s">
        <v>64</v>
      </c>
      <c r="D32" s="85"/>
      <c r="E32" s="85"/>
      <c r="G32" s="86"/>
      <c r="H32" s="81"/>
      <c r="I32" s="79"/>
      <c r="J32" s="79"/>
      <c r="K32" s="80"/>
      <c r="L32" s="79"/>
      <c r="M32" s="79"/>
      <c r="N32" s="79"/>
      <c r="O32" s="80"/>
      <c r="P32" s="79"/>
      <c r="Q32" s="79"/>
      <c r="R32" s="80"/>
      <c r="S32" s="81"/>
      <c r="T32" s="79"/>
      <c r="U32" s="81"/>
      <c r="V32" s="80"/>
      <c r="W32" s="303">
        <f t="shared" si="0"/>
        <v>0</v>
      </c>
      <c r="X32" s="304">
        <f t="shared" si="1"/>
        <v>0</v>
      </c>
      <c r="AA32" s="252">
        <f>SUBTOTAL(9,AA33:AA37)</f>
        <v>665700</v>
      </c>
      <c r="AB32" s="252">
        <f>SUBTOTAL(9,AB33:AB37)</f>
        <v>6000</v>
      </c>
      <c r="AC32" s="254">
        <f t="shared" si="2"/>
        <v>671700</v>
      </c>
    </row>
    <row r="33" spans="2:29" ht="15" customHeight="1" x14ac:dyDescent="0.25">
      <c r="B33" s="19">
        <f>B31+1</f>
        <v>3</v>
      </c>
      <c r="C33" s="44" t="s">
        <v>65</v>
      </c>
      <c r="D33" s="45" t="str">
        <f>C33</f>
        <v>BSR</v>
      </c>
      <c r="E33" s="76" t="s">
        <v>66</v>
      </c>
      <c r="G33" s="77">
        <f>'[17]Billing Qty 2021 NEW Format'!G30</f>
        <v>17076160</v>
      </c>
      <c r="H33" s="78">
        <f>'[17]Billing Qty 2021 NEW Format'!H30</f>
        <v>339500</v>
      </c>
      <c r="I33" s="79"/>
      <c r="J33" s="79"/>
      <c r="K33" s="80"/>
      <c r="L33" s="79"/>
      <c r="M33" s="79"/>
      <c r="N33" s="79"/>
      <c r="O33" s="80"/>
      <c r="P33" s="79"/>
      <c r="Q33" s="79"/>
      <c r="R33" s="80"/>
      <c r="S33" s="81"/>
      <c r="T33" s="79"/>
      <c r="U33" s="82"/>
      <c r="V33" s="83"/>
      <c r="W33" s="303">
        <f t="shared" si="0"/>
        <v>46784</v>
      </c>
      <c r="X33" s="304">
        <f t="shared" si="1"/>
        <v>339500</v>
      </c>
      <c r="AA33" s="256">
        <f>SUM(H33:K33)</f>
        <v>339500</v>
      </c>
      <c r="AB33" s="262">
        <f>SUM(L33:O33)</f>
        <v>0</v>
      </c>
      <c r="AC33" s="257">
        <f t="shared" si="2"/>
        <v>339500</v>
      </c>
    </row>
    <row r="34" spans="2:29" ht="15" customHeight="1" x14ac:dyDescent="0.25">
      <c r="B34" s="19">
        <f t="shared" si="5"/>
        <v>4</v>
      </c>
      <c r="C34" s="44" t="s">
        <v>67</v>
      </c>
      <c r="D34" s="45" t="str">
        <f>C34</f>
        <v>BSRCL</v>
      </c>
      <c r="E34" s="76" t="s">
        <v>68</v>
      </c>
      <c r="G34" s="77">
        <f>'[17]Billing Qty 2021 NEW Format'!G31</f>
        <v>0</v>
      </c>
      <c r="H34" s="78">
        <f>'[17]Billing Qty 2021 NEW Format'!H31</f>
        <v>0</v>
      </c>
      <c r="I34" s="79"/>
      <c r="J34" s="79"/>
      <c r="K34" s="80"/>
      <c r="L34" s="87">
        <f>'[17]Billing Qty 2021 NEW Format'!L31</f>
        <v>3000</v>
      </c>
      <c r="M34" s="79"/>
      <c r="N34" s="79"/>
      <c r="O34" s="80"/>
      <c r="P34" s="79"/>
      <c r="Q34" s="79"/>
      <c r="R34" s="80"/>
      <c r="S34" s="81"/>
      <c r="T34" s="79"/>
      <c r="U34" s="82"/>
      <c r="V34" s="83"/>
      <c r="W34" s="303">
        <f t="shared" si="0"/>
        <v>0</v>
      </c>
      <c r="X34" s="304">
        <f t="shared" si="1"/>
        <v>3000</v>
      </c>
      <c r="AA34" s="256">
        <f>SUM(H34:K34)</f>
        <v>0</v>
      </c>
      <c r="AB34" s="262">
        <f>SUM(L34:O34)</f>
        <v>3000</v>
      </c>
      <c r="AC34" s="257">
        <f t="shared" si="2"/>
        <v>3000</v>
      </c>
    </row>
    <row r="35" spans="2:29" ht="15" customHeight="1" x14ac:dyDescent="0.25">
      <c r="B35" s="19">
        <f t="shared" si="5"/>
        <v>5</v>
      </c>
      <c r="C35" s="44" t="s">
        <v>69</v>
      </c>
      <c r="D35" s="45" t="str">
        <f>C35</f>
        <v>B2R</v>
      </c>
      <c r="E35" s="76" t="s">
        <v>70</v>
      </c>
      <c r="G35" s="77">
        <f>'[17]Billing Qty 2021 NEW Format'!G32</f>
        <v>8568740</v>
      </c>
      <c r="H35" s="81"/>
      <c r="I35" s="53">
        <f>'[17]Billing Qty 2021 NEW Format'!I32</f>
        <v>171600</v>
      </c>
      <c r="J35" s="79"/>
      <c r="K35" s="54">
        <f>'[17]Billing Qty 2021 NEW Format'!K32</f>
        <v>154600</v>
      </c>
      <c r="L35" s="79"/>
      <c r="M35" s="79"/>
      <c r="N35" s="79"/>
      <c r="O35" s="80"/>
      <c r="P35" s="79"/>
      <c r="Q35" s="79"/>
      <c r="R35" s="80"/>
      <c r="S35" s="81"/>
      <c r="T35" s="79"/>
      <c r="U35" s="82"/>
      <c r="V35" s="83"/>
      <c r="W35" s="303">
        <f t="shared" si="0"/>
        <v>23476</v>
      </c>
      <c r="X35" s="304">
        <f t="shared" si="1"/>
        <v>326200</v>
      </c>
      <c r="AA35" s="256">
        <f>SUM(H35:K35)</f>
        <v>326200</v>
      </c>
      <c r="AB35" s="262">
        <f>SUM(L35:O35)</f>
        <v>0</v>
      </c>
      <c r="AC35" s="257">
        <f t="shared" si="2"/>
        <v>326200</v>
      </c>
    </row>
    <row r="36" spans="2:29" ht="15" customHeight="1" x14ac:dyDescent="0.25">
      <c r="B36" s="19">
        <f t="shared" si="5"/>
        <v>6</v>
      </c>
      <c r="C36" s="44" t="s">
        <v>71</v>
      </c>
      <c r="D36" s="45" t="str">
        <f>C36</f>
        <v>B2RCL</v>
      </c>
      <c r="E36" s="76" t="s">
        <v>72</v>
      </c>
      <c r="G36" s="77">
        <f>'[17]Billing Qty 2021 NEW Format'!G33</f>
        <v>0</v>
      </c>
      <c r="H36" s="81"/>
      <c r="I36" s="53">
        <f>'[17]Billing Qty 2021 NEW Format'!I33</f>
        <v>0</v>
      </c>
      <c r="J36" s="79"/>
      <c r="K36" s="54">
        <f>'[17]Billing Qty 2021 NEW Format'!K33</f>
        <v>0</v>
      </c>
      <c r="L36" s="87">
        <f>'[17]Billing Qty 2021 NEW Format'!L33</f>
        <v>2900</v>
      </c>
      <c r="M36" s="79"/>
      <c r="N36" s="79"/>
      <c r="O36" s="80"/>
      <c r="P36" s="79"/>
      <c r="Q36" s="79"/>
      <c r="R36" s="80"/>
      <c r="S36" s="81"/>
      <c r="T36" s="79"/>
      <c r="U36" s="82"/>
      <c r="V36" s="83"/>
      <c r="W36" s="303">
        <f t="shared" si="0"/>
        <v>0</v>
      </c>
      <c r="X36" s="304">
        <f t="shared" si="1"/>
        <v>2900</v>
      </c>
      <c r="AA36" s="256">
        <f>SUM(H36:K36)</f>
        <v>0</v>
      </c>
      <c r="AB36" s="262">
        <f>SUM(L36:O36)</f>
        <v>2900</v>
      </c>
      <c r="AC36" s="257">
        <f t="shared" si="2"/>
        <v>2900</v>
      </c>
    </row>
    <row r="37" spans="2:29" ht="15" customHeight="1" x14ac:dyDescent="0.25">
      <c r="B37" s="19">
        <f t="shared" si="5"/>
        <v>7</v>
      </c>
      <c r="C37" s="44" t="s">
        <v>73</v>
      </c>
      <c r="D37" s="45" t="str">
        <f>C37</f>
        <v>BCL</v>
      </c>
      <c r="E37" s="76" t="s">
        <v>74</v>
      </c>
      <c r="G37" s="77">
        <f>'[17]Billing Qty 2021 NEW Format'!G34</f>
        <v>0</v>
      </c>
      <c r="H37" s="81"/>
      <c r="I37" s="79"/>
      <c r="J37" s="79"/>
      <c r="K37" s="80"/>
      <c r="L37" s="87">
        <f>'[17]Billing Qty 2021 NEW Format'!L34</f>
        <v>100</v>
      </c>
      <c r="M37" s="79"/>
      <c r="N37" s="79"/>
      <c r="O37" s="80"/>
      <c r="P37" s="79"/>
      <c r="Q37" s="79"/>
      <c r="R37" s="80"/>
      <c r="S37" s="81"/>
      <c r="T37" s="79"/>
      <c r="U37" s="82"/>
      <c r="V37" s="83"/>
      <c r="W37" s="303">
        <f t="shared" si="0"/>
        <v>0</v>
      </c>
      <c r="X37" s="304">
        <f t="shared" si="1"/>
        <v>100</v>
      </c>
      <c r="AA37" s="256">
        <f>SUM(H37:K37)</f>
        <v>0</v>
      </c>
      <c r="AB37" s="262">
        <f>SUM(L37:O37)</f>
        <v>100</v>
      </c>
      <c r="AC37" s="257">
        <f t="shared" si="2"/>
        <v>100</v>
      </c>
    </row>
    <row r="38" spans="2:29" ht="15" customHeight="1" x14ac:dyDescent="0.25">
      <c r="B38" s="19"/>
      <c r="C38" s="84" t="s">
        <v>75</v>
      </c>
      <c r="D38" s="85"/>
      <c r="E38" s="85"/>
      <c r="G38" s="86"/>
      <c r="H38" s="81"/>
      <c r="I38" s="79"/>
      <c r="J38" s="79"/>
      <c r="K38" s="80"/>
      <c r="L38" s="79"/>
      <c r="M38" s="79"/>
      <c r="N38" s="79"/>
      <c r="O38" s="80"/>
      <c r="P38" s="79"/>
      <c r="Q38" s="79"/>
      <c r="R38" s="80"/>
      <c r="S38" s="81"/>
      <c r="T38" s="79"/>
      <c r="U38" s="81"/>
      <c r="V38" s="80"/>
      <c r="W38" s="303">
        <f t="shared" si="0"/>
        <v>0</v>
      </c>
      <c r="X38" s="304">
        <f t="shared" si="1"/>
        <v>0</v>
      </c>
      <c r="AA38" s="252">
        <f>SUBTOTAL(9,AA39:AA41)</f>
        <v>564600</v>
      </c>
      <c r="AB38" s="252">
        <f>SUBTOTAL(9,AB39:AB41)</f>
        <v>0</v>
      </c>
      <c r="AC38" s="254">
        <f t="shared" si="2"/>
        <v>564600</v>
      </c>
    </row>
    <row r="39" spans="2:29" ht="15" customHeight="1" x14ac:dyDescent="0.25">
      <c r="B39" s="19">
        <f>B37+1</f>
        <v>8</v>
      </c>
      <c r="C39" s="44" t="s">
        <v>76</v>
      </c>
      <c r="D39" s="45" t="str">
        <f>C39</f>
        <v>SBTOU</v>
      </c>
      <c r="E39" s="76" t="s">
        <v>77</v>
      </c>
      <c r="G39" s="77">
        <f>'[17]Billing Qty 2021 NEW Format'!G36</f>
        <v>7314600</v>
      </c>
      <c r="H39" s="81"/>
      <c r="I39" s="87">
        <f>'[17]Billing Qty 2021 NEW Format'!I36</f>
        <v>32600</v>
      </c>
      <c r="J39" s="87">
        <f>'[17]Billing Qty 2021 NEW Format'!J36</f>
        <v>229600</v>
      </c>
      <c r="K39" s="88">
        <f>'[17]Billing Qty 2021 NEW Format'!K36</f>
        <v>205100</v>
      </c>
      <c r="L39" s="79"/>
      <c r="M39" s="79"/>
      <c r="N39" s="79"/>
      <c r="O39" s="80"/>
      <c r="P39" s="79"/>
      <c r="Q39" s="79"/>
      <c r="R39" s="80"/>
      <c r="S39" s="81"/>
      <c r="T39" s="79"/>
      <c r="U39" s="82"/>
      <c r="V39" s="83"/>
      <c r="W39" s="303">
        <f t="shared" si="0"/>
        <v>20040</v>
      </c>
      <c r="X39" s="304">
        <f t="shared" si="1"/>
        <v>467300</v>
      </c>
      <c r="AA39" s="256">
        <f>SUM(H39:K39)</f>
        <v>467300</v>
      </c>
      <c r="AB39" s="262">
        <f>SUM(L39:O39)</f>
        <v>0</v>
      </c>
      <c r="AC39" s="257">
        <f t="shared" si="2"/>
        <v>467300</v>
      </c>
    </row>
    <row r="40" spans="2:29" ht="15" customHeight="1" x14ac:dyDescent="0.25">
      <c r="B40" s="19">
        <f t="shared" si="5"/>
        <v>9</v>
      </c>
      <c r="C40" s="44" t="s">
        <v>78</v>
      </c>
      <c r="D40" s="45" t="str">
        <f>C40</f>
        <v>SBTOUD</v>
      </c>
      <c r="E40" s="76" t="s">
        <v>79</v>
      </c>
      <c r="G40" s="77">
        <f>'[17]Billing Qty 2021 NEW Format'!G37</f>
        <v>533265</v>
      </c>
      <c r="H40" s="81"/>
      <c r="I40" s="87">
        <f>'[17]Billing Qty 2021 NEW Format'!I37</f>
        <v>4400</v>
      </c>
      <c r="J40" s="87">
        <f>'[17]Billing Qty 2021 NEW Format'!J37</f>
        <v>38000</v>
      </c>
      <c r="K40" s="88">
        <f>'[17]Billing Qty 2021 NEW Format'!K37</f>
        <v>25700</v>
      </c>
      <c r="L40" s="79"/>
      <c r="M40" s="79"/>
      <c r="N40" s="79"/>
      <c r="O40" s="80"/>
      <c r="P40" s="79"/>
      <c r="Q40" s="79"/>
      <c r="R40" s="80"/>
      <c r="S40" s="81"/>
      <c r="T40" s="87">
        <f>'[17]Billing Qty 2021 NEW Format'!T37</f>
        <v>26073045</v>
      </c>
      <c r="U40" s="82"/>
      <c r="V40" s="83"/>
      <c r="W40" s="303">
        <f t="shared" si="0"/>
        <v>1461</v>
      </c>
      <c r="X40" s="304">
        <f t="shared" si="1"/>
        <v>68100</v>
      </c>
      <c r="AA40" s="256">
        <f>SUM(H40:K40)</f>
        <v>68100</v>
      </c>
      <c r="AB40" s="262">
        <f>SUM(L40:O40)</f>
        <v>0</v>
      </c>
      <c r="AC40" s="257">
        <f t="shared" si="2"/>
        <v>68100</v>
      </c>
    </row>
    <row r="41" spans="2:29" ht="15" customHeight="1" x14ac:dyDescent="0.25">
      <c r="B41" s="26">
        <f t="shared" si="5"/>
        <v>10</v>
      </c>
      <c r="C41" s="55" t="s">
        <v>80</v>
      </c>
      <c r="D41" s="56" t="str">
        <f>C41</f>
        <v>SBD</v>
      </c>
      <c r="E41" s="89" t="s">
        <v>81</v>
      </c>
      <c r="G41" s="90">
        <f>'[17]Billing Qty 2021 NEW Format'!G38</f>
        <v>406975</v>
      </c>
      <c r="H41" s="91">
        <f>'[17]Billing Qty 2021 NEW Format'!H38</f>
        <v>29200</v>
      </c>
      <c r="I41" s="92"/>
      <c r="J41" s="92"/>
      <c r="K41" s="93"/>
      <c r="L41" s="92"/>
      <c r="M41" s="92"/>
      <c r="N41" s="92"/>
      <c r="O41" s="93"/>
      <c r="P41" s="92"/>
      <c r="Q41" s="94">
        <f>'[17]Billing Qty 2021 NEW Format'!Q38</f>
        <v>1825137</v>
      </c>
      <c r="R41" s="95">
        <f>'[17]Billing Qty 2021 NEW Format'!R38</f>
        <v>4632215</v>
      </c>
      <c r="S41" s="96"/>
      <c r="T41" s="92"/>
      <c r="U41" s="97"/>
      <c r="V41" s="98"/>
      <c r="W41" s="305">
        <f t="shared" si="0"/>
        <v>1115</v>
      </c>
      <c r="X41" s="306">
        <f t="shared" si="1"/>
        <v>29200</v>
      </c>
      <c r="AA41" s="256">
        <f>SUM(H41:K41)</f>
        <v>29200</v>
      </c>
      <c r="AB41" s="262">
        <f>SUM(L41:O41)</f>
        <v>0</v>
      </c>
      <c r="AC41" s="257">
        <f t="shared" si="2"/>
        <v>29200</v>
      </c>
    </row>
    <row r="42" spans="2:29" ht="15" customHeight="1" x14ac:dyDescent="0.25">
      <c r="B42" s="30" t="s">
        <v>82</v>
      </c>
      <c r="C42" s="14" t="s">
        <v>83</v>
      </c>
      <c r="D42" s="14"/>
      <c r="E42" s="99"/>
      <c r="G42" s="100"/>
      <c r="H42" s="101"/>
      <c r="I42" s="102"/>
      <c r="J42" s="102"/>
      <c r="K42" s="103"/>
      <c r="L42" s="102"/>
      <c r="M42" s="102"/>
      <c r="N42" s="102"/>
      <c r="O42" s="103"/>
      <c r="P42" s="102"/>
      <c r="Q42" s="102"/>
      <c r="R42" s="103"/>
      <c r="S42" s="101"/>
      <c r="T42" s="102"/>
      <c r="U42" s="101"/>
      <c r="V42" s="103"/>
      <c r="W42" s="301">
        <f t="shared" si="0"/>
        <v>0</v>
      </c>
      <c r="X42" s="302">
        <f t="shared" si="1"/>
        <v>0</v>
      </c>
      <c r="AA42" s="253">
        <f>SUBTOTAL(9,AA43:AA69)</f>
        <v>2751000</v>
      </c>
      <c r="AB42" s="253">
        <f>SUBTOTAL(9,AB43:AB69)</f>
        <v>0</v>
      </c>
      <c r="AC42" s="254">
        <f t="shared" si="2"/>
        <v>2751000</v>
      </c>
    </row>
    <row r="43" spans="2:29" ht="15" customHeight="1" x14ac:dyDescent="0.25">
      <c r="B43" s="19"/>
      <c r="C43" s="36" t="s">
        <v>84</v>
      </c>
      <c r="D43" s="37"/>
      <c r="E43" s="85"/>
      <c r="G43" s="86"/>
      <c r="H43" s="81"/>
      <c r="I43" s="79"/>
      <c r="J43" s="79"/>
      <c r="K43" s="80"/>
      <c r="L43" s="79"/>
      <c r="M43" s="79"/>
      <c r="N43" s="79"/>
      <c r="O43" s="80"/>
      <c r="P43" s="79"/>
      <c r="Q43" s="79"/>
      <c r="R43" s="80"/>
      <c r="S43" s="81"/>
      <c r="T43" s="79"/>
      <c r="U43" s="81"/>
      <c r="V43" s="80"/>
      <c r="W43" s="303">
        <f t="shared" si="0"/>
        <v>0</v>
      </c>
      <c r="X43" s="304">
        <f t="shared" si="1"/>
        <v>0</v>
      </c>
      <c r="AA43" s="252">
        <f>SUBTOTAL(9,AA44:AA47)</f>
        <v>300</v>
      </c>
      <c r="AB43" s="252">
        <f>SUBTOTAL(9,AB44:AB47)</f>
        <v>0</v>
      </c>
      <c r="AC43" s="257">
        <f t="shared" si="2"/>
        <v>300</v>
      </c>
    </row>
    <row r="44" spans="2:29" ht="15" customHeight="1" x14ac:dyDescent="0.25">
      <c r="B44" s="19">
        <f t="shared" ref="B44:B53" si="6">B43+1</f>
        <v>1</v>
      </c>
      <c r="C44" s="44" t="s">
        <v>85</v>
      </c>
      <c r="D44" s="45" t="str">
        <f>C44</f>
        <v>LBSR</v>
      </c>
      <c r="E44" s="76" t="s">
        <v>86</v>
      </c>
      <c r="G44" s="77">
        <f>'[17]Billing Qty 2021 NEW Format'!G41</f>
        <v>200</v>
      </c>
      <c r="H44" s="78">
        <f>'[17]Billing Qty 2021 NEW Format'!H41</f>
        <v>100</v>
      </c>
      <c r="I44" s="79"/>
      <c r="J44" s="79"/>
      <c r="K44" s="80"/>
      <c r="L44" s="79"/>
      <c r="M44" s="79"/>
      <c r="N44" s="79"/>
      <c r="O44" s="80"/>
      <c r="P44" s="79"/>
      <c r="Q44" s="79"/>
      <c r="R44" s="80"/>
      <c r="S44" s="81"/>
      <c r="T44" s="79"/>
      <c r="U44" s="82"/>
      <c r="V44" s="83"/>
      <c r="W44" s="303">
        <f t="shared" si="0"/>
        <v>0.54794520547945202</v>
      </c>
      <c r="X44" s="304">
        <f t="shared" si="1"/>
        <v>100</v>
      </c>
      <c r="AA44" s="256">
        <f>SUM(H44:K44)</f>
        <v>100</v>
      </c>
      <c r="AB44" s="262">
        <f>SUM(L44:O44)</f>
        <v>0</v>
      </c>
      <c r="AC44" s="257">
        <f t="shared" si="2"/>
        <v>100</v>
      </c>
    </row>
    <row r="45" spans="2:29" ht="15" customHeight="1" x14ac:dyDescent="0.25">
      <c r="B45" s="19">
        <f t="shared" si="6"/>
        <v>2</v>
      </c>
      <c r="C45" s="44" t="s">
        <v>87</v>
      </c>
      <c r="D45" s="45" t="str">
        <f>C45</f>
        <v>LBSRCL</v>
      </c>
      <c r="E45" s="76" t="s">
        <v>88</v>
      </c>
      <c r="G45" s="77">
        <f>'[17]Billing Qty 2021 NEW Format'!G42</f>
        <v>0</v>
      </c>
      <c r="H45" s="78">
        <f>'[17]Billing Qty 2021 NEW Format'!H42</f>
        <v>0</v>
      </c>
      <c r="I45" s="79"/>
      <c r="J45" s="79"/>
      <c r="K45" s="80"/>
      <c r="L45" s="87">
        <f>'[17]Billing Qty 2021 NEW Format'!L42</f>
        <v>0</v>
      </c>
      <c r="M45" s="79"/>
      <c r="N45" s="79"/>
      <c r="O45" s="80"/>
      <c r="P45" s="79"/>
      <c r="Q45" s="79"/>
      <c r="R45" s="80"/>
      <c r="S45" s="81"/>
      <c r="T45" s="79"/>
      <c r="U45" s="82"/>
      <c r="V45" s="83"/>
      <c r="W45" s="303">
        <f t="shared" si="0"/>
        <v>0</v>
      </c>
      <c r="X45" s="304">
        <f t="shared" si="1"/>
        <v>0</v>
      </c>
      <c r="AA45" s="256">
        <f>SUM(H45:K45)</f>
        <v>0</v>
      </c>
      <c r="AB45" s="262">
        <f>SUM(L45:O45)</f>
        <v>0</v>
      </c>
      <c r="AC45" s="257">
        <f t="shared" si="2"/>
        <v>0</v>
      </c>
    </row>
    <row r="46" spans="2:29" ht="15" customHeight="1" x14ac:dyDescent="0.25">
      <c r="B46" s="19">
        <f t="shared" si="6"/>
        <v>3</v>
      </c>
      <c r="C46" s="44" t="s">
        <v>89</v>
      </c>
      <c r="D46" s="45" t="str">
        <f>C46</f>
        <v>LB2R</v>
      </c>
      <c r="E46" s="76" t="s">
        <v>90</v>
      </c>
      <c r="G46" s="77">
        <f>'[17]Billing Qty 2021 NEW Format'!G43</f>
        <v>400</v>
      </c>
      <c r="H46" s="81"/>
      <c r="I46" s="87">
        <f>'[17]Billing Qty 2021 NEW Format'!I43</f>
        <v>100</v>
      </c>
      <c r="J46" s="79"/>
      <c r="K46" s="88">
        <f>'[17]Billing Qty 2021 NEW Format'!K43</f>
        <v>100</v>
      </c>
      <c r="L46" s="79"/>
      <c r="M46" s="79"/>
      <c r="N46" s="79"/>
      <c r="O46" s="80"/>
      <c r="P46" s="79"/>
      <c r="Q46" s="79"/>
      <c r="R46" s="80"/>
      <c r="S46" s="81"/>
      <c r="T46" s="79"/>
      <c r="U46" s="82"/>
      <c r="V46" s="83"/>
      <c r="W46" s="303">
        <f t="shared" si="0"/>
        <v>1.095890410958904</v>
      </c>
      <c r="X46" s="304">
        <f t="shared" si="1"/>
        <v>200</v>
      </c>
      <c r="AA46" s="256">
        <f>SUM(H46:K46)</f>
        <v>200</v>
      </c>
      <c r="AB46" s="262">
        <f>SUM(L46:O46)</f>
        <v>0</v>
      </c>
      <c r="AC46" s="257">
        <f t="shared" si="2"/>
        <v>200</v>
      </c>
    </row>
    <row r="47" spans="2:29" ht="15" customHeight="1" x14ac:dyDescent="0.25">
      <c r="B47" s="19">
        <f t="shared" si="6"/>
        <v>4</v>
      </c>
      <c r="C47" s="44" t="s">
        <v>91</v>
      </c>
      <c r="D47" s="45" t="str">
        <f>C47</f>
        <v>LB2RCL</v>
      </c>
      <c r="E47" s="104" t="s">
        <v>92</v>
      </c>
      <c r="G47" s="77">
        <f>'[17]Billing Qty 2021 NEW Format'!G44</f>
        <v>0</v>
      </c>
      <c r="H47" s="81"/>
      <c r="I47" s="87">
        <f>'[17]Billing Qty 2021 NEW Format'!I44</f>
        <v>0</v>
      </c>
      <c r="J47" s="79"/>
      <c r="K47" s="88">
        <f>'[17]Billing Qty 2021 NEW Format'!K44</f>
        <v>0</v>
      </c>
      <c r="L47" s="87">
        <f>'[17]Billing Qty 2021 NEW Format'!L44</f>
        <v>0</v>
      </c>
      <c r="M47" s="79"/>
      <c r="N47" s="79"/>
      <c r="O47" s="80"/>
      <c r="P47" s="79"/>
      <c r="Q47" s="79"/>
      <c r="R47" s="80"/>
      <c r="S47" s="81"/>
      <c r="T47" s="79"/>
      <c r="U47" s="82"/>
      <c r="V47" s="83"/>
      <c r="W47" s="303">
        <f t="shared" si="0"/>
        <v>0</v>
      </c>
      <c r="X47" s="304">
        <f t="shared" si="1"/>
        <v>0</v>
      </c>
      <c r="AA47" s="256">
        <f>SUM(H47:K47)</f>
        <v>0</v>
      </c>
      <c r="AB47" s="262">
        <f>SUM(L47:O47)</f>
        <v>0</v>
      </c>
      <c r="AC47" s="257">
        <f t="shared" si="2"/>
        <v>0</v>
      </c>
    </row>
    <row r="48" spans="2:29" ht="15" customHeight="1" x14ac:dyDescent="0.25">
      <c r="B48" s="19"/>
      <c r="C48" s="36" t="s">
        <v>93</v>
      </c>
      <c r="D48" s="37"/>
      <c r="E48" s="85"/>
      <c r="G48" s="86"/>
      <c r="H48" s="81"/>
      <c r="I48" s="79"/>
      <c r="J48" s="79"/>
      <c r="K48" s="80"/>
      <c r="L48" s="79"/>
      <c r="M48" s="79"/>
      <c r="N48" s="79"/>
      <c r="O48" s="80"/>
      <c r="P48" s="79"/>
      <c r="Q48" s="79"/>
      <c r="R48" s="80"/>
      <c r="S48" s="81"/>
      <c r="T48" s="79"/>
      <c r="U48" s="81"/>
      <c r="V48" s="80"/>
      <c r="W48" s="303">
        <f t="shared" si="0"/>
        <v>0</v>
      </c>
      <c r="X48" s="304">
        <f t="shared" si="1"/>
        <v>0</v>
      </c>
      <c r="AA48" s="252">
        <f>SUBTOTAL(9,AA49:AA69)</f>
        <v>2750700</v>
      </c>
      <c r="AB48" s="252">
        <f>SUBTOTAL(9,AB49:AB69)</f>
        <v>0</v>
      </c>
      <c r="AC48" s="254">
        <f t="shared" si="2"/>
        <v>2750700</v>
      </c>
    </row>
    <row r="49" spans="2:29" ht="15" customHeight="1" x14ac:dyDescent="0.25">
      <c r="B49" s="19">
        <f>B47+1</f>
        <v>5</v>
      </c>
      <c r="C49" s="44" t="s">
        <v>579</v>
      </c>
      <c r="D49" s="45" t="s">
        <v>580</v>
      </c>
      <c r="E49" s="105" t="s">
        <v>94</v>
      </c>
      <c r="G49" s="77">
        <f>'[17]Billing Qty 2021 NEW Format'!G46</f>
        <v>1389555</v>
      </c>
      <c r="H49" s="81"/>
      <c r="I49" s="87">
        <f>'[17]Billing Qty 2021 NEW Format'!I46</f>
        <v>1286940</v>
      </c>
      <c r="J49" s="79"/>
      <c r="K49" s="88">
        <f>'[17]Billing Qty 2021 NEW Format'!K46</f>
        <v>1235550</v>
      </c>
      <c r="L49" s="79"/>
      <c r="M49" s="79"/>
      <c r="N49" s="79"/>
      <c r="O49" s="80"/>
      <c r="P49" s="79"/>
      <c r="Q49" s="79"/>
      <c r="R49" s="80"/>
      <c r="S49" s="78">
        <f>'[17]Billing Qty 2021 NEW Format'!S46</f>
        <v>236666000</v>
      </c>
      <c r="T49" s="87">
        <f>'[17]Billing Qty 2021 NEW Format'!T46</f>
        <v>323704630</v>
      </c>
      <c r="U49" s="82"/>
      <c r="V49" s="83"/>
      <c r="W49" s="303">
        <f t="shared" si="0"/>
        <v>3807</v>
      </c>
      <c r="X49" s="304">
        <f t="shared" si="1"/>
        <v>2522490</v>
      </c>
      <c r="AA49" s="256">
        <f t="shared" ref="AA49:AA69" si="7">SUM(H49:K49)</f>
        <v>2522490</v>
      </c>
      <c r="AB49" s="262">
        <f t="shared" ref="AB49:AB69" si="8">SUM(L49:O49)</f>
        <v>0</v>
      </c>
      <c r="AC49" s="257">
        <f t="shared" si="2"/>
        <v>2522490</v>
      </c>
    </row>
    <row r="50" spans="2:29" ht="15" customHeight="1" x14ac:dyDescent="0.25">
      <c r="B50" s="19">
        <f t="shared" si="6"/>
        <v>6</v>
      </c>
      <c r="C50" s="44" t="s">
        <v>577</v>
      </c>
      <c r="D50" s="45" t="s">
        <v>581</v>
      </c>
      <c r="E50" s="105" t="s">
        <v>95</v>
      </c>
      <c r="G50" s="77">
        <f>'[17]Billing Qty 2021 NEW Format'!G47</f>
        <v>109865</v>
      </c>
      <c r="H50" s="81"/>
      <c r="I50" s="87">
        <f>'[17]Billing Qty 2021 NEW Format'!I47</f>
        <v>79500</v>
      </c>
      <c r="J50" s="79"/>
      <c r="K50" s="88">
        <f>'[17]Billing Qty 2021 NEW Format'!K47</f>
        <v>54000</v>
      </c>
      <c r="L50" s="79"/>
      <c r="M50" s="79"/>
      <c r="N50" s="79"/>
      <c r="O50" s="80"/>
      <c r="P50" s="87">
        <f>'[17]Billing Qty 2021 NEW Format'!P47</f>
        <v>3651331</v>
      </c>
      <c r="Q50" s="79"/>
      <c r="R50" s="80"/>
      <c r="S50" s="81"/>
      <c r="T50" s="87">
        <f>'[17]Billing Qty 2021 NEW Format'!T47</f>
        <v>30277845</v>
      </c>
      <c r="U50" s="81"/>
      <c r="V50" s="80"/>
      <c r="W50" s="303">
        <f t="shared" si="0"/>
        <v>301</v>
      </c>
      <c r="X50" s="304">
        <f t="shared" si="1"/>
        <v>133500</v>
      </c>
      <c r="AA50" s="256">
        <f t="shared" si="7"/>
        <v>133500</v>
      </c>
      <c r="AB50" s="262">
        <f t="shared" si="8"/>
        <v>0</v>
      </c>
      <c r="AC50" s="257">
        <f t="shared" si="2"/>
        <v>133500</v>
      </c>
    </row>
    <row r="51" spans="2:29" ht="15" customHeight="1" x14ac:dyDescent="0.25">
      <c r="B51" s="19">
        <f t="shared" si="6"/>
        <v>7</v>
      </c>
      <c r="C51" s="833" t="s">
        <v>578</v>
      </c>
      <c r="D51" s="834" t="s">
        <v>582</v>
      </c>
      <c r="E51" s="835" t="s">
        <v>96</v>
      </c>
      <c r="G51" s="77">
        <f>'[17]Billing Qty 2021 NEW Format'!G48</f>
        <v>0</v>
      </c>
      <c r="H51" s="81"/>
      <c r="I51" s="87">
        <f>'[17]Billing Qty 2021 NEW Format'!I48</f>
        <v>0</v>
      </c>
      <c r="J51" s="79"/>
      <c r="K51" s="88">
        <f>'[17]Billing Qty 2021 NEW Format'!K48</f>
        <v>0</v>
      </c>
      <c r="L51" s="79"/>
      <c r="M51" s="79"/>
      <c r="N51" s="79"/>
      <c r="O51" s="80"/>
      <c r="P51" s="79"/>
      <c r="Q51" s="79"/>
      <c r="R51" s="80"/>
      <c r="S51" s="81"/>
      <c r="T51" s="79"/>
      <c r="U51" s="81"/>
      <c r="V51" s="80"/>
      <c r="W51" s="303">
        <f t="shared" si="0"/>
        <v>0</v>
      </c>
      <c r="X51" s="304">
        <f t="shared" si="1"/>
        <v>0</v>
      </c>
      <c r="AA51" s="256">
        <f t="shared" si="7"/>
        <v>0</v>
      </c>
      <c r="AB51" s="262">
        <f t="shared" si="8"/>
        <v>0</v>
      </c>
      <c r="AC51" s="257">
        <f t="shared" si="2"/>
        <v>0</v>
      </c>
    </row>
    <row r="52" spans="2:29" ht="15" customHeight="1" x14ac:dyDescent="0.25">
      <c r="B52" s="19">
        <f t="shared" si="6"/>
        <v>8</v>
      </c>
      <c r="C52" s="44" t="s">
        <v>97</v>
      </c>
      <c r="D52" s="45" t="s">
        <v>97</v>
      </c>
      <c r="E52" s="105" t="s">
        <v>98</v>
      </c>
      <c r="G52" s="77">
        <f>'[17]Billing Qty 2021 NEW Format'!G49</f>
        <v>79205</v>
      </c>
      <c r="H52" s="78">
        <f>'[17]Billing Qty 2021 NEW Format'!H49</f>
        <v>71000</v>
      </c>
      <c r="I52" s="79"/>
      <c r="J52" s="79"/>
      <c r="K52" s="80"/>
      <c r="L52" s="79"/>
      <c r="M52" s="79"/>
      <c r="N52" s="79"/>
      <c r="O52" s="80"/>
      <c r="P52" s="79"/>
      <c r="Q52" s="87">
        <f>'[17]Billing Qty 2021 NEW Format'!Q49</f>
        <v>5382848</v>
      </c>
      <c r="R52" s="88">
        <f>'[17]Billing Qty 2021 NEW Format'!R49</f>
        <v>11592765</v>
      </c>
      <c r="S52" s="81"/>
      <c r="T52" s="79"/>
      <c r="U52" s="81"/>
      <c r="V52" s="80"/>
      <c r="W52" s="303">
        <f t="shared" si="0"/>
        <v>217</v>
      </c>
      <c r="X52" s="304">
        <f t="shared" si="1"/>
        <v>71000</v>
      </c>
      <c r="AA52" s="256">
        <f t="shared" si="7"/>
        <v>71000</v>
      </c>
      <c r="AB52" s="262">
        <f t="shared" si="8"/>
        <v>0</v>
      </c>
      <c r="AC52" s="257">
        <f t="shared" si="2"/>
        <v>71000</v>
      </c>
    </row>
    <row r="53" spans="2:29" ht="15" customHeight="1" x14ac:dyDescent="0.25">
      <c r="B53" s="19">
        <f t="shared" si="6"/>
        <v>9</v>
      </c>
      <c r="C53" s="44" t="s">
        <v>583</v>
      </c>
      <c r="D53" s="45" t="s">
        <v>584</v>
      </c>
      <c r="E53" s="105" t="s">
        <v>99</v>
      </c>
      <c r="G53" s="77">
        <f>'[17]Billing Qty 2021 NEW Format'!G50</f>
        <v>365</v>
      </c>
      <c r="H53" s="81"/>
      <c r="I53" s="87">
        <f>'[17]Billing Qty 2021 NEW Format'!I50</f>
        <v>0</v>
      </c>
      <c r="J53" s="79"/>
      <c r="K53" s="88">
        <f>'[17]Billing Qty 2021 NEW Format'!K50</f>
        <v>100</v>
      </c>
      <c r="L53" s="79"/>
      <c r="M53" s="79"/>
      <c r="N53" s="79"/>
      <c r="O53" s="80"/>
      <c r="P53" s="79"/>
      <c r="Q53" s="79"/>
      <c r="R53" s="80"/>
      <c r="S53" s="78">
        <f>'[17]Billing Qty 2021 NEW Format'!S50</f>
        <v>0</v>
      </c>
      <c r="T53" s="88">
        <f>'[17]Billing Qty 2021 NEW Format'!T50</f>
        <v>0</v>
      </c>
      <c r="U53" s="81"/>
      <c r="V53" s="80"/>
      <c r="W53" s="303">
        <f t="shared" si="0"/>
        <v>1</v>
      </c>
      <c r="X53" s="304">
        <f t="shared" si="1"/>
        <v>100</v>
      </c>
      <c r="AA53" s="256">
        <f t="shared" si="7"/>
        <v>100</v>
      </c>
      <c r="AB53" s="262">
        <f t="shared" si="8"/>
        <v>0</v>
      </c>
      <c r="AC53" s="257">
        <f t="shared" si="2"/>
        <v>100</v>
      </c>
    </row>
    <row r="54" spans="2:29" ht="15" customHeight="1" x14ac:dyDescent="0.25">
      <c r="B54" s="19"/>
      <c r="C54" s="785"/>
      <c r="D54" s="772"/>
      <c r="E54" s="836" t="s">
        <v>100</v>
      </c>
      <c r="G54" s="86"/>
      <c r="H54" s="81"/>
      <c r="I54" s="79"/>
      <c r="J54" s="79"/>
      <c r="K54" s="80"/>
      <c r="L54" s="79"/>
      <c r="M54" s="79"/>
      <c r="N54" s="79"/>
      <c r="O54" s="80"/>
      <c r="P54" s="79"/>
      <c r="Q54" s="79"/>
      <c r="R54" s="80"/>
      <c r="S54" s="81"/>
      <c r="T54" s="79"/>
      <c r="U54" s="81"/>
      <c r="V54" s="80"/>
      <c r="W54" s="303">
        <f t="shared" si="0"/>
        <v>0</v>
      </c>
      <c r="X54" s="304">
        <f t="shared" si="1"/>
        <v>0</v>
      </c>
      <c r="AA54" s="256">
        <f t="shared" si="7"/>
        <v>0</v>
      </c>
      <c r="AB54" s="262">
        <f t="shared" si="8"/>
        <v>0</v>
      </c>
      <c r="AC54" s="257">
        <f t="shared" si="2"/>
        <v>0</v>
      </c>
    </row>
    <row r="55" spans="2:29" ht="15" customHeight="1" x14ac:dyDescent="0.25">
      <c r="B55" s="19">
        <f>B53+1</f>
        <v>10</v>
      </c>
      <c r="C55" s="44" t="s">
        <v>705</v>
      </c>
      <c r="D55" s="45"/>
      <c r="E55" s="105" t="s">
        <v>94</v>
      </c>
      <c r="G55" s="86"/>
      <c r="H55" s="81"/>
      <c r="I55" s="79"/>
      <c r="J55" s="79"/>
      <c r="K55" s="80"/>
      <c r="L55" s="79"/>
      <c r="M55" s="79"/>
      <c r="N55" s="79"/>
      <c r="O55" s="80"/>
      <c r="P55" s="79"/>
      <c r="Q55" s="79"/>
      <c r="R55" s="80"/>
      <c r="S55" s="81"/>
      <c r="T55" s="79"/>
      <c r="U55" s="81"/>
      <c r="V55" s="80"/>
      <c r="W55" s="303"/>
      <c r="X55" s="304"/>
      <c r="AA55" s="256"/>
      <c r="AB55" s="262"/>
      <c r="AC55" s="257"/>
    </row>
    <row r="56" spans="2:29" ht="15" customHeight="1" x14ac:dyDescent="0.25">
      <c r="B56" s="19">
        <f t="shared" ref="B56:B69" si="9">B55+1</f>
        <v>11</v>
      </c>
      <c r="C56" s="44" t="s">
        <v>567</v>
      </c>
      <c r="D56" s="834"/>
      <c r="E56" s="105" t="s">
        <v>94</v>
      </c>
      <c r="G56" s="77">
        <f>'[17]Billing Qty 2021 NEW Format'!G52</f>
        <v>0</v>
      </c>
      <c r="H56" s="81"/>
      <c r="I56" s="87">
        <f>'[17]Billing Qty 2021 NEW Format'!I52</f>
        <v>0</v>
      </c>
      <c r="J56" s="79"/>
      <c r="K56" s="88">
        <f>'[17]Billing Qty 2021 NEW Format'!K52</f>
        <v>0</v>
      </c>
      <c r="L56" s="79"/>
      <c r="M56" s="79"/>
      <c r="N56" s="79"/>
      <c r="O56" s="80"/>
      <c r="P56" s="79"/>
      <c r="Q56" s="79"/>
      <c r="R56" s="80"/>
      <c r="S56" s="78">
        <f>'[17]Billing Qty 2021 NEW Format'!S52</f>
        <v>0</v>
      </c>
      <c r="T56" s="87">
        <f>'[17]Billing Qty 2021 NEW Format'!T52</f>
        <v>0</v>
      </c>
      <c r="U56" s="81"/>
      <c r="V56" s="80"/>
      <c r="W56" s="303">
        <f t="shared" si="0"/>
        <v>0</v>
      </c>
      <c r="X56" s="304">
        <f t="shared" si="1"/>
        <v>0</v>
      </c>
      <c r="AA56" s="256">
        <f t="shared" si="7"/>
        <v>0</v>
      </c>
      <c r="AB56" s="262">
        <f t="shared" si="8"/>
        <v>0</v>
      </c>
      <c r="AC56" s="257">
        <f t="shared" si="2"/>
        <v>0</v>
      </c>
    </row>
    <row r="57" spans="2:29" ht="15" customHeight="1" x14ac:dyDescent="0.25">
      <c r="B57" s="19">
        <f t="shared" si="9"/>
        <v>12</v>
      </c>
      <c r="C57" s="833" t="s">
        <v>568</v>
      </c>
      <c r="D57" s="834"/>
      <c r="E57" s="835" t="s">
        <v>94</v>
      </c>
      <c r="G57" s="77">
        <f>'[17]Billing Qty 2021 NEW Format'!G53</f>
        <v>0</v>
      </c>
      <c r="H57" s="81"/>
      <c r="I57" s="87">
        <f>'[17]Billing Qty 2021 NEW Format'!I53</f>
        <v>0</v>
      </c>
      <c r="J57" s="79"/>
      <c r="K57" s="88">
        <f>'[17]Billing Qty 2021 NEW Format'!K53</f>
        <v>0</v>
      </c>
      <c r="L57" s="79"/>
      <c r="M57" s="79"/>
      <c r="N57" s="79"/>
      <c r="O57" s="80"/>
      <c r="P57" s="79"/>
      <c r="Q57" s="79"/>
      <c r="R57" s="80"/>
      <c r="S57" s="78">
        <f>'[17]Billing Qty 2021 NEW Format'!S53</f>
        <v>0</v>
      </c>
      <c r="T57" s="87">
        <f>'[17]Billing Qty 2021 NEW Format'!T53</f>
        <v>0</v>
      </c>
      <c r="U57" s="81"/>
      <c r="V57" s="80"/>
      <c r="W57" s="303">
        <f t="shared" si="0"/>
        <v>0</v>
      </c>
      <c r="X57" s="304">
        <f t="shared" si="1"/>
        <v>0</v>
      </c>
      <c r="AA57" s="256">
        <f t="shared" si="7"/>
        <v>0</v>
      </c>
      <c r="AB57" s="262">
        <f t="shared" si="8"/>
        <v>0</v>
      </c>
      <c r="AC57" s="257">
        <f t="shared" si="2"/>
        <v>0</v>
      </c>
    </row>
    <row r="58" spans="2:29" ht="15" customHeight="1" x14ac:dyDescent="0.25">
      <c r="B58" s="19">
        <f t="shared" si="9"/>
        <v>13</v>
      </c>
      <c r="C58" s="44" t="s">
        <v>569</v>
      </c>
      <c r="D58" s="834"/>
      <c r="E58" s="105" t="s">
        <v>94</v>
      </c>
      <c r="G58" s="77">
        <f>'[17]Billing Qty 2021 NEW Format'!G54</f>
        <v>0</v>
      </c>
      <c r="H58" s="81"/>
      <c r="I58" s="87">
        <f>'[17]Billing Qty 2021 NEW Format'!I54</f>
        <v>0</v>
      </c>
      <c r="J58" s="79"/>
      <c r="K58" s="88">
        <f>'[17]Billing Qty 2021 NEW Format'!K54</f>
        <v>0</v>
      </c>
      <c r="L58" s="79"/>
      <c r="M58" s="79"/>
      <c r="N58" s="79"/>
      <c r="O58" s="80"/>
      <c r="P58" s="79"/>
      <c r="Q58" s="79"/>
      <c r="R58" s="80"/>
      <c r="S58" s="78">
        <f>'[17]Billing Qty 2021 NEW Format'!S54</f>
        <v>0</v>
      </c>
      <c r="T58" s="87">
        <f>'[17]Billing Qty 2021 NEW Format'!T54</f>
        <v>0</v>
      </c>
      <c r="U58" s="81"/>
      <c r="V58" s="80"/>
      <c r="W58" s="303">
        <f t="shared" si="0"/>
        <v>0</v>
      </c>
      <c r="X58" s="304">
        <f t="shared" si="1"/>
        <v>0</v>
      </c>
      <c r="AA58" s="256">
        <f t="shared" si="7"/>
        <v>0</v>
      </c>
      <c r="AB58" s="262">
        <f t="shared" si="8"/>
        <v>0</v>
      </c>
      <c r="AC58" s="257">
        <f t="shared" si="2"/>
        <v>0</v>
      </c>
    </row>
    <row r="59" spans="2:29" ht="15" customHeight="1" x14ac:dyDescent="0.25">
      <c r="B59" s="19">
        <f t="shared" si="9"/>
        <v>14</v>
      </c>
      <c r="C59" s="44" t="s">
        <v>570</v>
      </c>
      <c r="D59" s="834"/>
      <c r="E59" s="105" t="s">
        <v>94</v>
      </c>
      <c r="G59" s="77">
        <f>'[17]Billing Qty 2021 NEW Format'!G55</f>
        <v>0</v>
      </c>
      <c r="H59" s="81"/>
      <c r="I59" s="87">
        <f>'[17]Billing Qty 2021 NEW Format'!I55</f>
        <v>0</v>
      </c>
      <c r="J59" s="79"/>
      <c r="K59" s="88">
        <f>'[17]Billing Qty 2021 NEW Format'!K55</f>
        <v>0</v>
      </c>
      <c r="L59" s="79"/>
      <c r="M59" s="79"/>
      <c r="N59" s="79"/>
      <c r="O59" s="80"/>
      <c r="P59" s="79"/>
      <c r="Q59" s="79"/>
      <c r="R59" s="80"/>
      <c r="S59" s="78">
        <f>'[17]Billing Qty 2021 NEW Format'!S55</f>
        <v>0</v>
      </c>
      <c r="T59" s="87">
        <f>'[17]Billing Qty 2021 NEW Format'!T55</f>
        <v>0</v>
      </c>
      <c r="U59" s="81"/>
      <c r="V59" s="80"/>
      <c r="W59" s="303">
        <f t="shared" si="0"/>
        <v>0</v>
      </c>
      <c r="X59" s="304">
        <f t="shared" si="1"/>
        <v>0</v>
      </c>
      <c r="AA59" s="256">
        <f t="shared" si="7"/>
        <v>0</v>
      </c>
      <c r="AB59" s="262">
        <f t="shared" si="8"/>
        <v>0</v>
      </c>
      <c r="AC59" s="257">
        <f t="shared" si="2"/>
        <v>0</v>
      </c>
    </row>
    <row r="60" spans="2:29" ht="15" customHeight="1" x14ac:dyDescent="0.25">
      <c r="B60" s="19">
        <f t="shared" si="9"/>
        <v>15</v>
      </c>
      <c r="C60" s="44" t="s">
        <v>572</v>
      </c>
      <c r="D60" s="45"/>
      <c r="E60" s="105" t="s">
        <v>94</v>
      </c>
      <c r="G60" s="77">
        <f>'[17]Billing Qty 2021 NEW Format'!G56</f>
        <v>365</v>
      </c>
      <c r="H60" s="81"/>
      <c r="I60" s="87">
        <f>'[17]Billing Qty 2021 NEW Format'!I56</f>
        <v>4140</v>
      </c>
      <c r="J60" s="79"/>
      <c r="K60" s="88">
        <f>'[17]Billing Qty 2021 NEW Format'!K56</f>
        <v>5830</v>
      </c>
      <c r="L60" s="79"/>
      <c r="M60" s="79"/>
      <c r="N60" s="79"/>
      <c r="O60" s="80"/>
      <c r="P60" s="79"/>
      <c r="Q60" s="79"/>
      <c r="R60" s="80"/>
      <c r="S60" s="78">
        <f>'[17]Billing Qty 2021 NEW Format'!S56</f>
        <v>738395</v>
      </c>
      <c r="T60" s="87">
        <f>'[17]Billing Qty 2021 NEW Format'!T56</f>
        <v>911040</v>
      </c>
      <c r="U60" s="81"/>
      <c r="V60" s="80"/>
      <c r="W60" s="303">
        <f t="shared" si="0"/>
        <v>1</v>
      </c>
      <c r="X60" s="304">
        <f t="shared" si="1"/>
        <v>9970</v>
      </c>
      <c r="AA60" s="256">
        <f t="shared" si="7"/>
        <v>9970</v>
      </c>
      <c r="AB60" s="262">
        <f t="shared" si="8"/>
        <v>0</v>
      </c>
      <c r="AC60" s="257">
        <f t="shared" si="2"/>
        <v>9970</v>
      </c>
    </row>
    <row r="61" spans="2:29" ht="15" customHeight="1" x14ac:dyDescent="0.25">
      <c r="B61" s="19">
        <f t="shared" si="9"/>
        <v>16</v>
      </c>
      <c r="C61" s="44" t="s">
        <v>651</v>
      </c>
      <c r="D61" s="45"/>
      <c r="E61" s="105" t="s">
        <v>94</v>
      </c>
      <c r="G61" s="77">
        <f>'[17]Billing Qty 2021 NEW Format'!G57</f>
        <v>365</v>
      </c>
      <c r="H61" s="81"/>
      <c r="I61" s="87">
        <f>'[17]Billing Qty 2021 NEW Format'!I57</f>
        <v>420</v>
      </c>
      <c r="J61" s="79"/>
      <c r="K61" s="88">
        <f>'[17]Billing Qty 2021 NEW Format'!K57</f>
        <v>1020</v>
      </c>
      <c r="L61" s="79"/>
      <c r="M61" s="79"/>
      <c r="N61" s="79"/>
      <c r="O61" s="80"/>
      <c r="P61" s="79"/>
      <c r="Q61" s="79"/>
      <c r="R61" s="80"/>
      <c r="S61" s="78">
        <f>'[17]Billing Qty 2021 NEW Format'!S57</f>
        <v>287620</v>
      </c>
      <c r="T61" s="87">
        <f>'[17]Billing Qty 2021 NEW Format'!T57</f>
        <v>514650</v>
      </c>
      <c r="U61" s="81"/>
      <c r="V61" s="80"/>
      <c r="W61" s="303">
        <f>G61/$W$7</f>
        <v>1</v>
      </c>
      <c r="X61" s="304">
        <f>SUM(H61:O61)</f>
        <v>1440</v>
      </c>
      <c r="AA61" s="256">
        <f>SUM(H61:K61)</f>
        <v>1440</v>
      </c>
      <c r="AB61" s="262">
        <f>SUM(L61:O61)</f>
        <v>0</v>
      </c>
      <c r="AC61" s="257">
        <f t="shared" si="2"/>
        <v>1440</v>
      </c>
    </row>
    <row r="62" spans="2:29" ht="15" customHeight="1" x14ac:dyDescent="0.25">
      <c r="B62" s="19">
        <f t="shared" si="9"/>
        <v>17</v>
      </c>
      <c r="C62" s="44" t="s">
        <v>707</v>
      </c>
      <c r="D62" s="45"/>
      <c r="E62" s="105" t="s">
        <v>94</v>
      </c>
      <c r="G62" s="77"/>
      <c r="H62" s="81"/>
      <c r="I62" s="87"/>
      <c r="J62" s="79"/>
      <c r="K62" s="88"/>
      <c r="L62" s="79"/>
      <c r="M62" s="79"/>
      <c r="N62" s="79"/>
      <c r="O62" s="80"/>
      <c r="P62" s="79"/>
      <c r="Q62" s="79"/>
      <c r="R62" s="80"/>
      <c r="S62" s="78"/>
      <c r="T62" s="87"/>
      <c r="U62" s="81"/>
      <c r="V62" s="80"/>
      <c r="W62" s="303"/>
      <c r="X62" s="304"/>
      <c r="AA62" s="256"/>
      <c r="AB62" s="262"/>
      <c r="AC62" s="257"/>
    </row>
    <row r="63" spans="2:29" ht="15" customHeight="1" x14ac:dyDescent="0.25">
      <c r="B63" s="19">
        <f t="shared" si="9"/>
        <v>18</v>
      </c>
      <c r="C63" s="44" t="s">
        <v>571</v>
      </c>
      <c r="D63" s="45"/>
      <c r="E63" s="105" t="s">
        <v>94</v>
      </c>
      <c r="G63" s="77">
        <f>'[17]Billing Qty 2021 NEW Format'!G58</f>
        <v>0</v>
      </c>
      <c r="H63" s="81"/>
      <c r="I63" s="87">
        <f>'[17]Billing Qty 2021 NEW Format'!I58</f>
        <v>0</v>
      </c>
      <c r="J63" s="79"/>
      <c r="K63" s="88">
        <f>'[17]Billing Qty 2021 NEW Format'!K58</f>
        <v>0</v>
      </c>
      <c r="L63" s="79"/>
      <c r="M63" s="79"/>
      <c r="N63" s="79"/>
      <c r="O63" s="80"/>
      <c r="P63" s="79"/>
      <c r="Q63" s="79"/>
      <c r="R63" s="80"/>
      <c r="S63" s="78">
        <f>'[17]Billing Qty 2021 NEW Format'!S58</f>
        <v>0</v>
      </c>
      <c r="T63" s="87">
        <f>'[17]Billing Qty 2021 NEW Format'!T58</f>
        <v>0</v>
      </c>
      <c r="U63" s="81"/>
      <c r="V63" s="80"/>
      <c r="W63" s="303">
        <f t="shared" si="0"/>
        <v>0</v>
      </c>
      <c r="X63" s="304">
        <f t="shared" si="1"/>
        <v>0</v>
      </c>
      <c r="AA63" s="256">
        <f t="shared" si="7"/>
        <v>0</v>
      </c>
      <c r="AB63" s="262">
        <f t="shared" si="8"/>
        <v>0</v>
      </c>
      <c r="AC63" s="257">
        <f t="shared" si="2"/>
        <v>0</v>
      </c>
    </row>
    <row r="64" spans="2:29" ht="15" customHeight="1" x14ac:dyDescent="0.25">
      <c r="B64" s="19">
        <f t="shared" si="9"/>
        <v>19</v>
      </c>
      <c r="C64" s="44" t="s">
        <v>573</v>
      </c>
      <c r="D64" s="45"/>
      <c r="E64" s="105" t="s">
        <v>94</v>
      </c>
      <c r="G64" s="77">
        <f>'[17]Billing Qty 2021 NEW Format'!G59</f>
        <v>0</v>
      </c>
      <c r="H64" s="81"/>
      <c r="I64" s="87">
        <f>'[17]Billing Qty 2021 NEW Format'!I59</f>
        <v>0</v>
      </c>
      <c r="J64" s="79"/>
      <c r="K64" s="88">
        <f>'[17]Billing Qty 2021 NEW Format'!K59</f>
        <v>0</v>
      </c>
      <c r="L64" s="79"/>
      <c r="M64" s="79"/>
      <c r="N64" s="79"/>
      <c r="O64" s="80"/>
      <c r="P64" s="79"/>
      <c r="Q64" s="79"/>
      <c r="R64" s="80"/>
      <c r="S64" s="78">
        <f>'[17]Billing Qty 2021 NEW Format'!S59</f>
        <v>0</v>
      </c>
      <c r="T64" s="87">
        <f>'[17]Billing Qty 2021 NEW Format'!T59</f>
        <v>0</v>
      </c>
      <c r="U64" s="81"/>
      <c r="V64" s="80"/>
      <c r="W64" s="303">
        <f t="shared" si="0"/>
        <v>0</v>
      </c>
      <c r="X64" s="304">
        <f t="shared" si="1"/>
        <v>0</v>
      </c>
      <c r="AA64" s="256">
        <f t="shared" si="7"/>
        <v>0</v>
      </c>
      <c r="AB64" s="262">
        <f t="shared" si="8"/>
        <v>0</v>
      </c>
      <c r="AC64" s="257">
        <f t="shared" si="2"/>
        <v>0</v>
      </c>
    </row>
    <row r="65" spans="2:29" ht="15" customHeight="1" x14ac:dyDescent="0.25">
      <c r="B65" s="19">
        <f t="shared" si="9"/>
        <v>20</v>
      </c>
      <c r="C65" s="833" t="s">
        <v>574</v>
      </c>
      <c r="D65" s="834"/>
      <c r="E65" s="835" t="s">
        <v>94</v>
      </c>
      <c r="G65" s="77">
        <f>'[17]Billing Qty 2021 NEW Format'!G60</f>
        <v>0</v>
      </c>
      <c r="H65" s="81"/>
      <c r="I65" s="87">
        <f>'[17]Billing Qty 2021 NEW Format'!I60</f>
        <v>0</v>
      </c>
      <c r="J65" s="79"/>
      <c r="K65" s="88">
        <f>'[17]Billing Qty 2021 NEW Format'!K60</f>
        <v>0</v>
      </c>
      <c r="L65" s="79"/>
      <c r="M65" s="79"/>
      <c r="N65" s="79"/>
      <c r="O65" s="80"/>
      <c r="P65" s="79"/>
      <c r="Q65" s="79"/>
      <c r="R65" s="80"/>
      <c r="S65" s="78">
        <f>'[17]Billing Qty 2021 NEW Format'!S60</f>
        <v>0</v>
      </c>
      <c r="T65" s="87">
        <f>'[17]Billing Qty 2021 NEW Format'!T60</f>
        <v>0</v>
      </c>
      <c r="U65" s="81"/>
      <c r="V65" s="80"/>
      <c r="W65" s="303">
        <f t="shared" si="0"/>
        <v>0</v>
      </c>
      <c r="X65" s="304">
        <f t="shared" si="1"/>
        <v>0</v>
      </c>
      <c r="AA65" s="256">
        <f t="shared" si="7"/>
        <v>0</v>
      </c>
      <c r="AB65" s="262">
        <f t="shared" si="8"/>
        <v>0</v>
      </c>
      <c r="AC65" s="257">
        <f t="shared" si="2"/>
        <v>0</v>
      </c>
    </row>
    <row r="66" spans="2:29" ht="15" customHeight="1" x14ac:dyDescent="0.25">
      <c r="B66" s="19">
        <f t="shared" si="9"/>
        <v>21</v>
      </c>
      <c r="C66" s="44" t="s">
        <v>706</v>
      </c>
      <c r="D66" s="45"/>
      <c r="E66" s="105" t="s">
        <v>94</v>
      </c>
      <c r="G66" s="77"/>
      <c r="H66" s="81"/>
      <c r="I66" s="87"/>
      <c r="J66" s="79"/>
      <c r="K66" s="88"/>
      <c r="L66" s="79"/>
      <c r="M66" s="79"/>
      <c r="N66" s="79"/>
      <c r="O66" s="80"/>
      <c r="P66" s="79"/>
      <c r="Q66" s="79"/>
      <c r="R66" s="80"/>
      <c r="S66" s="78"/>
      <c r="T66" s="87"/>
      <c r="U66" s="81"/>
      <c r="V66" s="80"/>
      <c r="W66" s="303"/>
      <c r="X66" s="304"/>
      <c r="AA66" s="256"/>
      <c r="AB66" s="262"/>
      <c r="AC66" s="257"/>
    </row>
    <row r="67" spans="2:29" ht="15" customHeight="1" x14ac:dyDescent="0.25">
      <c r="B67" s="19">
        <f t="shared" si="9"/>
        <v>22</v>
      </c>
      <c r="C67" s="44" t="s">
        <v>575</v>
      </c>
      <c r="D67" s="45"/>
      <c r="E67" s="105" t="s">
        <v>94</v>
      </c>
      <c r="G67" s="77">
        <f>'[17]Billing Qty 2021 NEW Format'!G61</f>
        <v>0</v>
      </c>
      <c r="H67" s="81"/>
      <c r="I67" s="87">
        <f>'[17]Billing Qty 2021 NEW Format'!I61</f>
        <v>0</v>
      </c>
      <c r="J67" s="79"/>
      <c r="K67" s="88">
        <f>'[17]Billing Qty 2021 NEW Format'!K61</f>
        <v>0</v>
      </c>
      <c r="L67" s="79"/>
      <c r="M67" s="79"/>
      <c r="N67" s="79"/>
      <c r="O67" s="80"/>
      <c r="P67" s="79"/>
      <c r="Q67" s="79"/>
      <c r="R67" s="80"/>
      <c r="S67" s="78">
        <f>'[17]Billing Qty 2021 NEW Format'!S61</f>
        <v>0</v>
      </c>
      <c r="T67" s="87">
        <f>'[17]Billing Qty 2021 NEW Format'!T61</f>
        <v>0</v>
      </c>
      <c r="U67" s="81"/>
      <c r="V67" s="80"/>
      <c r="W67" s="303">
        <f t="shared" si="0"/>
        <v>0</v>
      </c>
      <c r="X67" s="304">
        <f t="shared" si="1"/>
        <v>0</v>
      </c>
      <c r="AA67" s="256">
        <f t="shared" si="7"/>
        <v>0</v>
      </c>
      <c r="AB67" s="262">
        <f t="shared" si="8"/>
        <v>0</v>
      </c>
      <c r="AC67" s="257">
        <f t="shared" si="2"/>
        <v>0</v>
      </c>
    </row>
    <row r="68" spans="2:29" ht="15" customHeight="1" x14ac:dyDescent="0.25">
      <c r="B68" s="19">
        <f t="shared" si="9"/>
        <v>23</v>
      </c>
      <c r="C68" s="44" t="s">
        <v>576</v>
      </c>
      <c r="D68" s="45"/>
      <c r="E68" s="105" t="s">
        <v>94</v>
      </c>
      <c r="G68" s="77">
        <f>'[17]Billing Qty 2021 NEW Format'!G62</f>
        <v>365</v>
      </c>
      <c r="H68" s="81"/>
      <c r="I68" s="87">
        <f>'[17]Billing Qty 2021 NEW Format'!I62</f>
        <v>4100</v>
      </c>
      <c r="J68" s="79"/>
      <c r="K68" s="88">
        <f>'[17]Billing Qty 2021 NEW Format'!K62</f>
        <v>5400</v>
      </c>
      <c r="L68" s="79"/>
      <c r="M68" s="79"/>
      <c r="N68" s="79"/>
      <c r="O68" s="80"/>
      <c r="P68" s="79"/>
      <c r="Q68" s="79"/>
      <c r="R68" s="80"/>
      <c r="S68" s="78">
        <f>'[17]Billing Qty 2021 NEW Format'!S62</f>
        <v>1069450</v>
      </c>
      <c r="T68" s="87">
        <f>'[17]Billing Qty 2021 NEW Format'!T62</f>
        <v>1800910</v>
      </c>
      <c r="U68" s="81"/>
      <c r="V68" s="80"/>
      <c r="W68" s="303">
        <f t="shared" si="0"/>
        <v>1</v>
      </c>
      <c r="X68" s="304">
        <f t="shared" si="1"/>
        <v>9500</v>
      </c>
      <c r="AA68" s="256">
        <f t="shared" si="7"/>
        <v>9500</v>
      </c>
      <c r="AB68" s="262">
        <f t="shared" si="8"/>
        <v>0</v>
      </c>
      <c r="AC68" s="257">
        <f t="shared" si="2"/>
        <v>9500</v>
      </c>
    </row>
    <row r="69" spans="2:29" ht="15" customHeight="1" x14ac:dyDescent="0.25">
      <c r="B69" s="26">
        <f t="shared" si="9"/>
        <v>24</v>
      </c>
      <c r="C69" s="841" t="s">
        <v>632</v>
      </c>
      <c r="D69" s="56"/>
      <c r="E69" s="109" t="s">
        <v>652</v>
      </c>
      <c r="G69" s="77">
        <f>'[17]Billing Qty 2021 NEW Format'!G63</f>
        <v>365</v>
      </c>
      <c r="H69" s="81"/>
      <c r="I69" s="87">
        <f>'[17]Billing Qty 2021 NEW Format'!I63</f>
        <v>1100</v>
      </c>
      <c r="J69" s="79"/>
      <c r="K69" s="88">
        <f>'[17]Billing Qty 2021 NEW Format'!K63</f>
        <v>1600</v>
      </c>
      <c r="L69" s="79"/>
      <c r="M69" s="79"/>
      <c r="N69" s="79"/>
      <c r="O69" s="80"/>
      <c r="P69" s="87">
        <f>'[17]Billing Qty 2021 NEW Format'!P63</f>
        <v>109475</v>
      </c>
      <c r="Q69" s="79"/>
      <c r="R69" s="80"/>
      <c r="S69" s="78">
        <f>'[17]Billing Qty 2021 NEW Format'!S63</f>
        <v>0</v>
      </c>
      <c r="T69" s="87">
        <f>'[17]Billing Qty 2021 NEW Format'!T63</f>
        <v>572320</v>
      </c>
      <c r="U69" s="81"/>
      <c r="V69" s="80"/>
      <c r="W69" s="303">
        <f t="shared" si="0"/>
        <v>1</v>
      </c>
      <c r="X69" s="304">
        <f t="shared" si="1"/>
        <v>2700</v>
      </c>
      <c r="AA69" s="256">
        <f t="shared" si="7"/>
        <v>2700</v>
      </c>
      <c r="AB69" s="262">
        <f t="shared" si="8"/>
        <v>0</v>
      </c>
      <c r="AC69" s="257">
        <f t="shared" si="2"/>
        <v>2700</v>
      </c>
    </row>
    <row r="70" spans="2:29" ht="15" customHeight="1" x14ac:dyDescent="0.25">
      <c r="B70" s="30" t="s">
        <v>101</v>
      </c>
      <c r="C70" s="14" t="s">
        <v>102</v>
      </c>
      <c r="D70" s="14"/>
      <c r="E70" s="99"/>
      <c r="G70" s="100"/>
      <c r="H70" s="101"/>
      <c r="I70" s="102"/>
      <c r="J70" s="102"/>
      <c r="K70" s="103"/>
      <c r="L70" s="102"/>
      <c r="M70" s="102"/>
      <c r="N70" s="102"/>
      <c r="O70" s="103"/>
      <c r="P70" s="102"/>
      <c r="Q70" s="102"/>
      <c r="R70" s="103"/>
      <c r="S70" s="101"/>
      <c r="T70" s="102"/>
      <c r="U70" s="101"/>
      <c r="V70" s="103"/>
      <c r="W70" s="301">
        <f t="shared" si="0"/>
        <v>0</v>
      </c>
      <c r="X70" s="302">
        <f t="shared" si="1"/>
        <v>0</v>
      </c>
      <c r="AA70" s="253">
        <f>SUBTOTAL(9,AA71:AA93)</f>
        <v>743700</v>
      </c>
      <c r="AB70" s="253">
        <f>SUBTOTAL(9,AB71:AB93)</f>
        <v>0</v>
      </c>
      <c r="AC70" s="254">
        <f t="shared" si="2"/>
        <v>743700</v>
      </c>
    </row>
    <row r="71" spans="2:29" ht="15" customHeight="1" x14ac:dyDescent="0.25">
      <c r="B71" s="19"/>
      <c r="C71" s="36" t="s">
        <v>103</v>
      </c>
      <c r="D71" s="85"/>
      <c r="E71" s="85"/>
      <c r="G71" s="86"/>
      <c r="H71" s="81"/>
      <c r="I71" s="79"/>
      <c r="J71" s="79"/>
      <c r="K71" s="80"/>
      <c r="L71" s="79"/>
      <c r="M71" s="79"/>
      <c r="N71" s="79"/>
      <c r="O71" s="80"/>
      <c r="P71" s="79"/>
      <c r="Q71" s="79"/>
      <c r="R71" s="80"/>
      <c r="S71" s="81"/>
      <c r="T71" s="79"/>
      <c r="U71" s="81"/>
      <c r="V71" s="80"/>
      <c r="W71" s="303">
        <f t="shared" si="0"/>
        <v>0</v>
      </c>
      <c r="X71" s="304">
        <f t="shared" si="1"/>
        <v>0</v>
      </c>
      <c r="AA71" s="252">
        <f>SUBTOTAL(9,AA72:AA77)</f>
        <v>588600</v>
      </c>
      <c r="AB71" s="252">
        <f>SUBTOTAL(9,AB72:AB77)</f>
        <v>0</v>
      </c>
      <c r="AC71" s="254">
        <f t="shared" si="2"/>
        <v>588600</v>
      </c>
    </row>
    <row r="72" spans="2:29" ht="15" customHeight="1" x14ac:dyDescent="0.25">
      <c r="B72" s="19">
        <v>1</v>
      </c>
      <c r="C72" s="44" t="s">
        <v>585</v>
      </c>
      <c r="D72" s="45" t="s">
        <v>586</v>
      </c>
      <c r="E72" s="105" t="s">
        <v>104</v>
      </c>
      <c r="G72" s="77">
        <f>'[17]Billing Qty 2021 NEW Format'!G69</f>
        <v>50370</v>
      </c>
      <c r="H72" s="81"/>
      <c r="I72" s="87">
        <f>'[17]Billing Qty 2021 NEW Format'!I69</f>
        <v>265600</v>
      </c>
      <c r="J72" s="79"/>
      <c r="K72" s="88">
        <f>'[17]Billing Qty 2021 NEW Format'!K69</f>
        <v>284700</v>
      </c>
      <c r="L72" s="79"/>
      <c r="M72" s="79"/>
      <c r="N72" s="79"/>
      <c r="O72" s="80"/>
      <c r="P72" s="79"/>
      <c r="Q72" s="79"/>
      <c r="R72" s="80"/>
      <c r="S72" s="78">
        <f>'[17]Billing Qty 2021 NEW Format'!S69</f>
        <v>50549580</v>
      </c>
      <c r="T72" s="87">
        <f>'[17]Billing Qty 2021 NEW Format'!T69</f>
        <v>65300325</v>
      </c>
      <c r="U72" s="82"/>
      <c r="V72" s="83"/>
      <c r="W72" s="303">
        <f t="shared" si="0"/>
        <v>138</v>
      </c>
      <c r="X72" s="304">
        <f t="shared" si="1"/>
        <v>550300</v>
      </c>
      <c r="AA72" s="256">
        <f t="shared" ref="AA72:AA93" si="10">SUM(H72:K72)</f>
        <v>550300</v>
      </c>
      <c r="AB72" s="262">
        <f t="shared" ref="AB72:AB93" si="11">SUM(L72:O72)</f>
        <v>0</v>
      </c>
      <c r="AC72" s="257">
        <f t="shared" si="2"/>
        <v>550300</v>
      </c>
    </row>
    <row r="73" spans="2:29" ht="15" customHeight="1" x14ac:dyDescent="0.25">
      <c r="B73" s="19">
        <f>B72+1</f>
        <v>2</v>
      </c>
      <c r="C73" s="44" t="s">
        <v>587</v>
      </c>
      <c r="D73" s="45" t="s">
        <v>588</v>
      </c>
      <c r="E73" s="105" t="s">
        <v>105</v>
      </c>
      <c r="G73" s="77">
        <f>'[17]Billing Qty 2021 NEW Format'!G70</f>
        <v>2190</v>
      </c>
      <c r="H73" s="81"/>
      <c r="I73" s="87">
        <f>'[17]Billing Qty 2021 NEW Format'!I70</f>
        <v>7600</v>
      </c>
      <c r="J73" s="79"/>
      <c r="K73" s="88">
        <f>'[17]Billing Qty 2021 NEW Format'!K70</f>
        <v>10800</v>
      </c>
      <c r="L73" s="79"/>
      <c r="M73" s="79"/>
      <c r="N73" s="79"/>
      <c r="O73" s="80"/>
      <c r="P73" s="87">
        <f>'[17]Billing Qty 2021 NEW Format'!P70</f>
        <v>546922</v>
      </c>
      <c r="Q73" s="79"/>
      <c r="R73" s="80"/>
      <c r="S73" s="81"/>
      <c r="T73" s="87">
        <f>'[17]Billing Qty 2021 NEW Format'!T70</f>
        <v>3293760</v>
      </c>
      <c r="U73" s="81"/>
      <c r="V73" s="80"/>
      <c r="W73" s="303">
        <f t="shared" si="0"/>
        <v>6</v>
      </c>
      <c r="X73" s="304">
        <f t="shared" si="1"/>
        <v>18400</v>
      </c>
      <c r="AA73" s="256">
        <f t="shared" si="10"/>
        <v>18400</v>
      </c>
      <c r="AB73" s="262">
        <f t="shared" si="11"/>
        <v>0</v>
      </c>
      <c r="AC73" s="257">
        <f t="shared" si="2"/>
        <v>18400</v>
      </c>
    </row>
    <row r="74" spans="2:29" ht="15" customHeight="1" x14ac:dyDescent="0.25">
      <c r="B74" s="19">
        <f>B73+1</f>
        <v>3</v>
      </c>
      <c r="C74" s="833" t="s">
        <v>589</v>
      </c>
      <c r="D74" s="834" t="s">
        <v>590</v>
      </c>
      <c r="E74" s="835" t="s">
        <v>106</v>
      </c>
      <c r="G74" s="77">
        <f>'[17]Billing Qty 2021 NEW Format'!G71</f>
        <v>0</v>
      </c>
      <c r="H74" s="81"/>
      <c r="I74" s="87">
        <f>'[17]Billing Qty 2021 NEW Format'!I71</f>
        <v>0</v>
      </c>
      <c r="J74" s="79"/>
      <c r="K74" s="88">
        <f>'[17]Billing Qty 2021 NEW Format'!K71</f>
        <v>0</v>
      </c>
      <c r="L74" s="79"/>
      <c r="M74" s="79"/>
      <c r="N74" s="79"/>
      <c r="O74" s="80"/>
      <c r="P74" s="79"/>
      <c r="Q74" s="79"/>
      <c r="R74" s="80"/>
      <c r="S74" s="81"/>
      <c r="T74" s="79"/>
      <c r="U74" s="81"/>
      <c r="V74" s="80"/>
      <c r="W74" s="303">
        <f t="shared" si="0"/>
        <v>0</v>
      </c>
      <c r="X74" s="304">
        <f t="shared" si="1"/>
        <v>0</v>
      </c>
      <c r="AA74" s="256">
        <f t="shared" si="10"/>
        <v>0</v>
      </c>
      <c r="AB74" s="262">
        <f t="shared" si="11"/>
        <v>0</v>
      </c>
      <c r="AC74" s="257">
        <f t="shared" si="2"/>
        <v>0</v>
      </c>
    </row>
    <row r="75" spans="2:29" ht="15" customHeight="1" x14ac:dyDescent="0.25">
      <c r="B75" s="19">
        <f>B74+1</f>
        <v>4</v>
      </c>
      <c r="C75" s="44" t="s">
        <v>107</v>
      </c>
      <c r="D75" s="45" t="s">
        <v>107</v>
      </c>
      <c r="E75" s="105" t="s">
        <v>108</v>
      </c>
      <c r="G75" s="77">
        <f>'[17]Billing Qty 2021 NEW Format'!G72</f>
        <v>4745</v>
      </c>
      <c r="H75" s="78">
        <f>'[17]Billing Qty 2021 NEW Format'!H72</f>
        <v>12500</v>
      </c>
      <c r="I75" s="79"/>
      <c r="J75" s="79"/>
      <c r="K75" s="80"/>
      <c r="L75" s="79"/>
      <c r="M75" s="79"/>
      <c r="N75" s="79"/>
      <c r="O75" s="80"/>
      <c r="P75" s="79"/>
      <c r="Q75" s="87">
        <f>'[17]Billing Qty 2021 NEW Format'!Q72</f>
        <v>449678</v>
      </c>
      <c r="R75" s="88">
        <f>'[17]Billing Qty 2021 NEW Format'!R72</f>
        <v>1623520</v>
      </c>
      <c r="S75" s="81"/>
      <c r="T75" s="79"/>
      <c r="U75" s="81"/>
      <c r="V75" s="80"/>
      <c r="W75" s="303">
        <f t="shared" si="0"/>
        <v>13</v>
      </c>
      <c r="X75" s="304">
        <f t="shared" si="1"/>
        <v>12500</v>
      </c>
      <c r="AA75" s="256">
        <f t="shared" si="10"/>
        <v>12500</v>
      </c>
      <c r="AB75" s="262">
        <f t="shared" si="11"/>
        <v>0</v>
      </c>
      <c r="AC75" s="257">
        <f t="shared" si="2"/>
        <v>12500</v>
      </c>
    </row>
    <row r="76" spans="2:29" ht="15" customHeight="1" x14ac:dyDescent="0.25">
      <c r="B76" s="19">
        <f>B75+1</f>
        <v>5</v>
      </c>
      <c r="C76" s="845" t="s">
        <v>591</v>
      </c>
      <c r="D76" s="76" t="s">
        <v>592</v>
      </c>
      <c r="E76" s="104" t="s">
        <v>109</v>
      </c>
      <c r="G76" s="77">
        <f>'[17]Billing Qty 2021 NEW Format'!G73</f>
        <v>9125</v>
      </c>
      <c r="H76" s="81"/>
      <c r="I76" s="87">
        <f>'[17]Billing Qty 2021 NEW Format'!I73</f>
        <v>3700</v>
      </c>
      <c r="J76" s="79"/>
      <c r="K76" s="88">
        <f>'[17]Billing Qty 2021 NEW Format'!K73</f>
        <v>3700</v>
      </c>
      <c r="L76" s="79"/>
      <c r="M76" s="79"/>
      <c r="N76" s="79"/>
      <c r="O76" s="80"/>
      <c r="P76" s="79"/>
      <c r="Q76" s="79"/>
      <c r="R76" s="80"/>
      <c r="S76" s="78">
        <f>'[17]Billing Qty 2021 NEW Format'!S73</f>
        <v>662840</v>
      </c>
      <c r="T76" s="87">
        <f>'[17]Billing Qty 2021 NEW Format'!T73</f>
        <v>1369115</v>
      </c>
      <c r="U76" s="81"/>
      <c r="V76" s="80"/>
      <c r="W76" s="303">
        <f t="shared" si="0"/>
        <v>25</v>
      </c>
      <c r="X76" s="304">
        <f t="shared" si="1"/>
        <v>7400</v>
      </c>
      <c r="AA76" s="256">
        <f t="shared" si="10"/>
        <v>7400</v>
      </c>
      <c r="AB76" s="262">
        <f t="shared" si="11"/>
        <v>0</v>
      </c>
      <c r="AC76" s="257">
        <f t="shared" si="2"/>
        <v>7400</v>
      </c>
    </row>
    <row r="77" spans="2:29" ht="15" customHeight="1" x14ac:dyDescent="0.25">
      <c r="B77" s="19">
        <f>B76+1</f>
        <v>6</v>
      </c>
      <c r="C77" s="845" t="s">
        <v>593</v>
      </c>
      <c r="D77" s="76" t="s">
        <v>594</v>
      </c>
      <c r="E77" s="104" t="s">
        <v>110</v>
      </c>
      <c r="G77" s="77">
        <f>'[17]Billing Qty 2021 NEW Format'!G74</f>
        <v>0</v>
      </c>
      <c r="H77" s="81"/>
      <c r="I77" s="87">
        <f>'[17]Billing Qty 2021 NEW Format'!I74</f>
        <v>0</v>
      </c>
      <c r="J77" s="79"/>
      <c r="K77" s="88">
        <f>'[17]Billing Qty 2021 NEW Format'!K74</f>
        <v>0</v>
      </c>
      <c r="L77" s="79"/>
      <c r="M77" s="79"/>
      <c r="N77" s="79"/>
      <c r="O77" s="80"/>
      <c r="P77" s="79"/>
      <c r="Q77" s="79"/>
      <c r="R77" s="80"/>
      <c r="S77" s="78">
        <f>'[17]Billing Qty 2021 NEW Format'!S74</f>
        <v>0</v>
      </c>
      <c r="T77" s="88">
        <f>'[17]Billing Qty 2021 NEW Format'!T74</f>
        <v>0</v>
      </c>
      <c r="U77" s="81"/>
      <c r="V77" s="80"/>
      <c r="W77" s="303">
        <f t="shared" si="0"/>
        <v>0</v>
      </c>
      <c r="X77" s="304">
        <f t="shared" si="1"/>
        <v>0</v>
      </c>
      <c r="AA77" s="256">
        <f t="shared" si="10"/>
        <v>0</v>
      </c>
      <c r="AB77" s="262">
        <f t="shared" si="11"/>
        <v>0</v>
      </c>
      <c r="AC77" s="257">
        <f t="shared" si="2"/>
        <v>0</v>
      </c>
    </row>
    <row r="78" spans="2:29" ht="15" customHeight="1" x14ac:dyDescent="0.25">
      <c r="B78" s="19"/>
      <c r="C78" s="846"/>
      <c r="D78" s="847"/>
      <c r="E78" s="848" t="s">
        <v>111</v>
      </c>
      <c r="G78" s="86"/>
      <c r="H78" s="81"/>
      <c r="I78" s="79"/>
      <c r="J78" s="79"/>
      <c r="K78" s="80"/>
      <c r="L78" s="79"/>
      <c r="M78" s="79"/>
      <c r="N78" s="79"/>
      <c r="O78" s="80"/>
      <c r="P78" s="79"/>
      <c r="Q78" s="79"/>
      <c r="R78" s="80"/>
      <c r="S78" s="81"/>
      <c r="T78" s="79"/>
      <c r="U78" s="81"/>
      <c r="V78" s="80"/>
      <c r="W78" s="303">
        <f t="shared" si="0"/>
        <v>0</v>
      </c>
      <c r="X78" s="304">
        <f t="shared" si="1"/>
        <v>0</v>
      </c>
      <c r="AA78" s="256">
        <f t="shared" si="10"/>
        <v>0</v>
      </c>
      <c r="AB78" s="262">
        <f t="shared" si="11"/>
        <v>0</v>
      </c>
      <c r="AC78" s="257">
        <f t="shared" si="2"/>
        <v>0</v>
      </c>
    </row>
    <row r="79" spans="2:29" ht="15" customHeight="1" x14ac:dyDescent="0.25">
      <c r="B79" s="19">
        <f>B77+1</f>
        <v>7</v>
      </c>
      <c r="C79" s="833" t="s">
        <v>553</v>
      </c>
      <c r="D79" s="45"/>
      <c r="E79" s="835" t="s">
        <v>104</v>
      </c>
      <c r="G79" s="77">
        <f>'[17]Billing Qty 2021 NEW Format'!G76</f>
        <v>365</v>
      </c>
      <c r="H79" s="81"/>
      <c r="I79" s="87">
        <f>'[17]Billing Qty 2021 NEW Format'!I76</f>
        <v>12700</v>
      </c>
      <c r="J79" s="79"/>
      <c r="K79" s="88">
        <f>'[17]Billing Qty 2021 NEW Format'!K76</f>
        <v>12500</v>
      </c>
      <c r="L79" s="79"/>
      <c r="M79" s="79"/>
      <c r="N79" s="79"/>
      <c r="O79" s="80"/>
      <c r="P79" s="79"/>
      <c r="Q79" s="79"/>
      <c r="R79" s="80"/>
      <c r="S79" s="78">
        <f>'[17]Billing Qty 2021 NEW Format'!S76</f>
        <v>1564390</v>
      </c>
      <c r="T79" s="87">
        <f>'[17]Billing Qty 2021 NEW Format'!T76</f>
        <v>2384180</v>
      </c>
      <c r="U79" s="81"/>
      <c r="V79" s="80"/>
      <c r="W79" s="303">
        <f t="shared" si="0"/>
        <v>1</v>
      </c>
      <c r="X79" s="304">
        <f t="shared" si="1"/>
        <v>25200</v>
      </c>
      <c r="AA79" s="256">
        <f t="shared" si="10"/>
        <v>25200</v>
      </c>
      <c r="AB79" s="262">
        <f t="shared" si="11"/>
        <v>0</v>
      </c>
      <c r="AC79" s="257">
        <f t="shared" si="2"/>
        <v>25200</v>
      </c>
    </row>
    <row r="80" spans="2:29" ht="15" customHeight="1" x14ac:dyDescent="0.25">
      <c r="B80" s="19">
        <f t="shared" ref="B80:B93" si="12">B79+1</f>
        <v>8</v>
      </c>
      <c r="C80" s="833" t="s">
        <v>554</v>
      </c>
      <c r="D80" s="45"/>
      <c r="E80" s="835" t="s">
        <v>104</v>
      </c>
      <c r="G80" s="77">
        <f>'[17]Billing Qty 2021 NEW Format'!G77</f>
        <v>365</v>
      </c>
      <c r="H80" s="81"/>
      <c r="I80" s="87">
        <f>'[17]Billing Qty 2021 NEW Format'!I77</f>
        <v>7300</v>
      </c>
      <c r="J80" s="79"/>
      <c r="K80" s="88">
        <f>'[17]Billing Qty 2021 NEW Format'!K77</f>
        <v>5700</v>
      </c>
      <c r="L80" s="79"/>
      <c r="M80" s="79"/>
      <c r="N80" s="79"/>
      <c r="O80" s="80"/>
      <c r="P80" s="79"/>
      <c r="Q80" s="79"/>
      <c r="R80" s="80"/>
      <c r="S80" s="78">
        <f>'[17]Billing Qty 2021 NEW Format'!S77</f>
        <v>1600890</v>
      </c>
      <c r="T80" s="87">
        <f>'[17]Billing Qty 2021 NEW Format'!T77</f>
        <v>1700170</v>
      </c>
      <c r="U80" s="82"/>
      <c r="V80" s="83"/>
      <c r="W80" s="303">
        <f t="shared" si="0"/>
        <v>1</v>
      </c>
      <c r="X80" s="304">
        <f t="shared" si="1"/>
        <v>13000</v>
      </c>
      <c r="AA80" s="256">
        <f t="shared" si="10"/>
        <v>13000</v>
      </c>
      <c r="AB80" s="262">
        <f t="shared" si="11"/>
        <v>0</v>
      </c>
      <c r="AC80" s="257">
        <f t="shared" si="2"/>
        <v>13000</v>
      </c>
    </row>
    <row r="81" spans="2:29" ht="15" customHeight="1" x14ac:dyDescent="0.25">
      <c r="B81" s="19">
        <f t="shared" si="12"/>
        <v>9</v>
      </c>
      <c r="C81" s="44" t="s">
        <v>566</v>
      </c>
      <c r="D81" s="45"/>
      <c r="E81" s="105" t="s">
        <v>104</v>
      </c>
      <c r="G81" s="77">
        <f>'[17]Billing Qty 2021 NEW Format'!G78</f>
        <v>365</v>
      </c>
      <c r="H81" s="81"/>
      <c r="I81" s="87">
        <f>'[17]Billing Qty 2021 NEW Format'!I78</f>
        <v>5000</v>
      </c>
      <c r="J81" s="79"/>
      <c r="K81" s="88">
        <f>'[17]Billing Qty 2021 NEW Format'!K78</f>
        <v>16000</v>
      </c>
      <c r="L81" s="79"/>
      <c r="M81" s="79"/>
      <c r="N81" s="79"/>
      <c r="O81" s="80"/>
      <c r="P81" s="79"/>
      <c r="Q81" s="79"/>
      <c r="R81" s="80"/>
      <c r="S81" s="78">
        <f>'[17]Billing Qty 2021 NEW Format'!S78</f>
        <v>0</v>
      </c>
      <c r="T81" s="87">
        <f>'[17]Billing Qty 2021 NEW Format'!T78</f>
        <v>2117000</v>
      </c>
      <c r="U81" s="82"/>
      <c r="V81" s="83"/>
      <c r="W81" s="303">
        <f t="shared" ref="W81:W129" si="13">G81/$W$7</f>
        <v>1</v>
      </c>
      <c r="X81" s="304">
        <f t="shared" ref="X81:X129" si="14">SUM(H81:O81)</f>
        <v>21000</v>
      </c>
      <c r="AA81" s="256">
        <f>SUM(H81:K81)</f>
        <v>21000</v>
      </c>
      <c r="AB81" s="262">
        <f t="shared" si="11"/>
        <v>0</v>
      </c>
      <c r="AC81" s="257">
        <f t="shared" si="2"/>
        <v>21000</v>
      </c>
    </row>
    <row r="82" spans="2:29" ht="15" customHeight="1" x14ac:dyDescent="0.25">
      <c r="B82" s="19">
        <f t="shared" si="12"/>
        <v>10</v>
      </c>
      <c r="C82" s="833" t="s">
        <v>555</v>
      </c>
      <c r="D82" s="45"/>
      <c r="E82" s="835" t="s">
        <v>104</v>
      </c>
      <c r="G82" s="77">
        <f>'[17]Billing Qty 2021 NEW Format'!G79</f>
        <v>365</v>
      </c>
      <c r="H82" s="81"/>
      <c r="I82" s="87">
        <f>'[17]Billing Qty 2021 NEW Format'!I79</f>
        <v>10700</v>
      </c>
      <c r="J82" s="79"/>
      <c r="K82" s="88">
        <f>'[17]Billing Qty 2021 NEW Format'!K79</f>
        <v>8500</v>
      </c>
      <c r="L82" s="79"/>
      <c r="M82" s="79"/>
      <c r="N82" s="79"/>
      <c r="O82" s="80"/>
      <c r="P82" s="79"/>
      <c r="Q82" s="79"/>
      <c r="R82" s="80"/>
      <c r="S82" s="78">
        <f>'[17]Billing Qty 2021 NEW Format'!S79</f>
        <v>1764410</v>
      </c>
      <c r="T82" s="87">
        <f>'[17]Billing Qty 2021 NEW Format'!T79</f>
        <v>2027210</v>
      </c>
      <c r="U82" s="82"/>
      <c r="V82" s="83"/>
      <c r="W82" s="303">
        <f t="shared" si="13"/>
        <v>1</v>
      </c>
      <c r="X82" s="304">
        <f t="shared" si="14"/>
        <v>19200</v>
      </c>
      <c r="AA82" s="256">
        <f>SUM(H82:K82)</f>
        <v>19200</v>
      </c>
      <c r="AB82" s="262">
        <f t="shared" si="11"/>
        <v>0</v>
      </c>
      <c r="AC82" s="257">
        <f t="shared" si="2"/>
        <v>19200</v>
      </c>
    </row>
    <row r="83" spans="2:29" ht="15" customHeight="1" x14ac:dyDescent="0.25">
      <c r="B83" s="19">
        <f t="shared" si="12"/>
        <v>11</v>
      </c>
      <c r="C83" s="833" t="s">
        <v>556</v>
      </c>
      <c r="D83" s="45"/>
      <c r="E83" s="835" t="s">
        <v>104</v>
      </c>
      <c r="G83" s="77">
        <f>'[17]Billing Qty 2021 NEW Format'!G80</f>
        <v>365</v>
      </c>
      <c r="H83" s="81"/>
      <c r="I83" s="87">
        <f>'[17]Billing Qty 2021 NEW Format'!I80</f>
        <v>6600</v>
      </c>
      <c r="J83" s="79"/>
      <c r="K83" s="88">
        <f>'[17]Billing Qty 2021 NEW Format'!K80</f>
        <v>4500</v>
      </c>
      <c r="L83" s="79"/>
      <c r="M83" s="79"/>
      <c r="N83" s="79"/>
      <c r="O83" s="80"/>
      <c r="P83" s="79"/>
      <c r="Q83" s="79"/>
      <c r="R83" s="80"/>
      <c r="S83" s="78">
        <f>'[17]Billing Qty 2021 NEW Format'!S80</f>
        <v>1330425</v>
      </c>
      <c r="T83" s="87">
        <f>'[17]Billing Qty 2021 NEW Format'!T80</f>
        <v>1372400</v>
      </c>
      <c r="U83" s="82"/>
      <c r="V83" s="83"/>
      <c r="W83" s="303">
        <f t="shared" si="13"/>
        <v>1</v>
      </c>
      <c r="X83" s="304">
        <f t="shared" si="14"/>
        <v>11100</v>
      </c>
      <c r="AA83" s="256">
        <f t="shared" si="10"/>
        <v>11100</v>
      </c>
      <c r="AB83" s="262">
        <f t="shared" si="11"/>
        <v>0</v>
      </c>
      <c r="AC83" s="257">
        <f t="shared" ref="AC83:AC129" si="15">SUM(AA83:AB83)</f>
        <v>11100</v>
      </c>
    </row>
    <row r="84" spans="2:29" ht="15" customHeight="1" x14ac:dyDescent="0.25">
      <c r="B84" s="19">
        <f t="shared" si="12"/>
        <v>12</v>
      </c>
      <c r="C84" s="833" t="s">
        <v>557</v>
      </c>
      <c r="D84" s="45"/>
      <c r="E84" s="835" t="s">
        <v>104</v>
      </c>
      <c r="G84" s="77">
        <f>'[17]Billing Qty 2021 NEW Format'!G81</f>
        <v>365</v>
      </c>
      <c r="H84" s="81"/>
      <c r="I84" s="87">
        <f>'[17]Billing Qty 2021 NEW Format'!I81</f>
        <v>6300</v>
      </c>
      <c r="J84" s="79"/>
      <c r="K84" s="88">
        <f>'[17]Billing Qty 2021 NEW Format'!K81</f>
        <v>5100</v>
      </c>
      <c r="L84" s="79"/>
      <c r="M84" s="79"/>
      <c r="N84" s="79"/>
      <c r="O84" s="80"/>
      <c r="P84" s="79"/>
      <c r="Q84" s="79"/>
      <c r="R84" s="80"/>
      <c r="S84" s="78">
        <f>'[17]Billing Qty 2021 NEW Format'!S81</f>
        <v>1231875</v>
      </c>
      <c r="T84" s="87">
        <f>'[17]Billing Qty 2021 NEW Format'!T81</f>
        <v>1259250</v>
      </c>
      <c r="U84" s="82"/>
      <c r="V84" s="83"/>
      <c r="W84" s="303">
        <f t="shared" si="13"/>
        <v>1</v>
      </c>
      <c r="X84" s="304">
        <f t="shared" si="14"/>
        <v>11400</v>
      </c>
      <c r="AA84" s="256">
        <f t="shared" si="10"/>
        <v>11400</v>
      </c>
      <c r="AB84" s="262">
        <f t="shared" si="11"/>
        <v>0</v>
      </c>
      <c r="AC84" s="257">
        <f t="shared" si="15"/>
        <v>11400</v>
      </c>
    </row>
    <row r="85" spans="2:29" ht="15" customHeight="1" x14ac:dyDescent="0.25">
      <c r="B85" s="19">
        <f t="shared" si="12"/>
        <v>13</v>
      </c>
      <c r="C85" s="44" t="s">
        <v>558</v>
      </c>
      <c r="D85" s="45"/>
      <c r="E85" s="105" t="s">
        <v>104</v>
      </c>
      <c r="G85" s="77">
        <f>'[17]Billing Qty 2021 NEW Format'!G82</f>
        <v>365</v>
      </c>
      <c r="H85" s="81"/>
      <c r="I85" s="87">
        <f>'[17]Billing Qty 2021 NEW Format'!I82</f>
        <v>11600</v>
      </c>
      <c r="J85" s="79"/>
      <c r="K85" s="88">
        <f>'[17]Billing Qty 2021 NEW Format'!K82</f>
        <v>11600</v>
      </c>
      <c r="L85" s="79"/>
      <c r="M85" s="79"/>
      <c r="N85" s="79"/>
      <c r="O85" s="80"/>
      <c r="P85" s="79"/>
      <c r="Q85" s="79"/>
      <c r="R85" s="80"/>
      <c r="S85" s="78">
        <f>'[17]Billing Qty 2021 NEW Format'!S82</f>
        <v>1614030</v>
      </c>
      <c r="T85" s="87">
        <f>'[17]Billing Qty 2021 NEW Format'!T82</f>
        <v>1665860</v>
      </c>
      <c r="U85" s="82"/>
      <c r="V85" s="83"/>
      <c r="W85" s="303">
        <f t="shared" si="13"/>
        <v>1</v>
      </c>
      <c r="X85" s="304">
        <f t="shared" si="14"/>
        <v>23200</v>
      </c>
      <c r="AA85" s="256">
        <f t="shared" si="10"/>
        <v>23200</v>
      </c>
      <c r="AB85" s="262">
        <f t="shared" si="11"/>
        <v>0</v>
      </c>
      <c r="AC85" s="257">
        <f t="shared" si="15"/>
        <v>23200</v>
      </c>
    </row>
    <row r="86" spans="2:29" ht="15" customHeight="1" x14ac:dyDescent="0.25">
      <c r="B86" s="19">
        <f t="shared" si="12"/>
        <v>14</v>
      </c>
      <c r="C86" s="44" t="s">
        <v>631</v>
      </c>
      <c r="D86" s="45"/>
      <c r="E86" s="105" t="s">
        <v>104</v>
      </c>
      <c r="G86" s="77">
        <f>'[17]Billing Qty 2021 NEW Format'!G83</f>
        <v>365</v>
      </c>
      <c r="H86" s="81"/>
      <c r="I86" s="87">
        <f>'[17]Billing Qty 2021 NEW Format'!I83</f>
        <v>10400</v>
      </c>
      <c r="J86" s="79"/>
      <c r="K86" s="88">
        <f>'[17]Billing Qty 2021 NEW Format'!K83</f>
        <v>9600</v>
      </c>
      <c r="L86" s="79"/>
      <c r="M86" s="79"/>
      <c r="N86" s="79"/>
      <c r="O86" s="80"/>
      <c r="P86" s="79"/>
      <c r="Q86" s="79"/>
      <c r="R86" s="80"/>
      <c r="S86" s="78">
        <f>'[17]Billing Qty 2021 NEW Format'!S83</f>
        <v>1488105</v>
      </c>
      <c r="T86" s="87">
        <f>'[17]Billing Qty 2021 NEW Format'!T83</f>
        <v>1766235</v>
      </c>
      <c r="U86" s="82"/>
      <c r="V86" s="83"/>
      <c r="W86" s="303">
        <f t="shared" si="13"/>
        <v>1</v>
      </c>
      <c r="X86" s="304">
        <f t="shared" si="14"/>
        <v>20000</v>
      </c>
      <c r="AA86" s="256">
        <f>SUM(H86:K86)</f>
        <v>20000</v>
      </c>
      <c r="AB86" s="262">
        <f t="shared" si="11"/>
        <v>0</v>
      </c>
      <c r="AC86" s="257">
        <f t="shared" si="15"/>
        <v>20000</v>
      </c>
    </row>
    <row r="87" spans="2:29" ht="15" customHeight="1" x14ac:dyDescent="0.25">
      <c r="B87" s="19">
        <f t="shared" si="12"/>
        <v>15</v>
      </c>
      <c r="C87" s="833" t="s">
        <v>559</v>
      </c>
      <c r="D87" s="45"/>
      <c r="E87" s="835" t="s">
        <v>104</v>
      </c>
      <c r="G87" s="77">
        <f>'[17]Billing Qty 2021 NEW Format'!G84</f>
        <v>365</v>
      </c>
      <c r="H87" s="81"/>
      <c r="I87" s="87">
        <f>'[17]Billing Qty 2021 NEW Format'!I84</f>
        <v>6100</v>
      </c>
      <c r="J87" s="79"/>
      <c r="K87" s="88">
        <f>'[17]Billing Qty 2021 NEW Format'!K84</f>
        <v>4900</v>
      </c>
      <c r="L87" s="79"/>
      <c r="M87" s="79"/>
      <c r="N87" s="79"/>
      <c r="O87" s="80"/>
      <c r="P87" s="79"/>
      <c r="Q87" s="79"/>
      <c r="R87" s="80"/>
      <c r="S87" s="78">
        <f>'[17]Billing Qty 2021 NEW Format'!S84</f>
        <v>968710</v>
      </c>
      <c r="T87" s="87">
        <f>'[17]Billing Qty 2021 NEW Format'!T84</f>
        <v>1090620</v>
      </c>
      <c r="U87" s="82"/>
      <c r="V87" s="83"/>
      <c r="W87" s="303">
        <f t="shared" si="13"/>
        <v>1</v>
      </c>
      <c r="X87" s="304">
        <f t="shared" si="14"/>
        <v>11000</v>
      </c>
      <c r="AA87" s="256">
        <f>SUM(H87:K87)</f>
        <v>11000</v>
      </c>
      <c r="AB87" s="262">
        <f t="shared" si="11"/>
        <v>0</v>
      </c>
      <c r="AC87" s="257">
        <f t="shared" si="15"/>
        <v>11000</v>
      </c>
    </row>
    <row r="88" spans="2:29" ht="15" customHeight="1" x14ac:dyDescent="0.25">
      <c r="B88" s="19">
        <f t="shared" si="12"/>
        <v>16</v>
      </c>
      <c r="C88" s="785"/>
      <c r="D88" s="772"/>
      <c r="E88" s="836"/>
      <c r="G88" s="86"/>
      <c r="H88" s="81"/>
      <c r="I88" s="79"/>
      <c r="J88" s="79"/>
      <c r="K88" s="80"/>
      <c r="L88" s="79"/>
      <c r="M88" s="79"/>
      <c r="N88" s="79"/>
      <c r="O88" s="80"/>
      <c r="P88" s="79"/>
      <c r="Q88" s="79"/>
      <c r="R88" s="80"/>
      <c r="S88" s="81"/>
      <c r="T88" s="79"/>
      <c r="U88" s="81"/>
      <c r="V88" s="80"/>
      <c r="W88" s="303">
        <f t="shared" si="13"/>
        <v>0</v>
      </c>
      <c r="X88" s="304">
        <f t="shared" si="14"/>
        <v>0</v>
      </c>
      <c r="AA88" s="256">
        <f>SUM(H88:K88)</f>
        <v>0</v>
      </c>
      <c r="AB88" s="262">
        <f t="shared" si="11"/>
        <v>0</v>
      </c>
      <c r="AC88" s="257">
        <f t="shared" si="15"/>
        <v>0</v>
      </c>
    </row>
    <row r="89" spans="2:29" ht="15" customHeight="1" x14ac:dyDescent="0.25">
      <c r="B89" s="19">
        <f t="shared" si="12"/>
        <v>17</v>
      </c>
      <c r="C89" s="785"/>
      <c r="D89" s="772"/>
      <c r="E89" s="836"/>
      <c r="G89" s="86"/>
      <c r="H89" s="81"/>
      <c r="I89" s="79"/>
      <c r="J89" s="79"/>
      <c r="K89" s="80"/>
      <c r="L89" s="79"/>
      <c r="M89" s="79"/>
      <c r="N89" s="79"/>
      <c r="O89" s="80"/>
      <c r="P89" s="79"/>
      <c r="Q89" s="79"/>
      <c r="R89" s="80"/>
      <c r="S89" s="81"/>
      <c r="T89" s="79"/>
      <c r="U89" s="81"/>
      <c r="V89" s="80"/>
      <c r="W89" s="303">
        <f t="shared" si="13"/>
        <v>0</v>
      </c>
      <c r="X89" s="304">
        <f t="shared" si="14"/>
        <v>0</v>
      </c>
      <c r="AA89" s="256">
        <f t="shared" si="10"/>
        <v>0</v>
      </c>
      <c r="AB89" s="262">
        <f t="shared" si="11"/>
        <v>0</v>
      </c>
      <c r="AC89" s="257">
        <f t="shared" si="15"/>
        <v>0</v>
      </c>
    </row>
    <row r="90" spans="2:29" ht="15" customHeight="1" x14ac:dyDescent="0.25">
      <c r="B90" s="19">
        <f t="shared" si="12"/>
        <v>18</v>
      </c>
      <c r="C90" s="785"/>
      <c r="D90" s="772"/>
      <c r="E90" s="836"/>
      <c r="G90" s="86"/>
      <c r="H90" s="81"/>
      <c r="I90" s="79"/>
      <c r="J90" s="79"/>
      <c r="K90" s="80"/>
      <c r="L90" s="79"/>
      <c r="M90" s="79"/>
      <c r="N90" s="79"/>
      <c r="O90" s="80"/>
      <c r="P90" s="79"/>
      <c r="Q90" s="79"/>
      <c r="R90" s="80"/>
      <c r="S90" s="81"/>
      <c r="T90" s="79"/>
      <c r="U90" s="81"/>
      <c r="V90" s="80"/>
      <c r="W90" s="303">
        <f t="shared" si="13"/>
        <v>0</v>
      </c>
      <c r="X90" s="304">
        <f t="shared" si="14"/>
        <v>0</v>
      </c>
      <c r="AA90" s="256">
        <f t="shared" si="10"/>
        <v>0</v>
      </c>
      <c r="AB90" s="262">
        <f t="shared" si="11"/>
        <v>0</v>
      </c>
      <c r="AC90" s="257">
        <f t="shared" si="15"/>
        <v>0</v>
      </c>
    </row>
    <row r="91" spans="2:29" ht="15" customHeight="1" x14ac:dyDescent="0.25">
      <c r="B91" s="19">
        <f t="shared" si="12"/>
        <v>19</v>
      </c>
      <c r="C91" s="785"/>
      <c r="D91" s="772"/>
      <c r="E91" s="836"/>
      <c r="G91" s="86"/>
      <c r="H91" s="81"/>
      <c r="I91" s="79"/>
      <c r="J91" s="79"/>
      <c r="K91" s="80"/>
      <c r="L91" s="79"/>
      <c r="M91" s="79"/>
      <c r="N91" s="79"/>
      <c r="O91" s="80"/>
      <c r="P91" s="79"/>
      <c r="Q91" s="79"/>
      <c r="R91" s="80"/>
      <c r="S91" s="81"/>
      <c r="T91" s="79"/>
      <c r="U91" s="81"/>
      <c r="V91" s="80"/>
      <c r="W91" s="303">
        <f t="shared" si="13"/>
        <v>0</v>
      </c>
      <c r="X91" s="304">
        <f t="shared" si="14"/>
        <v>0</v>
      </c>
      <c r="AA91" s="256">
        <f t="shared" si="10"/>
        <v>0</v>
      </c>
      <c r="AB91" s="262">
        <f t="shared" si="11"/>
        <v>0</v>
      </c>
      <c r="AC91" s="257">
        <f t="shared" si="15"/>
        <v>0</v>
      </c>
    </row>
    <row r="92" spans="2:29" ht="15" customHeight="1" x14ac:dyDescent="0.25">
      <c r="B92" s="19">
        <f t="shared" si="12"/>
        <v>20</v>
      </c>
      <c r="C92" s="785"/>
      <c r="D92" s="772"/>
      <c r="E92" s="836"/>
      <c r="G92" s="86"/>
      <c r="H92" s="81"/>
      <c r="I92" s="79"/>
      <c r="J92" s="79"/>
      <c r="K92" s="80"/>
      <c r="L92" s="79"/>
      <c r="M92" s="79"/>
      <c r="N92" s="79"/>
      <c r="O92" s="80"/>
      <c r="P92" s="79"/>
      <c r="Q92" s="79"/>
      <c r="R92" s="80"/>
      <c r="S92" s="81"/>
      <c r="T92" s="79"/>
      <c r="U92" s="81"/>
      <c r="V92" s="80"/>
      <c r="W92" s="303">
        <f t="shared" si="13"/>
        <v>0</v>
      </c>
      <c r="X92" s="304">
        <f t="shared" si="14"/>
        <v>0</v>
      </c>
      <c r="AA92" s="256">
        <f t="shared" si="10"/>
        <v>0</v>
      </c>
      <c r="AB92" s="262">
        <f t="shared" si="11"/>
        <v>0</v>
      </c>
      <c r="AC92" s="257">
        <f t="shared" si="15"/>
        <v>0</v>
      </c>
    </row>
    <row r="93" spans="2:29" ht="15" customHeight="1" x14ac:dyDescent="0.25">
      <c r="B93" s="26">
        <f t="shared" si="12"/>
        <v>21</v>
      </c>
      <c r="C93" s="837"/>
      <c r="D93" s="778"/>
      <c r="E93" s="838"/>
      <c r="G93" s="106"/>
      <c r="H93" s="96"/>
      <c r="I93" s="92"/>
      <c r="J93" s="92"/>
      <c r="K93" s="93"/>
      <c r="L93" s="92"/>
      <c r="M93" s="92"/>
      <c r="N93" s="92"/>
      <c r="O93" s="93"/>
      <c r="P93" s="92"/>
      <c r="Q93" s="92"/>
      <c r="R93" s="93"/>
      <c r="S93" s="96"/>
      <c r="T93" s="92"/>
      <c r="U93" s="96"/>
      <c r="V93" s="93"/>
      <c r="W93" s="305">
        <f t="shared" si="13"/>
        <v>0</v>
      </c>
      <c r="X93" s="306">
        <f t="shared" si="14"/>
        <v>0</v>
      </c>
      <c r="AA93" s="256">
        <f t="shared" si="10"/>
        <v>0</v>
      </c>
      <c r="AB93" s="262">
        <f t="shared" si="11"/>
        <v>0</v>
      </c>
      <c r="AC93" s="257">
        <f t="shared" si="15"/>
        <v>0</v>
      </c>
    </row>
    <row r="94" spans="2:29" ht="15" customHeight="1" x14ac:dyDescent="0.25">
      <c r="B94" s="35" t="s">
        <v>112</v>
      </c>
      <c r="C94" s="36" t="s">
        <v>113</v>
      </c>
      <c r="D94" s="36"/>
      <c r="E94" s="107"/>
      <c r="G94" s="86"/>
      <c r="H94" s="81"/>
      <c r="I94" s="79"/>
      <c r="J94" s="79"/>
      <c r="K94" s="80"/>
      <c r="L94" s="79"/>
      <c r="M94" s="79"/>
      <c r="N94" s="79"/>
      <c r="O94" s="80"/>
      <c r="P94" s="79"/>
      <c r="Q94" s="79"/>
      <c r="R94" s="80"/>
      <c r="S94" s="81"/>
      <c r="T94" s="79"/>
      <c r="U94" s="81"/>
      <c r="V94" s="80"/>
      <c r="W94" s="303">
        <f t="shared" si="13"/>
        <v>0</v>
      </c>
      <c r="X94" s="304">
        <f t="shared" si="14"/>
        <v>0</v>
      </c>
      <c r="AA94" s="253">
        <f>SUBTOTAL(9,AA95:AA129)</f>
        <v>1194167.5054229998</v>
      </c>
      <c r="AB94" s="253">
        <f>SUBTOTAL(9,AB95:AB129)</f>
        <v>0</v>
      </c>
      <c r="AC94" s="254">
        <f t="shared" si="15"/>
        <v>1194167.5054229998</v>
      </c>
    </row>
    <row r="95" spans="2:29" ht="15" customHeight="1" x14ac:dyDescent="0.25">
      <c r="B95" s="19"/>
      <c r="C95" s="36" t="s">
        <v>114</v>
      </c>
      <c r="D95" s="85"/>
      <c r="E95" s="85"/>
      <c r="G95" s="86"/>
      <c r="H95" s="81"/>
      <c r="I95" s="79"/>
      <c r="J95" s="79"/>
      <c r="K95" s="80"/>
      <c r="L95" s="79"/>
      <c r="M95" s="79"/>
      <c r="N95" s="79"/>
      <c r="O95" s="80"/>
      <c r="P95" s="79"/>
      <c r="Q95" s="79"/>
      <c r="R95" s="80"/>
      <c r="S95" s="81"/>
      <c r="T95" s="79"/>
      <c r="U95" s="81"/>
      <c r="V95" s="80"/>
      <c r="W95" s="303">
        <f t="shared" si="13"/>
        <v>0</v>
      </c>
      <c r="X95" s="304">
        <f t="shared" si="14"/>
        <v>0</v>
      </c>
      <c r="AA95" s="252">
        <f>SUBTOTAL(9,AA96:AA103)</f>
        <v>105268.25945200001</v>
      </c>
      <c r="AB95" s="252">
        <f>SUBTOTAL(9,AB96:AB103)</f>
        <v>0</v>
      </c>
      <c r="AC95" s="254">
        <f t="shared" si="15"/>
        <v>105268.25945200001</v>
      </c>
    </row>
    <row r="96" spans="2:29" ht="15" customHeight="1" x14ac:dyDescent="0.25">
      <c r="B96" s="19">
        <v>1</v>
      </c>
      <c r="C96" s="44" t="s">
        <v>115</v>
      </c>
      <c r="D96" s="45"/>
      <c r="E96" s="105" t="s">
        <v>116</v>
      </c>
      <c r="G96" s="77">
        <f>'[17]Billing Qty 2021 NEW Format'!G93</f>
        <v>0</v>
      </c>
      <c r="H96" s="78">
        <f>'[17]Billing Qty 2021 NEW Format'!H93</f>
        <v>0</v>
      </c>
      <c r="I96" s="79"/>
      <c r="J96" s="79"/>
      <c r="K96" s="80"/>
      <c r="L96" s="79"/>
      <c r="M96" s="79"/>
      <c r="N96" s="79"/>
      <c r="O96" s="80"/>
      <c r="P96" s="79"/>
      <c r="Q96" s="79"/>
      <c r="R96" s="80"/>
      <c r="S96" s="78">
        <f>'[17]Billing Qty 2021 NEW Format'!S93</f>
        <v>0</v>
      </c>
      <c r="T96" s="87">
        <f>'[17]Billing Qty 2021 NEW Format'!T93</f>
        <v>0</v>
      </c>
      <c r="U96" s="82"/>
      <c r="V96" s="83"/>
      <c r="W96" s="303">
        <f t="shared" si="13"/>
        <v>0</v>
      </c>
      <c r="X96" s="304">
        <f t="shared" si="14"/>
        <v>0</v>
      </c>
      <c r="AA96" s="256">
        <f t="shared" ref="AA96:AA103" si="16">SUM(H96:K96)</f>
        <v>0</v>
      </c>
      <c r="AB96" s="262">
        <f t="shared" ref="AB96:AB103" si="17">SUM(L96:O96)</f>
        <v>0</v>
      </c>
      <c r="AC96" s="257">
        <f t="shared" si="15"/>
        <v>0</v>
      </c>
    </row>
    <row r="97" spans="2:29" ht="15" customHeight="1" x14ac:dyDescent="0.25">
      <c r="B97" s="19">
        <f>1+B96</f>
        <v>2</v>
      </c>
      <c r="C97" s="44" t="s">
        <v>117</v>
      </c>
      <c r="D97" s="45"/>
      <c r="E97" s="105" t="s">
        <v>118</v>
      </c>
      <c r="G97" s="77">
        <f>'[17]Billing Qty 2021 NEW Format'!G94</f>
        <v>365</v>
      </c>
      <c r="H97" s="78">
        <f>'[17]Billing Qty 2021 NEW Format'!H94</f>
        <v>20561.394500000002</v>
      </c>
      <c r="I97" s="79"/>
      <c r="J97" s="79"/>
      <c r="K97" s="80"/>
      <c r="L97" s="79"/>
      <c r="M97" s="79"/>
      <c r="N97" s="79"/>
      <c r="O97" s="80"/>
      <c r="P97" s="79"/>
      <c r="Q97" s="79"/>
      <c r="R97" s="80"/>
      <c r="S97" s="78">
        <f>'[17]Billing Qty 2021 NEW Format'!S94</f>
        <v>1573358.78</v>
      </c>
      <c r="T97" s="87">
        <f>'[17]Billing Qty 2021 NEW Format'!T94</f>
        <v>1825000</v>
      </c>
      <c r="U97" s="82"/>
      <c r="V97" s="83"/>
      <c r="W97" s="303">
        <f t="shared" si="13"/>
        <v>1</v>
      </c>
      <c r="X97" s="304">
        <f t="shared" si="14"/>
        <v>20561.394500000002</v>
      </c>
      <c r="AA97" s="256">
        <f t="shared" si="16"/>
        <v>20561.394500000002</v>
      </c>
      <c r="AB97" s="262">
        <f t="shared" si="17"/>
        <v>0</v>
      </c>
      <c r="AC97" s="257">
        <f t="shared" si="15"/>
        <v>20561.394500000002</v>
      </c>
    </row>
    <row r="98" spans="2:29" ht="15" customHeight="1" x14ac:dyDescent="0.25">
      <c r="B98" s="19">
        <f t="shared" ref="B98:B129" si="18">B97+1</f>
        <v>3</v>
      </c>
      <c r="C98" s="44" t="s">
        <v>122</v>
      </c>
      <c r="D98" s="45"/>
      <c r="E98" s="105" t="s">
        <v>118</v>
      </c>
      <c r="G98" s="77">
        <f>'[17]Billing Qty 2021 NEW Format'!G95</f>
        <v>365</v>
      </c>
      <c r="H98" s="78">
        <f>'[17]Billing Qty 2021 NEW Format'!H95</f>
        <v>24905.050000000003</v>
      </c>
      <c r="I98" s="79"/>
      <c r="J98" s="79"/>
      <c r="K98" s="80"/>
      <c r="L98" s="79"/>
      <c r="M98" s="79"/>
      <c r="N98" s="79"/>
      <c r="O98" s="80"/>
      <c r="P98" s="79"/>
      <c r="Q98" s="79"/>
      <c r="R98" s="80"/>
      <c r="S98" s="78">
        <f>'[17]Billing Qty 2021 NEW Format'!S95</f>
        <v>2062195.2500000002</v>
      </c>
      <c r="T98" s="87">
        <f>'[17]Billing Qty 2021 NEW Format'!T95</f>
        <v>2062195.2500000002</v>
      </c>
      <c r="U98" s="82"/>
      <c r="V98" s="83"/>
      <c r="W98" s="303">
        <f>G98/$W$7</f>
        <v>1</v>
      </c>
      <c r="X98" s="304">
        <f>SUM(H98:O98)</f>
        <v>24905.050000000003</v>
      </c>
      <c r="AA98" s="256">
        <f>SUM(H98:K98)</f>
        <v>24905.050000000003</v>
      </c>
      <c r="AB98" s="262">
        <f>SUM(L98:O98)</f>
        <v>0</v>
      </c>
      <c r="AC98" s="257">
        <f t="shared" si="15"/>
        <v>24905.050000000003</v>
      </c>
    </row>
    <row r="99" spans="2:29" ht="15" customHeight="1" x14ac:dyDescent="0.25">
      <c r="B99" s="19">
        <f t="shared" si="18"/>
        <v>4</v>
      </c>
      <c r="C99" s="44" t="s">
        <v>123</v>
      </c>
      <c r="D99" s="45"/>
      <c r="E99" s="105" t="s">
        <v>118</v>
      </c>
      <c r="G99" s="77">
        <f>'[17]Billing Qty 2021 NEW Format'!G96</f>
        <v>365</v>
      </c>
      <c r="H99" s="78">
        <f>'[17]Billing Qty 2021 NEW Format'!H96</f>
        <v>8861.0153499999997</v>
      </c>
      <c r="I99" s="79"/>
      <c r="J99" s="79"/>
      <c r="K99" s="80"/>
      <c r="L99" s="79"/>
      <c r="M99" s="79"/>
      <c r="N99" s="79"/>
      <c r="O99" s="80"/>
      <c r="P99" s="79"/>
      <c r="Q99" s="79"/>
      <c r="R99" s="80"/>
      <c r="S99" s="78">
        <f>'[17]Billing Qty 2021 NEW Format'!S96</f>
        <v>1002255.69</v>
      </c>
      <c r="T99" s="87">
        <f>'[17]Billing Qty 2021 NEW Format'!T96</f>
        <v>1825000</v>
      </c>
      <c r="U99" s="82"/>
      <c r="V99" s="83"/>
      <c r="W99" s="303">
        <f>G99/$W$7</f>
        <v>1</v>
      </c>
      <c r="X99" s="304">
        <f>SUM(H99:O99)</f>
        <v>8861.0153499999997</v>
      </c>
      <c r="AA99" s="256">
        <f>SUM(H99:K99)</f>
        <v>8861.0153499999997</v>
      </c>
      <c r="AB99" s="262">
        <f>SUM(L99:O99)</f>
        <v>0</v>
      </c>
      <c r="AC99" s="257">
        <f t="shared" si="15"/>
        <v>8861.0153499999997</v>
      </c>
    </row>
    <row r="100" spans="2:29" ht="15" customHeight="1" x14ac:dyDescent="0.25">
      <c r="B100" s="19">
        <f t="shared" si="18"/>
        <v>5</v>
      </c>
      <c r="C100" s="44" t="s">
        <v>119</v>
      </c>
      <c r="D100" s="45"/>
      <c r="E100" s="105" t="s">
        <v>118</v>
      </c>
      <c r="G100" s="77">
        <f>'[17]Billing Qty 2021 NEW Format'!G97</f>
        <v>365</v>
      </c>
      <c r="H100" s="78">
        <f>'[17]Billing Qty 2021 NEW Format'!H97</f>
        <v>23878.657950000001</v>
      </c>
      <c r="I100" s="79"/>
      <c r="J100" s="79"/>
      <c r="K100" s="80"/>
      <c r="L100" s="79"/>
      <c r="M100" s="79"/>
      <c r="N100" s="79"/>
      <c r="O100" s="80"/>
      <c r="P100" s="79"/>
      <c r="Q100" s="79"/>
      <c r="R100" s="80"/>
      <c r="S100" s="78">
        <f>'[17]Billing Qty 2021 NEW Format'!S97</f>
        <v>2490079.2749999999</v>
      </c>
      <c r="T100" s="87">
        <f>'[17]Billing Qty 2021 NEW Format'!T97</f>
        <v>2500878.5299999998</v>
      </c>
      <c r="U100" s="82"/>
      <c r="V100" s="83"/>
      <c r="W100" s="303">
        <f t="shared" si="13"/>
        <v>1</v>
      </c>
      <c r="X100" s="304">
        <f t="shared" si="14"/>
        <v>23878.657950000001</v>
      </c>
      <c r="AA100" s="256">
        <f t="shared" si="16"/>
        <v>23878.657950000001</v>
      </c>
      <c r="AB100" s="262">
        <f t="shared" si="17"/>
        <v>0</v>
      </c>
      <c r="AC100" s="257">
        <f t="shared" si="15"/>
        <v>23878.657950000001</v>
      </c>
    </row>
    <row r="101" spans="2:29" ht="15" customHeight="1" x14ac:dyDescent="0.25">
      <c r="B101" s="19">
        <f t="shared" si="18"/>
        <v>6</v>
      </c>
      <c r="C101" s="44" t="s">
        <v>708</v>
      </c>
      <c r="D101" s="45"/>
      <c r="E101" s="105" t="s">
        <v>118</v>
      </c>
      <c r="G101" s="77"/>
      <c r="H101" s="78"/>
      <c r="I101" s="79"/>
      <c r="J101" s="79"/>
      <c r="K101" s="80"/>
      <c r="L101" s="79"/>
      <c r="M101" s="79"/>
      <c r="N101" s="79"/>
      <c r="O101" s="80"/>
      <c r="P101" s="79"/>
      <c r="Q101" s="79"/>
      <c r="R101" s="80"/>
      <c r="S101" s="78"/>
      <c r="T101" s="87"/>
      <c r="U101" s="82"/>
      <c r="V101" s="83"/>
      <c r="W101" s="303">
        <f t="shared" si="13"/>
        <v>0</v>
      </c>
      <c r="X101" s="304">
        <f t="shared" si="14"/>
        <v>0</v>
      </c>
      <c r="AA101" s="256">
        <f t="shared" si="16"/>
        <v>0</v>
      </c>
      <c r="AB101" s="262">
        <f t="shared" si="17"/>
        <v>0</v>
      </c>
      <c r="AC101" s="257">
        <f t="shared" si="15"/>
        <v>0</v>
      </c>
    </row>
    <row r="102" spans="2:29" ht="15" customHeight="1" x14ac:dyDescent="0.25">
      <c r="B102" s="19">
        <f t="shared" si="18"/>
        <v>7</v>
      </c>
      <c r="C102" s="44" t="s">
        <v>120</v>
      </c>
      <c r="D102" s="45"/>
      <c r="E102" s="105" t="s">
        <v>118</v>
      </c>
      <c r="G102" s="77">
        <f>'[17]Billing Qty 2021 NEW Format'!G98</f>
        <v>365</v>
      </c>
      <c r="H102" s="78">
        <f>'[17]Billing Qty 2021 NEW Format'!H98</f>
        <v>2289.5800020000001</v>
      </c>
      <c r="I102" s="79"/>
      <c r="J102" s="79"/>
      <c r="K102" s="80"/>
      <c r="L102" s="79"/>
      <c r="M102" s="79"/>
      <c r="N102" s="79"/>
      <c r="O102" s="80"/>
      <c r="P102" s="79"/>
      <c r="Q102" s="79"/>
      <c r="R102" s="80"/>
      <c r="S102" s="78">
        <f>'[17]Billing Qty 2021 NEW Format'!S98</f>
        <v>981071.09</v>
      </c>
      <c r="T102" s="87">
        <f>'[17]Billing Qty 2021 NEW Format'!T98</f>
        <v>1919124.375</v>
      </c>
      <c r="U102" s="82"/>
      <c r="V102" s="83"/>
      <c r="W102" s="303">
        <f t="shared" si="13"/>
        <v>1</v>
      </c>
      <c r="X102" s="304">
        <f t="shared" si="14"/>
        <v>2289.5800020000001</v>
      </c>
      <c r="AA102" s="256">
        <f t="shared" si="16"/>
        <v>2289.5800020000001</v>
      </c>
      <c r="AB102" s="262">
        <f t="shared" si="17"/>
        <v>0</v>
      </c>
      <c r="AC102" s="257">
        <f t="shared" si="15"/>
        <v>2289.5800020000001</v>
      </c>
    </row>
    <row r="103" spans="2:29" ht="15" customHeight="1" x14ac:dyDescent="0.25">
      <c r="B103" s="19">
        <f t="shared" si="18"/>
        <v>8</v>
      </c>
      <c r="C103" s="44" t="s">
        <v>121</v>
      </c>
      <c r="D103" s="45"/>
      <c r="E103" s="105" t="s">
        <v>118</v>
      </c>
      <c r="G103" s="77">
        <f>'[17]Billing Qty 2021 NEW Format'!G99</f>
        <v>365</v>
      </c>
      <c r="H103" s="78">
        <f>'[17]Billing Qty 2021 NEW Format'!H99</f>
        <v>24772.561650000003</v>
      </c>
      <c r="I103" s="79"/>
      <c r="J103" s="79"/>
      <c r="K103" s="80"/>
      <c r="L103" s="79"/>
      <c r="M103" s="79"/>
      <c r="N103" s="79"/>
      <c r="O103" s="80"/>
      <c r="P103" s="79"/>
      <c r="Q103" s="79"/>
      <c r="R103" s="80"/>
      <c r="S103" s="78">
        <f>'[17]Billing Qty 2021 NEW Format'!S99</f>
        <v>1781500.395</v>
      </c>
      <c r="T103" s="87">
        <f>'[17]Billing Qty 2021 NEW Format'!T99</f>
        <v>1825000</v>
      </c>
      <c r="U103" s="82"/>
      <c r="V103" s="83"/>
      <c r="W103" s="303">
        <f t="shared" si="13"/>
        <v>1</v>
      </c>
      <c r="X103" s="304">
        <f t="shared" si="14"/>
        <v>24772.561650000003</v>
      </c>
      <c r="AA103" s="256">
        <f t="shared" si="16"/>
        <v>24772.561650000003</v>
      </c>
      <c r="AB103" s="262">
        <f t="shared" si="17"/>
        <v>0</v>
      </c>
      <c r="AC103" s="257">
        <f t="shared" si="15"/>
        <v>24772.561650000003</v>
      </c>
    </row>
    <row r="104" spans="2:29" ht="15" customHeight="1" x14ac:dyDescent="0.25">
      <c r="B104" s="19"/>
      <c r="C104" s="36" t="s">
        <v>124</v>
      </c>
      <c r="D104" s="85"/>
      <c r="E104" s="85"/>
      <c r="G104" s="86"/>
      <c r="H104" s="81"/>
      <c r="I104" s="79"/>
      <c r="J104" s="79"/>
      <c r="K104" s="80"/>
      <c r="L104" s="79"/>
      <c r="M104" s="79"/>
      <c r="N104" s="79"/>
      <c r="O104" s="80"/>
      <c r="P104" s="79"/>
      <c r="Q104" s="79"/>
      <c r="R104" s="80"/>
      <c r="S104" s="81"/>
      <c r="T104" s="79"/>
      <c r="U104" s="81"/>
      <c r="V104" s="80"/>
      <c r="W104" s="303">
        <f t="shared" si="13"/>
        <v>0</v>
      </c>
      <c r="X104" s="304">
        <f t="shared" si="14"/>
        <v>0</v>
      </c>
      <c r="AA104" s="252">
        <f>SUBTOTAL(9,AA105:AA114)</f>
        <v>403819.83100400004</v>
      </c>
      <c r="AB104" s="252">
        <f>SUBTOTAL(9,AB105:AB114)</f>
        <v>0</v>
      </c>
      <c r="AC104" s="254">
        <f t="shared" si="15"/>
        <v>403819.83100400004</v>
      </c>
    </row>
    <row r="105" spans="2:29" ht="15" customHeight="1" x14ac:dyDescent="0.25">
      <c r="B105" s="19">
        <f>B103+1</f>
        <v>9</v>
      </c>
      <c r="C105" s="44" t="s">
        <v>125</v>
      </c>
      <c r="D105" s="45"/>
      <c r="E105" s="105" t="s">
        <v>126</v>
      </c>
      <c r="G105" s="77">
        <f>'[17]Billing Qty 2021 NEW Format'!G101</f>
        <v>365</v>
      </c>
      <c r="H105" s="78">
        <f>'[17]Billing Qty 2021 NEW Format'!H101</f>
        <v>74000</v>
      </c>
      <c r="I105" s="79"/>
      <c r="J105" s="79"/>
      <c r="K105" s="80"/>
      <c r="L105" s="79"/>
      <c r="M105" s="79"/>
      <c r="N105" s="79"/>
      <c r="O105" s="80"/>
      <c r="P105" s="79"/>
      <c r="Q105" s="79"/>
      <c r="R105" s="80"/>
      <c r="S105" s="78">
        <f>'[17]Billing Qty 2021 NEW Format'!S101</f>
        <v>4078845.07</v>
      </c>
      <c r="T105" s="87">
        <f>'[17]Billing Qty 2021 NEW Format'!T101</f>
        <v>5133823.55</v>
      </c>
      <c r="U105" s="82"/>
      <c r="V105" s="83"/>
      <c r="W105" s="303">
        <f t="shared" si="13"/>
        <v>1</v>
      </c>
      <c r="X105" s="304">
        <f t="shared" si="14"/>
        <v>74000</v>
      </c>
      <c r="AA105" s="256">
        <f>SUM(H105:K105)</f>
        <v>74000</v>
      </c>
      <c r="AB105" s="262">
        <f t="shared" ref="AB105:AB114" si="19">SUM(L105:O105)</f>
        <v>0</v>
      </c>
      <c r="AC105" s="257">
        <f t="shared" si="15"/>
        <v>74000</v>
      </c>
    </row>
    <row r="106" spans="2:29" ht="15" customHeight="1" x14ac:dyDescent="0.25">
      <c r="B106" s="19">
        <f t="shared" si="18"/>
        <v>10</v>
      </c>
      <c r="C106" s="44" t="s">
        <v>127</v>
      </c>
      <c r="D106" s="45"/>
      <c r="E106" s="105" t="s">
        <v>126</v>
      </c>
      <c r="G106" s="77">
        <f>'[17]Billing Qty 2021 NEW Format'!G102</f>
        <v>365</v>
      </c>
      <c r="H106" s="78">
        <f>'[17]Billing Qty 2021 NEW Format'!H102</f>
        <v>174006.38800000001</v>
      </c>
      <c r="I106" s="79"/>
      <c r="J106" s="79"/>
      <c r="K106" s="80"/>
      <c r="L106" s="79"/>
      <c r="M106" s="79"/>
      <c r="N106" s="79"/>
      <c r="O106" s="80"/>
      <c r="P106" s="79"/>
      <c r="Q106" s="79"/>
      <c r="R106" s="80"/>
      <c r="S106" s="78">
        <f>'[17]Billing Qty 2021 NEW Format'!S102</f>
        <v>9781182.7649999987</v>
      </c>
      <c r="T106" s="87">
        <f>'[17]Billing Qty 2021 NEW Format'!T102</f>
        <v>9817630.5700000003</v>
      </c>
      <c r="U106" s="82"/>
      <c r="V106" s="83"/>
      <c r="W106" s="303">
        <f t="shared" si="13"/>
        <v>1</v>
      </c>
      <c r="X106" s="304">
        <f t="shared" si="14"/>
        <v>174006.38800000001</v>
      </c>
      <c r="AA106" s="256">
        <f>SUM(H106:K106)</f>
        <v>174006.38800000001</v>
      </c>
      <c r="AB106" s="262">
        <f t="shared" si="19"/>
        <v>0</v>
      </c>
      <c r="AC106" s="257">
        <f t="shared" si="15"/>
        <v>174006.38800000001</v>
      </c>
    </row>
    <row r="107" spans="2:29" ht="15" customHeight="1" x14ac:dyDescent="0.25">
      <c r="B107" s="19">
        <f t="shared" si="18"/>
        <v>11</v>
      </c>
      <c r="C107" s="44" t="s">
        <v>128</v>
      </c>
      <c r="D107" s="45"/>
      <c r="E107" s="105" t="s">
        <v>126</v>
      </c>
      <c r="G107" s="77">
        <f>'[17]Billing Qty 2021 NEW Format'!G103</f>
        <v>365</v>
      </c>
      <c r="H107" s="78">
        <f>'[17]Billing Qty 2021 NEW Format'!H103</f>
        <v>23846.443004000001</v>
      </c>
      <c r="I107" s="79"/>
      <c r="J107" s="79"/>
      <c r="K107" s="80"/>
      <c r="L107" s="79"/>
      <c r="M107" s="79"/>
      <c r="N107" s="79"/>
      <c r="O107" s="80"/>
      <c r="P107" s="79"/>
      <c r="Q107" s="79"/>
      <c r="R107" s="80"/>
      <c r="S107" s="78">
        <f>'[17]Billing Qty 2021 NEW Format'!S103</f>
        <v>1524599.5249999999</v>
      </c>
      <c r="T107" s="87">
        <f>'[17]Billing Qty 2021 NEW Format'!T103</f>
        <v>1825000</v>
      </c>
      <c r="U107" s="82"/>
      <c r="V107" s="83"/>
      <c r="W107" s="303">
        <f t="shared" si="13"/>
        <v>1</v>
      </c>
      <c r="X107" s="304">
        <f t="shared" si="14"/>
        <v>23846.443004000001</v>
      </c>
      <c r="AA107" s="256">
        <f t="shared" ref="AA107:AA114" si="20">SUM(H107:K107)</f>
        <v>23846.443004000001</v>
      </c>
      <c r="AB107" s="262">
        <f t="shared" si="19"/>
        <v>0</v>
      </c>
      <c r="AC107" s="257">
        <f t="shared" si="15"/>
        <v>23846.443004000001</v>
      </c>
    </row>
    <row r="108" spans="2:29" ht="15" customHeight="1" x14ac:dyDescent="0.25">
      <c r="B108" s="19">
        <f t="shared" si="18"/>
        <v>12</v>
      </c>
      <c r="C108" s="44"/>
      <c r="D108" s="45" t="s">
        <v>129</v>
      </c>
      <c r="E108" s="105" t="s">
        <v>126</v>
      </c>
      <c r="G108" s="77">
        <f>'[17]Billing Qty 2021 NEW Format'!G104</f>
        <v>365</v>
      </c>
      <c r="H108" s="78">
        <f>'[17]Billing Qty 2021 NEW Format'!H104</f>
        <v>27300</v>
      </c>
      <c r="I108" s="79"/>
      <c r="J108" s="79"/>
      <c r="K108" s="80"/>
      <c r="L108" s="79"/>
      <c r="M108" s="79"/>
      <c r="N108" s="79"/>
      <c r="O108" s="80"/>
      <c r="P108" s="79"/>
      <c r="Q108" s="79"/>
      <c r="R108" s="80"/>
      <c r="S108" s="78">
        <f>'[17]Billing Qty 2021 NEW Format'!S104</f>
        <v>3470830.26</v>
      </c>
      <c r="T108" s="87">
        <f>'[17]Billing Qty 2021 NEW Format'!T104</f>
        <v>3472358.15</v>
      </c>
      <c r="U108" s="82"/>
      <c r="V108" s="83"/>
      <c r="W108" s="303">
        <f t="shared" si="13"/>
        <v>1</v>
      </c>
      <c r="X108" s="304">
        <f t="shared" si="14"/>
        <v>27300</v>
      </c>
      <c r="AA108" s="256">
        <f t="shared" si="20"/>
        <v>27300</v>
      </c>
      <c r="AB108" s="262">
        <f t="shared" si="19"/>
        <v>0</v>
      </c>
      <c r="AC108" s="257">
        <f t="shared" si="15"/>
        <v>27300</v>
      </c>
    </row>
    <row r="109" spans="2:29" ht="15" customHeight="1" x14ac:dyDescent="0.25">
      <c r="B109" s="19">
        <f t="shared" si="18"/>
        <v>13</v>
      </c>
      <c r="C109" s="44" t="s">
        <v>564</v>
      </c>
      <c r="D109" s="45"/>
      <c r="E109" s="105" t="s">
        <v>126</v>
      </c>
      <c r="G109" s="77">
        <f>'[17]Billing Qty 2021 NEW Format'!G105</f>
        <v>365</v>
      </c>
      <c r="H109" s="78">
        <f>'[17]Billing Qty 2021 NEW Format'!H105</f>
        <v>10600</v>
      </c>
      <c r="I109" s="79"/>
      <c r="J109" s="79"/>
      <c r="K109" s="80"/>
      <c r="L109" s="79"/>
      <c r="M109" s="79"/>
      <c r="N109" s="79"/>
      <c r="O109" s="80"/>
      <c r="P109" s="79"/>
      <c r="Q109" s="79"/>
      <c r="R109" s="80"/>
      <c r="S109" s="78">
        <f>'[17]Billing Qty 2021 NEW Format'!S105</f>
        <v>1145428.3999999999</v>
      </c>
      <c r="T109" s="87">
        <f>'[17]Billing Qty 2021 NEW Format'!T105</f>
        <v>1825000</v>
      </c>
      <c r="U109" s="82"/>
      <c r="V109" s="83"/>
      <c r="W109" s="303">
        <f t="shared" si="13"/>
        <v>1</v>
      </c>
      <c r="X109" s="304">
        <f t="shared" si="14"/>
        <v>10600</v>
      </c>
      <c r="AA109" s="256">
        <f t="shared" si="20"/>
        <v>10600</v>
      </c>
      <c r="AB109" s="262">
        <f t="shared" si="19"/>
        <v>0</v>
      </c>
      <c r="AC109" s="257">
        <f t="shared" si="15"/>
        <v>10600</v>
      </c>
    </row>
    <row r="110" spans="2:29" ht="15" customHeight="1" x14ac:dyDescent="0.25">
      <c r="B110" s="19">
        <f t="shared" si="18"/>
        <v>14</v>
      </c>
      <c r="C110" s="44" t="s">
        <v>565</v>
      </c>
      <c r="D110" s="45"/>
      <c r="E110" s="105" t="s">
        <v>126</v>
      </c>
      <c r="G110" s="77">
        <f>'[17]Billing Qty 2021 NEW Format'!G106</f>
        <v>365</v>
      </c>
      <c r="H110" s="78">
        <f>'[17]Billing Qty 2021 NEW Format'!H106</f>
        <v>10600</v>
      </c>
      <c r="I110" s="79"/>
      <c r="J110" s="79"/>
      <c r="K110" s="80"/>
      <c r="L110" s="79"/>
      <c r="M110" s="79"/>
      <c r="N110" s="79"/>
      <c r="O110" s="80"/>
      <c r="P110" s="79"/>
      <c r="Q110" s="79"/>
      <c r="R110" s="80"/>
      <c r="S110" s="78">
        <f>'[17]Billing Qty 2021 NEW Format'!S106</f>
        <v>633535.245</v>
      </c>
      <c r="T110" s="87">
        <f>'[17]Billing Qty 2021 NEW Format'!T106</f>
        <v>1825000</v>
      </c>
      <c r="U110" s="82"/>
      <c r="V110" s="83"/>
      <c r="W110" s="303">
        <f t="shared" si="13"/>
        <v>1</v>
      </c>
      <c r="X110" s="304">
        <f t="shared" si="14"/>
        <v>10600</v>
      </c>
      <c r="AA110" s="256">
        <f t="shared" si="20"/>
        <v>10600</v>
      </c>
      <c r="AB110" s="262">
        <f t="shared" si="19"/>
        <v>0</v>
      </c>
      <c r="AC110" s="257">
        <f t="shared" si="15"/>
        <v>10600</v>
      </c>
    </row>
    <row r="111" spans="2:29" ht="15" customHeight="1" x14ac:dyDescent="0.25">
      <c r="B111" s="19">
        <f t="shared" si="18"/>
        <v>15</v>
      </c>
      <c r="C111" s="44" t="s">
        <v>560</v>
      </c>
      <c r="D111" s="45"/>
      <c r="E111" s="105" t="s">
        <v>126</v>
      </c>
      <c r="G111" s="77">
        <f>'[17]Billing Qty 2021 NEW Format'!G107</f>
        <v>365</v>
      </c>
      <c r="H111" s="78">
        <f>'[17]Billing Qty 2021 NEW Format'!H107</f>
        <v>0</v>
      </c>
      <c r="I111" s="79"/>
      <c r="J111" s="79"/>
      <c r="K111" s="80"/>
      <c r="L111" s="79"/>
      <c r="M111" s="79"/>
      <c r="N111" s="79"/>
      <c r="O111" s="80"/>
      <c r="P111" s="79"/>
      <c r="Q111" s="79"/>
      <c r="R111" s="80"/>
      <c r="S111" s="78">
        <f>'[17]Billing Qty 2021 NEW Format'!S107</f>
        <v>0</v>
      </c>
      <c r="T111" s="87">
        <f>'[17]Billing Qty 2021 NEW Format'!T107</f>
        <v>0</v>
      </c>
      <c r="U111" s="82"/>
      <c r="V111" s="83"/>
      <c r="W111" s="303">
        <f t="shared" si="13"/>
        <v>1</v>
      </c>
      <c r="X111" s="304">
        <f t="shared" si="14"/>
        <v>0</v>
      </c>
      <c r="AA111" s="256">
        <f t="shared" si="20"/>
        <v>0</v>
      </c>
      <c r="AB111" s="262">
        <f t="shared" si="19"/>
        <v>0</v>
      </c>
      <c r="AC111" s="257">
        <f t="shared" si="15"/>
        <v>0</v>
      </c>
    </row>
    <row r="112" spans="2:29" ht="15" customHeight="1" x14ac:dyDescent="0.25">
      <c r="B112" s="19">
        <f t="shared" si="18"/>
        <v>16</v>
      </c>
      <c r="C112" s="44" t="s">
        <v>130</v>
      </c>
      <c r="D112" s="45"/>
      <c r="E112" s="105" t="s">
        <v>126</v>
      </c>
      <c r="G112" s="77">
        <f>'[17]Billing Qty 2021 NEW Format'!G108</f>
        <v>365</v>
      </c>
      <c r="H112" s="78">
        <f>'[17]Billing Qty 2021 NEW Format'!H108</f>
        <v>32021</v>
      </c>
      <c r="I112" s="79"/>
      <c r="J112" s="79"/>
      <c r="K112" s="80"/>
      <c r="L112" s="79"/>
      <c r="M112" s="79"/>
      <c r="N112" s="79"/>
      <c r="O112" s="80"/>
      <c r="P112" s="79"/>
      <c r="Q112" s="79"/>
      <c r="R112" s="80"/>
      <c r="S112" s="78">
        <f>'[17]Billing Qty 2021 NEW Format'!S108</f>
        <v>4581260.2699999996</v>
      </c>
      <c r="T112" s="87">
        <f>'[17]Billing Qty 2021 NEW Format'!T108</f>
        <v>4618258.8599999994</v>
      </c>
      <c r="U112" s="82"/>
      <c r="V112" s="83"/>
      <c r="W112" s="303">
        <f t="shared" si="13"/>
        <v>1</v>
      </c>
      <c r="X112" s="304">
        <f t="shared" si="14"/>
        <v>32021</v>
      </c>
      <c r="AA112" s="256">
        <f t="shared" si="20"/>
        <v>32021</v>
      </c>
      <c r="AB112" s="262">
        <f t="shared" si="19"/>
        <v>0</v>
      </c>
      <c r="AC112" s="257">
        <f t="shared" si="15"/>
        <v>32021</v>
      </c>
    </row>
    <row r="113" spans="2:29" ht="15" customHeight="1" x14ac:dyDescent="0.25">
      <c r="B113" s="19">
        <f t="shared" si="18"/>
        <v>17</v>
      </c>
      <c r="C113" s="44" t="s">
        <v>131</v>
      </c>
      <c r="D113" s="45"/>
      <c r="E113" s="105" t="s">
        <v>126</v>
      </c>
      <c r="G113" s="77">
        <f>'[17]Billing Qty 2021 NEW Format'!G109</f>
        <v>365</v>
      </c>
      <c r="H113" s="78">
        <f>'[17]Billing Qty 2021 NEW Format'!H109</f>
        <v>51446</v>
      </c>
      <c r="I113" s="79"/>
      <c r="J113" s="79"/>
      <c r="K113" s="80"/>
      <c r="L113" s="79"/>
      <c r="M113" s="79"/>
      <c r="N113" s="79"/>
      <c r="O113" s="80"/>
      <c r="P113" s="79"/>
      <c r="Q113" s="79"/>
      <c r="R113" s="80"/>
      <c r="S113" s="78">
        <f>'[17]Billing Qty 2021 NEW Format'!S109</f>
        <v>2717743.645</v>
      </c>
      <c r="T113" s="87">
        <f>'[17]Billing Qty 2021 NEW Format'!T109</f>
        <v>3040755.1399999997</v>
      </c>
      <c r="U113" s="82"/>
      <c r="V113" s="83"/>
      <c r="W113" s="303">
        <f t="shared" si="13"/>
        <v>1</v>
      </c>
      <c r="X113" s="304">
        <f t="shared" si="14"/>
        <v>51446</v>
      </c>
      <c r="AA113" s="256">
        <f t="shared" si="20"/>
        <v>51446</v>
      </c>
      <c r="AB113" s="262">
        <f t="shared" si="19"/>
        <v>0</v>
      </c>
      <c r="AC113" s="257">
        <f t="shared" si="15"/>
        <v>51446</v>
      </c>
    </row>
    <row r="114" spans="2:29" ht="15" customHeight="1" x14ac:dyDescent="0.25">
      <c r="B114" s="19">
        <f t="shared" si="18"/>
        <v>18</v>
      </c>
      <c r="C114" s="44" t="s">
        <v>561</v>
      </c>
      <c r="D114" s="45"/>
      <c r="E114" s="105" t="s">
        <v>126</v>
      </c>
      <c r="G114" s="77">
        <f>'[17]Billing Qty 2021 NEW Format'!G110</f>
        <v>0</v>
      </c>
      <c r="H114" s="78">
        <f>'[17]Billing Qty 2021 NEW Format'!H110</f>
        <v>0</v>
      </c>
      <c r="I114" s="79"/>
      <c r="J114" s="79"/>
      <c r="K114" s="80"/>
      <c r="L114" s="79"/>
      <c r="M114" s="79"/>
      <c r="N114" s="79"/>
      <c r="O114" s="80"/>
      <c r="P114" s="79"/>
      <c r="Q114" s="79"/>
      <c r="R114" s="80"/>
      <c r="S114" s="78">
        <f>'[17]Billing Qty 2021 NEW Format'!S110</f>
        <v>0</v>
      </c>
      <c r="T114" s="87">
        <f>'[17]Billing Qty 2021 NEW Format'!T110</f>
        <v>0</v>
      </c>
      <c r="U114" s="82"/>
      <c r="V114" s="83"/>
      <c r="W114" s="303">
        <f t="shared" si="13"/>
        <v>0</v>
      </c>
      <c r="X114" s="304">
        <f t="shared" si="14"/>
        <v>0</v>
      </c>
      <c r="AA114" s="256">
        <f t="shared" si="20"/>
        <v>0</v>
      </c>
      <c r="AB114" s="262">
        <f t="shared" si="19"/>
        <v>0</v>
      </c>
      <c r="AC114" s="257">
        <f t="shared" si="15"/>
        <v>0</v>
      </c>
    </row>
    <row r="115" spans="2:29" ht="15" customHeight="1" x14ac:dyDescent="0.25">
      <c r="B115" s="19"/>
      <c r="C115" s="36" t="s">
        <v>132</v>
      </c>
      <c r="D115" s="85"/>
      <c r="E115" s="85"/>
      <c r="G115" s="86"/>
      <c r="H115" s="81"/>
      <c r="I115" s="79"/>
      <c r="J115" s="79"/>
      <c r="K115" s="80"/>
      <c r="L115" s="79"/>
      <c r="M115" s="79"/>
      <c r="N115" s="79"/>
      <c r="O115" s="80"/>
      <c r="P115" s="79"/>
      <c r="Q115" s="79"/>
      <c r="R115" s="80"/>
      <c r="S115" s="81"/>
      <c r="T115" s="79"/>
      <c r="U115" s="81"/>
      <c r="V115" s="80"/>
      <c r="W115" s="303">
        <f t="shared" si="13"/>
        <v>0</v>
      </c>
      <c r="X115" s="304">
        <f t="shared" si="14"/>
        <v>0</v>
      </c>
      <c r="AA115" s="252">
        <f>SUBTOTAL(9,AA116:AA119)</f>
        <v>20826.608759000002</v>
      </c>
      <c r="AB115" s="252">
        <f>SUBTOTAL(9,AB116:AB119)</f>
        <v>0</v>
      </c>
      <c r="AC115" s="254">
        <f t="shared" si="15"/>
        <v>20826.608759000002</v>
      </c>
    </row>
    <row r="116" spans="2:29" ht="15" customHeight="1" x14ac:dyDescent="0.25">
      <c r="B116" s="19">
        <f>B114+1</f>
        <v>19</v>
      </c>
      <c r="C116" s="44" t="s">
        <v>133</v>
      </c>
      <c r="D116" s="45"/>
      <c r="E116" s="105" t="s">
        <v>134</v>
      </c>
      <c r="G116" s="77">
        <f>'[17]Billing Qty 2021 NEW Format'!G112</f>
        <v>0</v>
      </c>
      <c r="H116" s="78">
        <f>'[17]Billing Qty 2021 NEW Format'!H112</f>
        <v>0</v>
      </c>
      <c r="I116" s="79"/>
      <c r="J116" s="79"/>
      <c r="K116" s="80"/>
      <c r="L116" s="79"/>
      <c r="M116" s="79"/>
      <c r="N116" s="79"/>
      <c r="O116" s="80"/>
      <c r="P116" s="79"/>
      <c r="Q116" s="79"/>
      <c r="R116" s="80"/>
      <c r="S116" s="78">
        <f>'[17]Billing Qty 2021 NEW Format'!S112</f>
        <v>0</v>
      </c>
      <c r="T116" s="87">
        <f>'[17]Billing Qty 2021 NEW Format'!T112</f>
        <v>0</v>
      </c>
      <c r="U116" s="82"/>
      <c r="V116" s="83"/>
      <c r="W116" s="303">
        <f t="shared" si="13"/>
        <v>0</v>
      </c>
      <c r="X116" s="304">
        <f t="shared" si="14"/>
        <v>0</v>
      </c>
      <c r="AA116" s="256">
        <f>SUM(H116:K116)</f>
        <v>0</v>
      </c>
      <c r="AB116" s="262">
        <f>SUM(L116:O116)</f>
        <v>0</v>
      </c>
      <c r="AC116" s="257">
        <f t="shared" si="15"/>
        <v>0</v>
      </c>
    </row>
    <row r="117" spans="2:29" ht="15" customHeight="1" x14ac:dyDescent="0.25">
      <c r="B117" s="19">
        <f>B116+1</f>
        <v>20</v>
      </c>
      <c r="C117" s="44" t="s">
        <v>135</v>
      </c>
      <c r="D117" s="45"/>
      <c r="E117" s="105" t="s">
        <v>136</v>
      </c>
      <c r="G117" s="77">
        <f>'[17]Billing Qty 2021 NEW Format'!G113</f>
        <v>365</v>
      </c>
      <c r="H117" s="78">
        <f>'[17]Billing Qty 2021 NEW Format'!H113</f>
        <v>8287.9185390000002</v>
      </c>
      <c r="I117" s="79"/>
      <c r="J117" s="79"/>
      <c r="K117" s="80"/>
      <c r="L117" s="79"/>
      <c r="M117" s="79"/>
      <c r="N117" s="79"/>
      <c r="O117" s="80"/>
      <c r="P117" s="79"/>
      <c r="Q117" s="79"/>
      <c r="R117" s="80"/>
      <c r="S117" s="78">
        <f>'[17]Billing Qty 2021 NEW Format'!S113</f>
        <v>1070883.72</v>
      </c>
      <c r="T117" s="87">
        <f>'[17]Billing Qty 2021 NEW Format'!T113</f>
        <v>2372500</v>
      </c>
      <c r="U117" s="82"/>
      <c r="V117" s="83"/>
      <c r="W117" s="303">
        <f t="shared" si="13"/>
        <v>1</v>
      </c>
      <c r="X117" s="304">
        <f t="shared" si="14"/>
        <v>8287.9185390000002</v>
      </c>
      <c r="AA117" s="256">
        <f>SUM(H117:K117)</f>
        <v>8287.9185390000002</v>
      </c>
      <c r="AB117" s="262">
        <f>SUM(L117:O117)</f>
        <v>0</v>
      </c>
      <c r="AC117" s="257">
        <f t="shared" si="15"/>
        <v>8287.9185390000002</v>
      </c>
    </row>
    <row r="118" spans="2:29" ht="15" customHeight="1" x14ac:dyDescent="0.25">
      <c r="B118" s="19">
        <f t="shared" si="18"/>
        <v>21</v>
      </c>
      <c r="C118" s="44" t="s">
        <v>137</v>
      </c>
      <c r="D118" s="45"/>
      <c r="E118" s="105" t="s">
        <v>136</v>
      </c>
      <c r="G118" s="77">
        <f>'[17]Billing Qty 2021 NEW Format'!G114</f>
        <v>365</v>
      </c>
      <c r="H118" s="78">
        <f>'[17]Billing Qty 2021 NEW Format'!H114</f>
        <v>2738.69022</v>
      </c>
      <c r="I118" s="79"/>
      <c r="J118" s="79"/>
      <c r="K118" s="80"/>
      <c r="L118" s="79"/>
      <c r="M118" s="79"/>
      <c r="N118" s="79"/>
      <c r="O118" s="80"/>
      <c r="P118" s="79"/>
      <c r="Q118" s="79"/>
      <c r="R118" s="80"/>
      <c r="S118" s="78">
        <f>'[17]Billing Qty 2021 NEW Format'!S114</f>
        <v>308511.505</v>
      </c>
      <c r="T118" s="87">
        <f>'[17]Billing Qty 2021 NEW Format'!T114</f>
        <v>318869.83999999997</v>
      </c>
      <c r="U118" s="82"/>
      <c r="V118" s="83"/>
      <c r="W118" s="303">
        <f t="shared" si="13"/>
        <v>1</v>
      </c>
      <c r="X118" s="304">
        <f t="shared" si="14"/>
        <v>2738.69022</v>
      </c>
      <c r="AA118" s="256">
        <f>SUM(H118:K118)</f>
        <v>2738.69022</v>
      </c>
      <c r="AB118" s="262">
        <f>SUM(L118:O118)</f>
        <v>0</v>
      </c>
      <c r="AC118" s="257">
        <f t="shared" si="15"/>
        <v>2738.69022</v>
      </c>
    </row>
    <row r="119" spans="2:29" ht="15" customHeight="1" x14ac:dyDescent="0.25">
      <c r="B119" s="19">
        <f t="shared" si="18"/>
        <v>22</v>
      </c>
      <c r="C119" s="44" t="s">
        <v>138</v>
      </c>
      <c r="D119" s="45"/>
      <c r="E119" s="105" t="s">
        <v>136</v>
      </c>
      <c r="G119" s="77">
        <f>'[17]Billing Qty 2021 NEW Format'!G115</f>
        <v>365</v>
      </c>
      <c r="H119" s="78">
        <f>'[17]Billing Qty 2021 NEW Format'!H115</f>
        <v>9800</v>
      </c>
      <c r="I119" s="79"/>
      <c r="J119" s="79"/>
      <c r="K119" s="80"/>
      <c r="L119" s="79"/>
      <c r="M119" s="79"/>
      <c r="N119" s="79"/>
      <c r="O119" s="80"/>
      <c r="P119" s="79"/>
      <c r="Q119" s="79"/>
      <c r="R119" s="80"/>
      <c r="S119" s="78">
        <f>'[17]Billing Qty 2021 NEW Format'!S115</f>
        <v>1414892.2050000001</v>
      </c>
      <c r="T119" s="87">
        <f>'[17]Billing Qty 2021 NEW Format'!T115</f>
        <v>1825000</v>
      </c>
      <c r="U119" s="82"/>
      <c r="V119" s="83"/>
      <c r="W119" s="303">
        <f t="shared" si="13"/>
        <v>1</v>
      </c>
      <c r="X119" s="304">
        <f t="shared" si="14"/>
        <v>9800</v>
      </c>
      <c r="AA119" s="256">
        <f>SUM(H119:K119)</f>
        <v>9800</v>
      </c>
      <c r="AB119" s="262">
        <f>SUM(L119:O119)</f>
        <v>0</v>
      </c>
      <c r="AC119" s="257">
        <f t="shared" si="15"/>
        <v>9800</v>
      </c>
    </row>
    <row r="120" spans="2:29" ht="15" customHeight="1" x14ac:dyDescent="0.25">
      <c r="B120" s="19"/>
      <c r="C120" s="36" t="s">
        <v>139</v>
      </c>
      <c r="D120" s="85"/>
      <c r="E120" s="85"/>
      <c r="G120" s="86"/>
      <c r="H120" s="81"/>
      <c r="I120" s="79"/>
      <c r="J120" s="79"/>
      <c r="K120" s="80"/>
      <c r="L120" s="79"/>
      <c r="M120" s="79"/>
      <c r="N120" s="79"/>
      <c r="O120" s="80"/>
      <c r="P120" s="79"/>
      <c r="Q120" s="79"/>
      <c r="R120" s="80"/>
      <c r="S120" s="81"/>
      <c r="T120" s="79"/>
      <c r="U120" s="81"/>
      <c r="V120" s="80"/>
      <c r="W120" s="303">
        <f t="shared" si="13"/>
        <v>0</v>
      </c>
      <c r="X120" s="304">
        <f t="shared" si="14"/>
        <v>0</v>
      </c>
      <c r="AA120" s="252">
        <f>SUBTOTAL(9,AA121:AA129)</f>
        <v>664252.80620800005</v>
      </c>
      <c r="AB120" s="252">
        <f>SUBTOTAL(9,AB121:AB129)</f>
        <v>0</v>
      </c>
      <c r="AC120" s="254">
        <f t="shared" si="15"/>
        <v>664252.80620800005</v>
      </c>
    </row>
    <row r="121" spans="2:29" ht="15" customHeight="1" x14ac:dyDescent="0.25">
      <c r="B121" s="19">
        <f>B119+1</f>
        <v>23</v>
      </c>
      <c r="C121" s="44" t="s">
        <v>140</v>
      </c>
      <c r="D121" s="45"/>
      <c r="E121" s="105" t="s">
        <v>141</v>
      </c>
      <c r="G121" s="77">
        <f>'[17]Billing Qty 2021 NEW Format'!G117</f>
        <v>365</v>
      </c>
      <c r="H121" s="78">
        <f>'[17]Billing Qty 2021 NEW Format'!H117</f>
        <v>150000</v>
      </c>
      <c r="I121" s="79"/>
      <c r="J121" s="79"/>
      <c r="K121" s="80"/>
      <c r="L121" s="79"/>
      <c r="M121" s="79"/>
      <c r="N121" s="79"/>
      <c r="O121" s="80"/>
      <c r="P121" s="79"/>
      <c r="Q121" s="79"/>
      <c r="R121" s="80"/>
      <c r="S121" s="78">
        <f>'[17]Billing Qty 2021 NEW Format'!S117</f>
        <v>7717962.2299999995</v>
      </c>
      <c r="T121" s="87">
        <f>'[17]Billing Qty 2021 NEW Format'!T117</f>
        <v>8005846.4900000002</v>
      </c>
      <c r="U121" s="82"/>
      <c r="V121" s="83"/>
      <c r="W121" s="303">
        <f t="shared" si="13"/>
        <v>1</v>
      </c>
      <c r="X121" s="304">
        <f t="shared" si="14"/>
        <v>150000</v>
      </c>
      <c r="AA121" s="256">
        <f t="shared" ref="AA121:AA129" si="21">SUM(H121:K121)</f>
        <v>150000</v>
      </c>
      <c r="AB121" s="262">
        <f t="shared" ref="AB121:AB129" si="22">SUM(L121:O121)</f>
        <v>0</v>
      </c>
      <c r="AC121" s="257">
        <f t="shared" si="15"/>
        <v>150000</v>
      </c>
    </row>
    <row r="122" spans="2:29" ht="15" customHeight="1" x14ac:dyDescent="0.25">
      <c r="B122" s="19">
        <f t="shared" si="18"/>
        <v>24</v>
      </c>
      <c r="C122" s="44" t="s">
        <v>142</v>
      </c>
      <c r="D122" s="45"/>
      <c r="E122" s="105" t="s">
        <v>141</v>
      </c>
      <c r="G122" s="77">
        <f>'[17]Billing Qty 2021 NEW Format'!G118</f>
        <v>365</v>
      </c>
      <c r="H122" s="78">
        <f>'[17]Billing Qty 2021 NEW Format'!H118</f>
        <v>229778.88508499999</v>
      </c>
      <c r="I122" s="79"/>
      <c r="J122" s="79"/>
      <c r="K122" s="80"/>
      <c r="L122" s="79"/>
      <c r="M122" s="79"/>
      <c r="N122" s="79"/>
      <c r="O122" s="80"/>
      <c r="P122" s="79"/>
      <c r="Q122" s="79"/>
      <c r="R122" s="80"/>
      <c r="S122" s="78">
        <f>'[17]Billing Qty 2021 NEW Format'!S118</f>
        <v>10220000</v>
      </c>
      <c r="T122" s="87">
        <f>'[17]Billing Qty 2021 NEW Format'!T118</f>
        <v>18207293.905000001</v>
      </c>
      <c r="U122" s="82"/>
      <c r="V122" s="83"/>
      <c r="W122" s="303">
        <f t="shared" si="13"/>
        <v>1</v>
      </c>
      <c r="X122" s="304">
        <f t="shared" si="14"/>
        <v>229778.88508499999</v>
      </c>
      <c r="AA122" s="256">
        <f t="shared" si="21"/>
        <v>229778.88508499999</v>
      </c>
      <c r="AB122" s="262">
        <f t="shared" si="22"/>
        <v>0</v>
      </c>
      <c r="AC122" s="257">
        <f t="shared" si="15"/>
        <v>229778.88508499999</v>
      </c>
    </row>
    <row r="123" spans="2:29" ht="15" customHeight="1" x14ac:dyDescent="0.25">
      <c r="B123" s="19">
        <f t="shared" si="18"/>
        <v>25</v>
      </c>
      <c r="C123" s="44" t="s">
        <v>143</v>
      </c>
      <c r="D123" s="45"/>
      <c r="E123" s="105" t="s">
        <v>141</v>
      </c>
      <c r="G123" s="77">
        <f>'[17]Billing Qty 2021 NEW Format'!G119</f>
        <v>365</v>
      </c>
      <c r="H123" s="78">
        <f>'[17]Billing Qty 2021 NEW Format'!H119</f>
        <v>85000</v>
      </c>
      <c r="I123" s="79"/>
      <c r="J123" s="79"/>
      <c r="K123" s="80"/>
      <c r="L123" s="79"/>
      <c r="M123" s="79"/>
      <c r="N123" s="79"/>
      <c r="O123" s="80"/>
      <c r="P123" s="79"/>
      <c r="Q123" s="79"/>
      <c r="R123" s="80"/>
      <c r="S123" s="78">
        <f>'[17]Billing Qty 2021 NEW Format'!S119</f>
        <v>14547318.455</v>
      </c>
      <c r="T123" s="87">
        <f>'[17]Billing Qty 2021 NEW Format'!T119</f>
        <v>15953731.345000001</v>
      </c>
      <c r="U123" s="82"/>
      <c r="V123" s="83"/>
      <c r="W123" s="303">
        <f t="shared" si="13"/>
        <v>1</v>
      </c>
      <c r="X123" s="304">
        <f t="shared" si="14"/>
        <v>85000</v>
      </c>
      <c r="AA123" s="256">
        <f t="shared" si="21"/>
        <v>85000</v>
      </c>
      <c r="AB123" s="262">
        <f t="shared" si="22"/>
        <v>0</v>
      </c>
      <c r="AC123" s="257">
        <f t="shared" si="15"/>
        <v>85000</v>
      </c>
    </row>
    <row r="124" spans="2:29" ht="15" customHeight="1" x14ac:dyDescent="0.25">
      <c r="B124" s="19">
        <f t="shared" si="18"/>
        <v>26</v>
      </c>
      <c r="C124" s="44" t="s">
        <v>144</v>
      </c>
      <c r="D124" s="45"/>
      <c r="E124" s="105" t="s">
        <v>141</v>
      </c>
      <c r="G124" s="77">
        <f>'[17]Billing Qty 2021 NEW Format'!G120</f>
        <v>365</v>
      </c>
      <c r="H124" s="78">
        <f>'[17]Billing Qty 2021 NEW Format'!H120</f>
        <v>15061.964</v>
      </c>
      <c r="I124" s="79"/>
      <c r="J124" s="79"/>
      <c r="K124" s="80"/>
      <c r="L124" s="79"/>
      <c r="M124" s="79"/>
      <c r="N124" s="79"/>
      <c r="O124" s="80"/>
      <c r="P124" s="79"/>
      <c r="Q124" s="79"/>
      <c r="R124" s="80"/>
      <c r="S124" s="78">
        <f>'[17]Billing Qty 2021 NEW Format'!S120</f>
        <v>1836743.875</v>
      </c>
      <c r="T124" s="87">
        <f>'[17]Billing Qty 2021 NEW Format'!T120</f>
        <v>3650000</v>
      </c>
      <c r="U124" s="82"/>
      <c r="V124" s="83"/>
      <c r="W124" s="303">
        <f t="shared" si="13"/>
        <v>1</v>
      </c>
      <c r="X124" s="304">
        <f t="shared" si="14"/>
        <v>15061.964</v>
      </c>
      <c r="AA124" s="256">
        <f t="shared" si="21"/>
        <v>15061.964</v>
      </c>
      <c r="AB124" s="262">
        <f t="shared" si="22"/>
        <v>0</v>
      </c>
      <c r="AC124" s="257">
        <f t="shared" si="15"/>
        <v>15061.964</v>
      </c>
    </row>
    <row r="125" spans="2:29" ht="15" customHeight="1" x14ac:dyDescent="0.25">
      <c r="B125" s="19">
        <f t="shared" si="18"/>
        <v>27</v>
      </c>
      <c r="C125" s="44" t="s">
        <v>145</v>
      </c>
      <c r="D125" s="45"/>
      <c r="E125" s="105" t="s">
        <v>141</v>
      </c>
      <c r="G125" s="77">
        <f>'[17]Billing Qty 2021 NEW Format'!G121</f>
        <v>365</v>
      </c>
      <c r="H125" s="78">
        <f>'[17]Billing Qty 2021 NEW Format'!H121</f>
        <v>90658.642500000002</v>
      </c>
      <c r="I125" s="79"/>
      <c r="J125" s="79"/>
      <c r="K125" s="80"/>
      <c r="L125" s="79"/>
      <c r="M125" s="79"/>
      <c r="N125" s="79"/>
      <c r="O125" s="80"/>
      <c r="P125" s="79"/>
      <c r="Q125" s="79"/>
      <c r="R125" s="80"/>
      <c r="S125" s="78">
        <f>'[17]Billing Qty 2021 NEW Format'!S121</f>
        <v>4013540</v>
      </c>
      <c r="T125" s="87">
        <f>'[17]Billing Qty 2021 NEW Format'!T121</f>
        <v>5960337.9449999994</v>
      </c>
      <c r="U125" s="82"/>
      <c r="V125" s="83"/>
      <c r="W125" s="303">
        <f t="shared" si="13"/>
        <v>1</v>
      </c>
      <c r="X125" s="304">
        <f t="shared" si="14"/>
        <v>90658.642500000002</v>
      </c>
      <c r="AA125" s="256">
        <f t="shared" si="21"/>
        <v>90658.642500000002</v>
      </c>
      <c r="AB125" s="262">
        <f t="shared" si="22"/>
        <v>0</v>
      </c>
      <c r="AC125" s="257">
        <f t="shared" si="15"/>
        <v>90658.642500000002</v>
      </c>
    </row>
    <row r="126" spans="2:29" ht="15" customHeight="1" x14ac:dyDescent="0.25">
      <c r="B126" s="19">
        <f t="shared" si="18"/>
        <v>28</v>
      </c>
      <c r="C126" s="44" t="s">
        <v>146</v>
      </c>
      <c r="D126" s="45"/>
      <c r="E126" s="105" t="s">
        <v>141</v>
      </c>
      <c r="G126" s="77">
        <f>'[17]Billing Qty 2021 NEW Format'!G122</f>
        <v>365</v>
      </c>
      <c r="H126" s="78">
        <f>'[17]Billing Qty 2021 NEW Format'!H122</f>
        <v>31008.333723000003</v>
      </c>
      <c r="I126" s="79"/>
      <c r="J126" s="79"/>
      <c r="K126" s="80"/>
      <c r="L126" s="79"/>
      <c r="M126" s="79"/>
      <c r="N126" s="79"/>
      <c r="O126" s="80"/>
      <c r="P126" s="79"/>
      <c r="Q126" s="79"/>
      <c r="R126" s="80"/>
      <c r="S126" s="78">
        <f>'[17]Billing Qty 2021 NEW Format'!S122</f>
        <v>3680831.55</v>
      </c>
      <c r="T126" s="87">
        <f>'[17]Billing Qty 2021 NEW Format'!T122</f>
        <v>3702753.8150000004</v>
      </c>
      <c r="U126" s="82"/>
      <c r="V126" s="83"/>
      <c r="W126" s="303">
        <f t="shared" si="13"/>
        <v>1</v>
      </c>
      <c r="X126" s="304">
        <f t="shared" si="14"/>
        <v>31008.333723000003</v>
      </c>
      <c r="AA126" s="256">
        <f t="shared" si="21"/>
        <v>31008.333723000003</v>
      </c>
      <c r="AB126" s="262">
        <f t="shared" si="22"/>
        <v>0</v>
      </c>
      <c r="AC126" s="257">
        <f t="shared" si="15"/>
        <v>31008.333723000003</v>
      </c>
    </row>
    <row r="127" spans="2:29" ht="15" customHeight="1" x14ac:dyDescent="0.25">
      <c r="B127" s="19">
        <f t="shared" si="18"/>
        <v>29</v>
      </c>
      <c r="C127" s="44" t="s">
        <v>147</v>
      </c>
      <c r="D127" s="45"/>
      <c r="E127" s="105" t="s">
        <v>141</v>
      </c>
      <c r="G127" s="77">
        <f>'[17]Billing Qty 2021 NEW Format'!G123</f>
        <v>365</v>
      </c>
      <c r="H127" s="78">
        <f>'[17]Billing Qty 2021 NEW Format'!H123</f>
        <v>17329.286500000002</v>
      </c>
      <c r="I127" s="79"/>
      <c r="J127" s="79"/>
      <c r="K127" s="80"/>
      <c r="L127" s="79"/>
      <c r="M127" s="79"/>
      <c r="N127" s="79"/>
      <c r="O127" s="80"/>
      <c r="P127" s="79"/>
      <c r="Q127" s="79"/>
      <c r="R127" s="80"/>
      <c r="S127" s="78">
        <f>'[17]Billing Qty 2021 NEW Format'!S123</f>
        <v>2555000</v>
      </c>
      <c r="T127" s="87">
        <f>'[17]Billing Qty 2021 NEW Format'!T123</f>
        <v>9330396.8149999995</v>
      </c>
      <c r="U127" s="82"/>
      <c r="V127" s="83"/>
      <c r="W127" s="303">
        <f t="shared" si="13"/>
        <v>1</v>
      </c>
      <c r="X127" s="304">
        <f t="shared" si="14"/>
        <v>17329.286500000002</v>
      </c>
      <c r="AA127" s="256">
        <f t="shared" si="21"/>
        <v>17329.286500000002</v>
      </c>
      <c r="AB127" s="262">
        <f t="shared" si="22"/>
        <v>0</v>
      </c>
      <c r="AC127" s="257">
        <f t="shared" si="15"/>
        <v>17329.286500000002</v>
      </c>
    </row>
    <row r="128" spans="2:29" ht="15" customHeight="1" x14ac:dyDescent="0.25">
      <c r="B128" s="19">
        <f t="shared" si="18"/>
        <v>30</v>
      </c>
      <c r="C128" s="44" t="s">
        <v>148</v>
      </c>
      <c r="D128" s="45"/>
      <c r="E128" s="105" t="s">
        <v>141</v>
      </c>
      <c r="G128" s="77">
        <f>'[17]Billing Qty 2021 NEW Format'!G124</f>
        <v>365</v>
      </c>
      <c r="H128" s="78">
        <f>'[17]Billing Qty 2021 NEW Format'!H124</f>
        <v>33415.6944</v>
      </c>
      <c r="I128" s="79"/>
      <c r="J128" s="79"/>
      <c r="K128" s="80"/>
      <c r="L128" s="79"/>
      <c r="M128" s="79"/>
      <c r="N128" s="79"/>
      <c r="O128" s="80"/>
      <c r="P128" s="79"/>
      <c r="Q128" s="79"/>
      <c r="R128" s="80"/>
      <c r="S128" s="78">
        <f>'[17]Billing Qty 2021 NEW Format'!S124</f>
        <v>3308941.4450000003</v>
      </c>
      <c r="T128" s="87">
        <f>'[17]Billing Qty 2021 NEW Format'!T124</f>
        <v>3317635.38</v>
      </c>
      <c r="U128" s="82"/>
      <c r="V128" s="83"/>
      <c r="W128" s="303">
        <f t="shared" si="13"/>
        <v>1</v>
      </c>
      <c r="X128" s="304">
        <f t="shared" si="14"/>
        <v>33415.6944</v>
      </c>
      <c r="AA128" s="256">
        <f t="shared" si="21"/>
        <v>33415.6944</v>
      </c>
      <c r="AB128" s="262">
        <f t="shared" si="22"/>
        <v>0</v>
      </c>
      <c r="AC128" s="257">
        <f t="shared" si="15"/>
        <v>33415.6944</v>
      </c>
    </row>
    <row r="129" spans="1:29" ht="15" customHeight="1" x14ac:dyDescent="0.25">
      <c r="A129" s="108"/>
      <c r="B129" s="26">
        <f t="shared" si="18"/>
        <v>31</v>
      </c>
      <c r="C129" s="839" t="s">
        <v>149</v>
      </c>
      <c r="D129" s="56"/>
      <c r="E129" s="840" t="s">
        <v>141</v>
      </c>
      <c r="G129" s="90">
        <f>'[17]Billing Qty 2021 NEW Format'!G125</f>
        <v>365</v>
      </c>
      <c r="H129" s="91">
        <f>'[17]Billing Qty 2021 NEW Format'!H125</f>
        <v>12000</v>
      </c>
      <c r="I129" s="92"/>
      <c r="J129" s="92"/>
      <c r="K129" s="93"/>
      <c r="L129" s="92"/>
      <c r="M129" s="92"/>
      <c r="N129" s="92"/>
      <c r="O129" s="93"/>
      <c r="P129" s="92"/>
      <c r="Q129" s="92"/>
      <c r="R129" s="93"/>
      <c r="S129" s="91">
        <f>'[17]Billing Qty 2021 NEW Format'!S125</f>
        <v>2015820.54</v>
      </c>
      <c r="T129" s="94">
        <f>'[17]Billing Qty 2021 NEW Format'!T125</f>
        <v>2331851.0449999999</v>
      </c>
      <c r="U129" s="97"/>
      <c r="V129" s="98"/>
      <c r="W129" s="305">
        <f t="shared" si="13"/>
        <v>1</v>
      </c>
      <c r="X129" s="306">
        <f t="shared" si="14"/>
        <v>12000</v>
      </c>
      <c r="AA129" s="259">
        <f t="shared" si="21"/>
        <v>12000</v>
      </c>
      <c r="AB129" s="263">
        <f t="shared" si="22"/>
        <v>0</v>
      </c>
      <c r="AC129" s="257">
        <f t="shared" si="15"/>
        <v>12000</v>
      </c>
    </row>
    <row r="130" spans="1:29" x14ac:dyDescent="0.25">
      <c r="W130" s="110"/>
      <c r="X130" s="111"/>
    </row>
    <row r="131" spans="1:29" x14ac:dyDescent="0.25">
      <c r="C131" s="112" t="s">
        <v>150</v>
      </c>
      <c r="D131" s="113"/>
      <c r="E131" s="113"/>
      <c r="G131" s="119">
        <f t="shared" ref="G131:X131" si="23">SUM(G17:G25)</f>
        <v>291420380</v>
      </c>
      <c r="H131" s="119">
        <f t="shared" si="23"/>
        <v>2657800</v>
      </c>
      <c r="I131" s="119">
        <f t="shared" si="23"/>
        <v>354400</v>
      </c>
      <c r="J131" s="119">
        <f t="shared" si="23"/>
        <v>69400</v>
      </c>
      <c r="K131" s="119">
        <f t="shared" si="23"/>
        <v>105400</v>
      </c>
      <c r="L131" s="119">
        <f t="shared" si="23"/>
        <v>361600</v>
      </c>
      <c r="M131" s="119">
        <f t="shared" si="23"/>
        <v>0</v>
      </c>
      <c r="N131" s="119">
        <f t="shared" si="23"/>
        <v>87500</v>
      </c>
      <c r="O131" s="119">
        <f t="shared" si="23"/>
        <v>21900</v>
      </c>
      <c r="P131" s="119">
        <f t="shared" si="23"/>
        <v>0</v>
      </c>
      <c r="Q131" s="119">
        <f t="shared" si="23"/>
        <v>0</v>
      </c>
      <c r="R131" s="119">
        <f t="shared" si="23"/>
        <v>0</v>
      </c>
      <c r="S131" s="119">
        <f t="shared" si="23"/>
        <v>0</v>
      </c>
      <c r="T131" s="119">
        <f t="shared" si="23"/>
        <v>0</v>
      </c>
      <c r="U131" s="119">
        <f t="shared" si="23"/>
        <v>1752000</v>
      </c>
      <c r="V131" s="119">
        <f t="shared" si="23"/>
        <v>0</v>
      </c>
      <c r="W131" s="303">
        <f t="shared" si="23"/>
        <v>798412</v>
      </c>
      <c r="X131" s="304">
        <f t="shared" si="23"/>
        <v>3658000</v>
      </c>
      <c r="AA131" s="218">
        <f>AA16</f>
        <v>3187000</v>
      </c>
      <c r="AB131" s="218">
        <f>AB16</f>
        <v>471000</v>
      </c>
      <c r="AC131" s="218">
        <f>AC16</f>
        <v>3658000</v>
      </c>
    </row>
    <row r="132" spans="1:29" x14ac:dyDescent="0.25">
      <c r="C132" s="112" t="s">
        <v>151</v>
      </c>
      <c r="D132" s="113"/>
      <c r="E132" s="113"/>
      <c r="G132" s="119">
        <f t="shared" ref="G132:X132" si="24">SUM(G28:G41)</f>
        <v>33899740</v>
      </c>
      <c r="H132" s="119">
        <f t="shared" si="24"/>
        <v>478700</v>
      </c>
      <c r="I132" s="119">
        <f t="shared" si="24"/>
        <v>208600</v>
      </c>
      <c r="J132" s="119">
        <f t="shared" si="24"/>
        <v>267600</v>
      </c>
      <c r="K132" s="119">
        <f t="shared" si="24"/>
        <v>385400</v>
      </c>
      <c r="L132" s="119">
        <f t="shared" si="24"/>
        <v>6000</v>
      </c>
      <c r="M132" s="119">
        <f t="shared" si="24"/>
        <v>0</v>
      </c>
      <c r="N132" s="119">
        <f t="shared" si="24"/>
        <v>0</v>
      </c>
      <c r="O132" s="119">
        <f t="shared" si="24"/>
        <v>0</v>
      </c>
      <c r="P132" s="119">
        <f t="shared" si="24"/>
        <v>0</v>
      </c>
      <c r="Q132" s="119">
        <f t="shared" si="24"/>
        <v>1825137</v>
      </c>
      <c r="R132" s="119">
        <f t="shared" si="24"/>
        <v>4632215</v>
      </c>
      <c r="S132" s="119">
        <f t="shared" si="24"/>
        <v>0</v>
      </c>
      <c r="T132" s="119">
        <f t="shared" si="24"/>
        <v>26073045</v>
      </c>
      <c r="U132" s="119">
        <f t="shared" si="24"/>
        <v>0</v>
      </c>
      <c r="V132" s="119">
        <f t="shared" si="24"/>
        <v>0</v>
      </c>
      <c r="W132" s="303">
        <f t="shared" si="24"/>
        <v>92876</v>
      </c>
      <c r="X132" s="304">
        <f t="shared" si="24"/>
        <v>1346300</v>
      </c>
      <c r="AA132" s="218">
        <f>AA28</f>
        <v>1340300</v>
      </c>
      <c r="AB132" s="218">
        <f>AB28</f>
        <v>6000</v>
      </c>
      <c r="AC132" s="218">
        <f>AC28</f>
        <v>1346300</v>
      </c>
    </row>
    <row r="133" spans="1:29" x14ac:dyDescent="0.25">
      <c r="C133" s="112" t="s">
        <v>152</v>
      </c>
      <c r="D133" s="113"/>
      <c r="E133" s="113"/>
      <c r="G133" s="119">
        <f t="shared" ref="G133:X133" si="25">SUM(G42:G69)</f>
        <v>1581050</v>
      </c>
      <c r="H133" s="119">
        <f t="shared" si="25"/>
        <v>71100</v>
      </c>
      <c r="I133" s="119">
        <f t="shared" si="25"/>
        <v>1376300</v>
      </c>
      <c r="J133" s="119">
        <f t="shared" si="25"/>
        <v>0</v>
      </c>
      <c r="K133" s="119">
        <f t="shared" si="25"/>
        <v>1303600</v>
      </c>
      <c r="L133" s="119">
        <f t="shared" si="25"/>
        <v>0</v>
      </c>
      <c r="M133" s="119">
        <f t="shared" si="25"/>
        <v>0</v>
      </c>
      <c r="N133" s="119">
        <f t="shared" si="25"/>
        <v>0</v>
      </c>
      <c r="O133" s="119">
        <f t="shared" si="25"/>
        <v>0</v>
      </c>
      <c r="P133" s="119">
        <f t="shared" si="25"/>
        <v>3760806</v>
      </c>
      <c r="Q133" s="119">
        <f t="shared" si="25"/>
        <v>5382848</v>
      </c>
      <c r="R133" s="119">
        <f t="shared" si="25"/>
        <v>11592765</v>
      </c>
      <c r="S133" s="119">
        <f t="shared" si="25"/>
        <v>238761465</v>
      </c>
      <c r="T133" s="119">
        <f t="shared" si="25"/>
        <v>357781395</v>
      </c>
      <c r="U133" s="119">
        <f t="shared" si="25"/>
        <v>0</v>
      </c>
      <c r="V133" s="119">
        <f t="shared" si="25"/>
        <v>0</v>
      </c>
      <c r="W133" s="303">
        <f t="shared" si="25"/>
        <v>4331.6438356164381</v>
      </c>
      <c r="X133" s="304">
        <f t="shared" si="25"/>
        <v>2751000</v>
      </c>
      <c r="AA133" s="218">
        <f>AA42</f>
        <v>2751000</v>
      </c>
      <c r="AB133" s="218">
        <f>AB42</f>
        <v>0</v>
      </c>
      <c r="AC133" s="218">
        <f>AC42</f>
        <v>2751000</v>
      </c>
    </row>
    <row r="134" spans="1:29" x14ac:dyDescent="0.25">
      <c r="C134" s="112" t="s">
        <v>153</v>
      </c>
      <c r="D134" s="113"/>
      <c r="E134" s="113"/>
      <c r="G134" s="119">
        <f t="shared" ref="G134:X134" si="26">SUM(G70:G93)</f>
        <v>69715</v>
      </c>
      <c r="H134" s="119">
        <f t="shared" si="26"/>
        <v>12500</v>
      </c>
      <c r="I134" s="119">
        <f t="shared" si="26"/>
        <v>353600</v>
      </c>
      <c r="J134" s="119">
        <f t="shared" si="26"/>
        <v>0</v>
      </c>
      <c r="K134" s="119">
        <f t="shared" si="26"/>
        <v>377600</v>
      </c>
      <c r="L134" s="119">
        <f t="shared" si="26"/>
        <v>0</v>
      </c>
      <c r="M134" s="119">
        <f t="shared" si="26"/>
        <v>0</v>
      </c>
      <c r="N134" s="119">
        <f t="shared" si="26"/>
        <v>0</v>
      </c>
      <c r="O134" s="119">
        <f t="shared" si="26"/>
        <v>0</v>
      </c>
      <c r="P134" s="119">
        <f t="shared" si="26"/>
        <v>546922</v>
      </c>
      <c r="Q134" s="119">
        <f t="shared" si="26"/>
        <v>449678</v>
      </c>
      <c r="R134" s="119">
        <f t="shared" si="26"/>
        <v>1623520</v>
      </c>
      <c r="S134" s="119">
        <f t="shared" si="26"/>
        <v>62775255</v>
      </c>
      <c r="T134" s="119">
        <f t="shared" si="26"/>
        <v>85346125</v>
      </c>
      <c r="U134" s="119">
        <f t="shared" si="26"/>
        <v>0</v>
      </c>
      <c r="V134" s="119">
        <f t="shared" si="26"/>
        <v>0</v>
      </c>
      <c r="W134" s="303">
        <f t="shared" si="26"/>
        <v>191</v>
      </c>
      <c r="X134" s="304">
        <f t="shared" si="26"/>
        <v>743700</v>
      </c>
      <c r="AA134" s="218">
        <f>AA70</f>
        <v>743700</v>
      </c>
      <c r="AB134" s="218">
        <f>AB70</f>
        <v>0</v>
      </c>
      <c r="AC134" s="218">
        <f>AC70</f>
        <v>743700</v>
      </c>
    </row>
    <row r="135" spans="1:29" x14ac:dyDescent="0.25">
      <c r="C135" s="112" t="s">
        <v>154</v>
      </c>
      <c r="D135" s="113"/>
      <c r="E135" s="113"/>
      <c r="G135" s="119">
        <f t="shared" ref="G135:X135" si="27">SUM(G94:G129)</f>
        <v>9855</v>
      </c>
      <c r="H135" s="119">
        <f t="shared" si="27"/>
        <v>1194167.5054229998</v>
      </c>
      <c r="I135" s="119">
        <f t="shared" si="27"/>
        <v>0</v>
      </c>
      <c r="J135" s="119">
        <f t="shared" si="27"/>
        <v>0</v>
      </c>
      <c r="K135" s="119">
        <f t="shared" si="27"/>
        <v>0</v>
      </c>
      <c r="L135" s="119">
        <f t="shared" si="27"/>
        <v>0</v>
      </c>
      <c r="M135" s="119">
        <f t="shared" si="27"/>
        <v>0</v>
      </c>
      <c r="N135" s="119">
        <f t="shared" si="27"/>
        <v>0</v>
      </c>
      <c r="O135" s="119">
        <f t="shared" si="27"/>
        <v>0</v>
      </c>
      <c r="P135" s="119">
        <f t="shared" si="27"/>
        <v>0</v>
      </c>
      <c r="Q135" s="119">
        <f t="shared" si="27"/>
        <v>0</v>
      </c>
      <c r="R135" s="119">
        <f t="shared" si="27"/>
        <v>0</v>
      </c>
      <c r="S135" s="119">
        <f t="shared" si="27"/>
        <v>90514331.184999987</v>
      </c>
      <c r="T135" s="119">
        <f t="shared" si="27"/>
        <v>118491241.00499998</v>
      </c>
      <c r="U135" s="119">
        <f t="shared" si="27"/>
        <v>0</v>
      </c>
      <c r="V135" s="119">
        <f t="shared" si="27"/>
        <v>0</v>
      </c>
      <c r="W135" s="303">
        <f t="shared" si="27"/>
        <v>27</v>
      </c>
      <c r="X135" s="304">
        <f t="shared" si="27"/>
        <v>1194167.5054229998</v>
      </c>
      <c r="AA135" s="218">
        <f>AA94</f>
        <v>1194167.5054229998</v>
      </c>
      <c r="AB135" s="218">
        <f>AB94</f>
        <v>0</v>
      </c>
      <c r="AC135" s="218">
        <f>AC94</f>
        <v>1194167.5054229998</v>
      </c>
    </row>
    <row r="136" spans="1:29" s="36" customFormat="1" ht="15.75" thickBot="1" x14ac:dyDescent="0.3">
      <c r="C136" s="114" t="s">
        <v>155</v>
      </c>
      <c r="D136" s="115"/>
      <c r="E136" s="115"/>
      <c r="G136" s="120">
        <f t="shared" ref="G136:V136" si="28">SUM(G131:G135)</f>
        <v>326980740</v>
      </c>
      <c r="H136" s="120">
        <f t="shared" si="28"/>
        <v>4414267.5054230001</v>
      </c>
      <c r="I136" s="120">
        <f t="shared" si="28"/>
        <v>2292900</v>
      </c>
      <c r="J136" s="120">
        <f t="shared" si="28"/>
        <v>337000</v>
      </c>
      <c r="K136" s="120">
        <f t="shared" si="28"/>
        <v>2172000</v>
      </c>
      <c r="L136" s="120">
        <f t="shared" si="28"/>
        <v>367600</v>
      </c>
      <c r="M136" s="120">
        <f t="shared" si="28"/>
        <v>0</v>
      </c>
      <c r="N136" s="120">
        <f t="shared" si="28"/>
        <v>87500</v>
      </c>
      <c r="O136" s="120">
        <f t="shared" si="28"/>
        <v>21900</v>
      </c>
      <c r="P136" s="120">
        <f t="shared" si="28"/>
        <v>4307728</v>
      </c>
      <c r="Q136" s="120">
        <f t="shared" si="28"/>
        <v>7657663</v>
      </c>
      <c r="R136" s="120">
        <f t="shared" si="28"/>
        <v>17848500</v>
      </c>
      <c r="S136" s="120">
        <f t="shared" si="28"/>
        <v>392051051.185</v>
      </c>
      <c r="T136" s="120">
        <f t="shared" si="28"/>
        <v>587691806.005</v>
      </c>
      <c r="U136" s="120">
        <f t="shared" si="28"/>
        <v>1752000</v>
      </c>
      <c r="V136" s="120">
        <f t="shared" si="28"/>
        <v>0</v>
      </c>
      <c r="W136" s="307">
        <f>SUM(W131:W135)</f>
        <v>895837.64383561641</v>
      </c>
      <c r="X136" s="308">
        <f>SUM(X131:X135)</f>
        <v>9693167.5054230001</v>
      </c>
      <c r="AA136" s="221">
        <f>SUM(AA131:AA135)</f>
        <v>9216167.5054230001</v>
      </c>
      <c r="AB136" s="221">
        <f>SUM(AB131:AB135)</f>
        <v>477000</v>
      </c>
      <c r="AC136" s="221">
        <f>SUM(AC131:AC135)</f>
        <v>9693167.5054230001</v>
      </c>
    </row>
    <row r="137" spans="1:29" x14ac:dyDescent="0.25">
      <c r="C137" s="111"/>
      <c r="D137" s="111"/>
      <c r="K137" s="116"/>
      <c r="L137" s="116"/>
      <c r="M137" s="116"/>
      <c r="N137" s="116"/>
      <c r="O137" s="116"/>
      <c r="P137" s="116"/>
      <c r="Q137" s="116"/>
      <c r="R137" s="116"/>
      <c r="S137" s="116"/>
      <c r="T137" s="116"/>
      <c r="U137" s="116"/>
      <c r="V137" s="116"/>
      <c r="W137" s="116"/>
      <c r="X137" s="116"/>
    </row>
    <row r="138" spans="1:29" x14ac:dyDescent="0.25">
      <c r="C138" s="111"/>
      <c r="D138" s="111"/>
      <c r="J138" s="117">
        <f>J136-'[17]Billing Qty 2021 NEW Format'!J132</f>
        <v>0</v>
      </c>
      <c r="K138" s="117">
        <f>K136-'[17]Billing Qty 2021 NEW Format'!K132</f>
        <v>0</v>
      </c>
      <c r="L138" s="117">
        <f>L136-'[17]Billing Qty 2021 NEW Format'!L132</f>
        <v>0</v>
      </c>
      <c r="M138" s="117">
        <f>M136-'[17]Billing Qty 2021 NEW Format'!M132</f>
        <v>0</v>
      </c>
      <c r="N138" s="117">
        <f>N136-'[17]Billing Qty 2021 NEW Format'!N132</f>
        <v>0</v>
      </c>
      <c r="O138" s="117">
        <f>O136-'[17]Billing Qty 2021 NEW Format'!O132</f>
        <v>0</v>
      </c>
      <c r="P138" s="117">
        <f>P136-'[17]Billing Qty 2021 NEW Format'!P132</f>
        <v>0</v>
      </c>
      <c r="Q138" s="117">
        <f>Q136-'[17]Billing Qty 2021 NEW Format'!Q132</f>
        <v>0</v>
      </c>
      <c r="R138" s="117">
        <f>R136-'[17]Billing Qty 2021 NEW Format'!R132</f>
        <v>0</v>
      </c>
      <c r="S138" s="117">
        <f>S136-'[17]Billing Qty 2021 NEW Format'!S132</f>
        <v>0</v>
      </c>
      <c r="T138" s="117">
        <f>T136-'[17]Billing Qty 2021 NEW Format'!T132</f>
        <v>0</v>
      </c>
      <c r="U138" s="117">
        <f>U136-'[17]Billing Qty 2021 NEW Format'!U132</f>
        <v>0</v>
      </c>
      <c r="V138" s="117">
        <f>V136-'[17]Billing Qty 2021 NEW Format'!V132</f>
        <v>0</v>
      </c>
      <c r="W138" s="116"/>
    </row>
    <row r="139" spans="1:29" x14ac:dyDescent="0.25">
      <c r="C139" s="111"/>
      <c r="D139" s="111"/>
      <c r="J139" s="116"/>
      <c r="K139" s="116"/>
      <c r="L139" s="116"/>
      <c r="M139" s="116"/>
      <c r="N139" s="116"/>
      <c r="O139" s="116"/>
      <c r="P139" s="116"/>
      <c r="Q139" s="116"/>
      <c r="R139" s="116"/>
      <c r="S139" s="116"/>
      <c r="T139" s="116"/>
      <c r="U139" s="116"/>
      <c r="W139" s="116"/>
    </row>
    <row r="140" spans="1:29" x14ac:dyDescent="0.25">
      <c r="J140" s="116"/>
      <c r="K140" s="116"/>
      <c r="L140" s="116"/>
      <c r="M140" s="116"/>
      <c r="N140" s="116"/>
      <c r="O140" s="116"/>
      <c r="P140" s="116"/>
      <c r="Q140" s="116"/>
      <c r="R140" s="116"/>
      <c r="S140" s="116"/>
      <c r="T140" s="116"/>
      <c r="U140" s="116"/>
      <c r="W140" s="116"/>
    </row>
    <row r="141" spans="1:29" x14ac:dyDescent="0.25">
      <c r="J141" s="116"/>
      <c r="K141" s="116"/>
      <c r="L141" s="116"/>
      <c r="M141" s="116"/>
      <c r="N141" s="116"/>
      <c r="O141" s="116"/>
      <c r="P141" s="116"/>
      <c r="Q141" s="116"/>
      <c r="R141" s="116"/>
      <c r="S141" s="116"/>
      <c r="T141" s="116"/>
      <c r="U141" s="116"/>
      <c r="W141" s="116"/>
    </row>
    <row r="142" spans="1:29" x14ac:dyDescent="0.25">
      <c r="E142" s="222" t="s">
        <v>545</v>
      </c>
      <c r="F142" s="222"/>
      <c r="G142" s="223"/>
      <c r="H142" s="223" t="s">
        <v>157</v>
      </c>
      <c r="I142" s="223" t="s">
        <v>155</v>
      </c>
      <c r="J142" s="116"/>
      <c r="K142" s="116"/>
      <c r="L142" s="116"/>
      <c r="M142" s="116"/>
      <c r="N142" s="116"/>
      <c r="O142" s="116"/>
      <c r="P142" s="116"/>
      <c r="Q142" s="116"/>
      <c r="R142" s="116"/>
      <c r="S142" s="116"/>
      <c r="T142" s="116"/>
      <c r="U142" s="116"/>
      <c r="W142" s="116"/>
    </row>
    <row r="143" spans="1:29" x14ac:dyDescent="0.25">
      <c r="E143" s="224"/>
      <c r="F143" s="224"/>
      <c r="G143" s="224"/>
      <c r="H143" s="224"/>
      <c r="I143" s="224"/>
      <c r="J143" s="116"/>
      <c r="K143" s="116"/>
      <c r="L143" s="116"/>
      <c r="M143" s="116"/>
      <c r="N143" s="116"/>
      <c r="O143" s="116"/>
      <c r="P143" s="116"/>
      <c r="Q143" s="116"/>
      <c r="R143" s="116"/>
      <c r="S143" s="116"/>
      <c r="T143" s="116"/>
      <c r="U143" s="116"/>
      <c r="W143" s="116"/>
    </row>
    <row r="144" spans="1:29" x14ac:dyDescent="0.25">
      <c r="E144" s="224" t="s">
        <v>45</v>
      </c>
      <c r="F144" s="224"/>
      <c r="G144" s="225"/>
      <c r="H144" s="225">
        <f>SUM(H18:K19)</f>
        <v>2657800</v>
      </c>
      <c r="I144" s="225">
        <f>SUM(G144:H144)</f>
        <v>2657800</v>
      </c>
      <c r="J144" s="116"/>
      <c r="K144" s="116"/>
      <c r="L144" s="116"/>
      <c r="M144" s="116"/>
      <c r="N144" s="116"/>
      <c r="O144" s="116"/>
      <c r="P144" s="116"/>
      <c r="Q144" s="116"/>
      <c r="R144" s="116"/>
      <c r="S144" s="116"/>
      <c r="T144" s="116"/>
      <c r="U144" s="116"/>
      <c r="W144" s="116"/>
    </row>
    <row r="145" spans="5:23" x14ac:dyDescent="0.25">
      <c r="E145" s="224" t="s">
        <v>158</v>
      </c>
      <c r="F145" s="224"/>
      <c r="G145" s="225"/>
      <c r="H145" s="225">
        <f>SUM(H22:K23)</f>
        <v>524700</v>
      </c>
      <c r="I145" s="225">
        <f t="shared" ref="I145:I164" si="29">SUM(G145:H145)</f>
        <v>524700</v>
      </c>
      <c r="J145" s="116"/>
      <c r="K145" s="116"/>
      <c r="L145" s="116"/>
      <c r="M145" s="116"/>
      <c r="N145" s="116"/>
      <c r="O145" s="116"/>
      <c r="P145" s="116"/>
      <c r="Q145" s="116"/>
      <c r="R145" s="116"/>
      <c r="S145" s="116"/>
      <c r="T145" s="116"/>
      <c r="U145" s="116"/>
      <c r="W145" s="116"/>
    </row>
    <row r="146" spans="5:23" x14ac:dyDescent="0.25">
      <c r="E146" s="224" t="s">
        <v>54</v>
      </c>
      <c r="F146" s="224"/>
      <c r="G146" s="225"/>
      <c r="H146" s="225">
        <f>SUM(H24:K25)</f>
        <v>4500</v>
      </c>
      <c r="I146" s="225">
        <f t="shared" si="29"/>
        <v>4500</v>
      </c>
      <c r="J146" s="116"/>
      <c r="K146" s="116"/>
      <c r="L146" s="116"/>
      <c r="M146" s="116"/>
      <c r="N146" s="116"/>
      <c r="O146" s="116"/>
      <c r="P146" s="116"/>
      <c r="Q146" s="116"/>
      <c r="R146" s="116"/>
      <c r="S146" s="116"/>
      <c r="T146" s="116"/>
      <c r="U146" s="116"/>
      <c r="W146" s="116"/>
    </row>
    <row r="147" spans="5:23" x14ac:dyDescent="0.25">
      <c r="E147" s="224" t="s">
        <v>704</v>
      </c>
      <c r="F147" s="224"/>
      <c r="G147" s="225"/>
      <c r="H147" s="225">
        <f>SUM(H26:K27)</f>
        <v>0</v>
      </c>
      <c r="I147" s="225">
        <f t="shared" si="29"/>
        <v>0</v>
      </c>
      <c r="J147" s="116"/>
      <c r="K147" s="116"/>
      <c r="L147" s="116"/>
      <c r="M147" s="116"/>
      <c r="N147" s="116"/>
      <c r="O147" s="116"/>
      <c r="P147" s="116"/>
      <c r="Q147" s="116"/>
      <c r="R147" s="116"/>
      <c r="S147" s="116"/>
      <c r="T147" s="116"/>
      <c r="U147" s="116"/>
      <c r="W147" s="116"/>
    </row>
    <row r="148" spans="5:23" x14ac:dyDescent="0.25">
      <c r="E148" s="224" t="s">
        <v>159</v>
      </c>
      <c r="F148" s="224"/>
      <c r="G148" s="225"/>
      <c r="H148" s="225">
        <f>SUM(L16:L129)</f>
        <v>367600</v>
      </c>
      <c r="I148" s="225">
        <f t="shared" si="29"/>
        <v>367600</v>
      </c>
      <c r="J148" s="116"/>
      <c r="K148" s="116"/>
      <c r="L148" s="116"/>
      <c r="M148" s="116"/>
      <c r="N148" s="116"/>
      <c r="O148" s="116"/>
      <c r="P148" s="116"/>
      <c r="Q148" s="116"/>
      <c r="R148" s="116"/>
      <c r="S148" s="116"/>
      <c r="T148" s="116"/>
      <c r="U148" s="116"/>
      <c r="W148" s="116"/>
    </row>
    <row r="149" spans="5:23" x14ac:dyDescent="0.25">
      <c r="E149" s="224" t="s">
        <v>160</v>
      </c>
      <c r="F149" s="224"/>
      <c r="G149" s="225"/>
      <c r="H149" s="225">
        <f>SUM(M16:O129)</f>
        <v>109400</v>
      </c>
      <c r="I149" s="225">
        <f t="shared" si="29"/>
        <v>109400</v>
      </c>
      <c r="J149" s="116"/>
      <c r="K149" s="116"/>
      <c r="L149" s="116"/>
      <c r="M149" s="116"/>
      <c r="N149" s="116"/>
      <c r="O149" s="116"/>
      <c r="P149" s="116"/>
      <c r="Q149" s="116"/>
      <c r="R149" s="116"/>
      <c r="S149" s="116"/>
      <c r="T149" s="116"/>
      <c r="U149" s="116"/>
      <c r="W149" s="116"/>
    </row>
    <row r="150" spans="5:23" x14ac:dyDescent="0.25">
      <c r="E150" s="224" t="s">
        <v>161</v>
      </c>
      <c r="F150" s="224"/>
      <c r="G150" s="225"/>
      <c r="H150" s="225">
        <f>SUM(H30:K31)</f>
        <v>110000</v>
      </c>
      <c r="I150" s="225">
        <f t="shared" si="29"/>
        <v>110000</v>
      </c>
      <c r="J150" s="116"/>
      <c r="K150" s="116"/>
      <c r="L150" s="116"/>
      <c r="M150" s="116"/>
      <c r="N150" s="116"/>
      <c r="O150" s="116"/>
      <c r="P150" s="116"/>
      <c r="Q150" s="116"/>
      <c r="R150" s="116"/>
      <c r="S150" s="116"/>
      <c r="T150" s="116"/>
      <c r="U150" s="116"/>
      <c r="W150" s="116"/>
    </row>
    <row r="151" spans="5:23" x14ac:dyDescent="0.25">
      <c r="E151" s="224" t="s">
        <v>162</v>
      </c>
      <c r="F151" s="224"/>
      <c r="G151" s="225"/>
      <c r="H151" s="225">
        <f>SUM(H33:K37,H44:K47)</f>
        <v>666000</v>
      </c>
      <c r="I151" s="225">
        <f t="shared" si="29"/>
        <v>666000</v>
      </c>
      <c r="J151" s="116"/>
      <c r="K151" s="116"/>
      <c r="L151" s="116"/>
      <c r="M151" s="116"/>
      <c r="N151" s="116"/>
      <c r="O151" s="116"/>
      <c r="P151" s="116"/>
      <c r="Q151" s="116"/>
      <c r="R151" s="116"/>
      <c r="S151" s="116"/>
      <c r="T151" s="116"/>
      <c r="U151" s="116"/>
      <c r="W151" s="116"/>
    </row>
    <row r="152" spans="5:23" x14ac:dyDescent="0.25">
      <c r="E152" s="224" t="s">
        <v>163</v>
      </c>
      <c r="F152" s="224"/>
      <c r="G152" s="225"/>
      <c r="H152" s="225">
        <f>SUM(H39:K39)</f>
        <v>467300</v>
      </c>
      <c r="I152" s="225">
        <f t="shared" si="29"/>
        <v>467300</v>
      </c>
      <c r="J152" s="116"/>
      <c r="K152" s="116"/>
      <c r="L152" s="116"/>
      <c r="M152" s="116"/>
      <c r="N152" s="116"/>
      <c r="O152" s="116"/>
      <c r="P152" s="116"/>
      <c r="Q152" s="116"/>
      <c r="R152" s="116"/>
      <c r="S152" s="116"/>
      <c r="T152" s="116"/>
      <c r="U152" s="116"/>
      <c r="W152" s="116"/>
    </row>
    <row r="153" spans="5:23" x14ac:dyDescent="0.25">
      <c r="E153" s="224" t="s">
        <v>164</v>
      </c>
      <c r="F153" s="224"/>
      <c r="G153" s="225"/>
      <c r="H153" s="225">
        <f>SUM(H40:K40)</f>
        <v>68100</v>
      </c>
      <c r="I153" s="225">
        <f t="shared" si="29"/>
        <v>68100</v>
      </c>
      <c r="J153" s="116"/>
      <c r="K153" s="116"/>
      <c r="L153" s="116"/>
      <c r="M153" s="116"/>
      <c r="N153" s="116"/>
      <c r="O153" s="116"/>
      <c r="P153" s="116"/>
      <c r="Q153" s="116"/>
      <c r="R153" s="116"/>
      <c r="S153" s="116"/>
      <c r="T153" s="116"/>
      <c r="U153" s="116"/>
      <c r="W153" s="116"/>
    </row>
    <row r="154" spans="5:23" x14ac:dyDescent="0.25">
      <c r="E154" s="224" t="s">
        <v>165</v>
      </c>
      <c r="F154" s="224"/>
      <c r="G154" s="225"/>
      <c r="H154" s="225">
        <f>SUM(H41:K41)</f>
        <v>29200</v>
      </c>
      <c r="I154" s="225">
        <f t="shared" si="29"/>
        <v>29200</v>
      </c>
      <c r="J154" s="116"/>
      <c r="K154" s="116"/>
      <c r="L154" s="116"/>
      <c r="M154" s="116"/>
      <c r="N154" s="116"/>
      <c r="O154" s="116"/>
      <c r="P154" s="116"/>
      <c r="Q154" s="116"/>
      <c r="R154" s="116"/>
      <c r="S154" s="116"/>
      <c r="T154" s="116"/>
      <c r="U154" s="116"/>
      <c r="W154" s="116"/>
    </row>
    <row r="155" spans="5:23" x14ac:dyDescent="0.25">
      <c r="E155" s="224" t="s">
        <v>166</v>
      </c>
      <c r="F155" s="224"/>
      <c r="G155" s="225"/>
      <c r="H155" s="225">
        <f>SUM(H49:K49,H55:K68)</f>
        <v>2543400</v>
      </c>
      <c r="I155" s="225">
        <f t="shared" si="29"/>
        <v>2543400</v>
      </c>
      <c r="J155" s="116"/>
      <c r="K155" s="116"/>
      <c r="L155" s="116"/>
      <c r="M155" s="116"/>
      <c r="N155" s="116"/>
      <c r="O155" s="116"/>
      <c r="P155" s="116"/>
      <c r="Q155" s="116"/>
      <c r="R155" s="116"/>
      <c r="S155" s="116"/>
      <c r="T155" s="116"/>
      <c r="U155" s="116"/>
      <c r="W155" s="116"/>
    </row>
    <row r="156" spans="5:23" x14ac:dyDescent="0.25">
      <c r="E156" s="224" t="s">
        <v>167</v>
      </c>
      <c r="F156" s="224"/>
      <c r="G156" s="225"/>
      <c r="H156" s="225">
        <f>SUM(H50:K51,H69:K69)</f>
        <v>136200</v>
      </c>
      <c r="I156" s="225">
        <f t="shared" si="29"/>
        <v>136200</v>
      </c>
      <c r="J156" s="116"/>
      <c r="K156" s="116"/>
      <c r="L156" s="116"/>
      <c r="M156" s="116"/>
      <c r="N156" s="116"/>
      <c r="O156" s="116"/>
      <c r="P156" s="116"/>
      <c r="Q156" s="116"/>
      <c r="R156" s="116"/>
      <c r="S156" s="116"/>
      <c r="T156" s="116"/>
      <c r="U156" s="116"/>
      <c r="W156" s="116"/>
    </row>
    <row r="157" spans="5:23" x14ac:dyDescent="0.25">
      <c r="E157" s="224" t="s">
        <v>168</v>
      </c>
      <c r="F157" s="224"/>
      <c r="G157" s="225"/>
      <c r="H157" s="225">
        <f>SUM(H52:K53)</f>
        <v>71100</v>
      </c>
      <c r="I157" s="225">
        <f t="shared" si="29"/>
        <v>71100</v>
      </c>
      <c r="J157" s="116"/>
      <c r="K157" s="116"/>
      <c r="L157" s="116"/>
      <c r="M157" s="116"/>
      <c r="N157" s="116"/>
      <c r="O157" s="116"/>
      <c r="P157" s="116"/>
      <c r="Q157" s="116"/>
      <c r="R157" s="116"/>
      <c r="S157" s="116"/>
      <c r="T157" s="116"/>
      <c r="U157" s="116"/>
      <c r="W157" s="116"/>
    </row>
    <row r="158" spans="5:23" x14ac:dyDescent="0.25">
      <c r="E158" s="224" t="s">
        <v>169</v>
      </c>
      <c r="F158" s="224"/>
      <c r="G158" s="225"/>
      <c r="H158" s="225">
        <f>SUM(H72:K72,H76:K76,H79:K87)</f>
        <v>712800</v>
      </c>
      <c r="I158" s="225">
        <f t="shared" si="29"/>
        <v>712800</v>
      </c>
      <c r="J158" s="116"/>
      <c r="K158" s="116"/>
      <c r="L158" s="116"/>
      <c r="M158" s="116"/>
      <c r="N158" s="116"/>
      <c r="O158" s="116"/>
      <c r="P158" s="116"/>
      <c r="Q158" s="116"/>
      <c r="R158" s="116"/>
      <c r="S158" s="116"/>
      <c r="T158" s="116"/>
      <c r="U158" s="116"/>
      <c r="W158" s="116"/>
    </row>
    <row r="159" spans="5:23" x14ac:dyDescent="0.25">
      <c r="E159" s="224" t="s">
        <v>170</v>
      </c>
      <c r="F159" s="224"/>
      <c r="G159" s="225"/>
      <c r="H159" s="225">
        <f>SUM(H73:K74)</f>
        <v>18400</v>
      </c>
      <c r="I159" s="225">
        <f t="shared" si="29"/>
        <v>18400</v>
      </c>
      <c r="J159" s="116"/>
      <c r="K159" s="116"/>
      <c r="L159" s="116"/>
      <c r="M159" s="116"/>
      <c r="N159" s="116"/>
      <c r="O159" s="116"/>
      <c r="P159" s="116"/>
      <c r="Q159" s="116"/>
      <c r="R159" s="116"/>
      <c r="S159" s="116"/>
      <c r="T159" s="116"/>
      <c r="U159" s="116"/>
      <c r="W159" s="116"/>
    </row>
    <row r="160" spans="5:23" x14ac:dyDescent="0.25">
      <c r="E160" s="224" t="s">
        <v>171</v>
      </c>
      <c r="F160" s="224"/>
      <c r="G160" s="225"/>
      <c r="H160" s="225">
        <f>SUM(H75:K75,H77:K77)</f>
        <v>12500</v>
      </c>
      <c r="I160" s="225">
        <f t="shared" si="29"/>
        <v>12500</v>
      </c>
      <c r="J160" s="116"/>
      <c r="K160" s="116"/>
      <c r="L160" s="116"/>
      <c r="M160" s="116"/>
      <c r="N160" s="116"/>
      <c r="O160" s="116"/>
      <c r="P160" s="116"/>
      <c r="Q160" s="116"/>
      <c r="R160" s="116"/>
      <c r="S160" s="116"/>
      <c r="T160" s="116"/>
      <c r="U160" s="116"/>
      <c r="W160" s="116"/>
    </row>
    <row r="161" spans="3:23" x14ac:dyDescent="0.25">
      <c r="C161" s="111"/>
      <c r="D161" s="111"/>
      <c r="E161" s="224" t="s">
        <v>172</v>
      </c>
      <c r="F161" s="224"/>
      <c r="G161" s="225"/>
      <c r="H161" s="225">
        <f>SUM(H96:K103)</f>
        <v>105268.25945200001</v>
      </c>
      <c r="I161" s="225">
        <f t="shared" si="29"/>
        <v>105268.25945200001</v>
      </c>
      <c r="J161" s="116"/>
      <c r="K161" s="116"/>
      <c r="L161" s="116"/>
      <c r="M161" s="116"/>
      <c r="N161" s="116"/>
      <c r="O161" s="116"/>
      <c r="P161" s="116"/>
      <c r="Q161" s="116"/>
      <c r="R161" s="116"/>
      <c r="S161" s="116"/>
      <c r="T161" s="116"/>
      <c r="U161" s="116"/>
      <c r="W161" s="116"/>
    </row>
    <row r="162" spans="3:23" x14ac:dyDescent="0.25">
      <c r="C162" s="111"/>
      <c r="D162" s="111"/>
      <c r="E162" s="224" t="s">
        <v>173</v>
      </c>
      <c r="F162" s="224"/>
      <c r="G162" s="225"/>
      <c r="H162" s="225">
        <f>SUM(H105:K114)</f>
        <v>403819.83100400004</v>
      </c>
      <c r="I162" s="225">
        <f t="shared" si="29"/>
        <v>403819.83100400004</v>
      </c>
      <c r="J162" s="116"/>
      <c r="K162" s="116"/>
      <c r="L162" s="116"/>
      <c r="M162" s="116"/>
      <c r="N162" s="116"/>
      <c r="O162" s="116"/>
      <c r="P162" s="116"/>
      <c r="Q162" s="116"/>
      <c r="R162" s="116"/>
      <c r="S162" s="116"/>
      <c r="T162" s="116"/>
      <c r="U162" s="116"/>
      <c r="W162" s="116"/>
    </row>
    <row r="163" spans="3:23" x14ac:dyDescent="0.25">
      <c r="C163" s="111"/>
      <c r="D163" s="111"/>
      <c r="E163" s="224" t="s">
        <v>174</v>
      </c>
      <c r="F163" s="224"/>
      <c r="G163" s="225"/>
      <c r="H163" s="225">
        <f>SUM(H116:K119)</f>
        <v>20826.608759000002</v>
      </c>
      <c r="I163" s="225">
        <f t="shared" si="29"/>
        <v>20826.608759000002</v>
      </c>
      <c r="J163" s="116"/>
      <c r="K163" s="116"/>
      <c r="L163" s="116"/>
      <c r="M163" s="116"/>
      <c r="N163" s="116"/>
      <c r="O163" s="116"/>
      <c r="P163" s="116"/>
      <c r="Q163" s="116"/>
      <c r="R163" s="116"/>
      <c r="S163" s="116"/>
      <c r="T163" s="116"/>
      <c r="U163" s="116"/>
      <c r="W163" s="116"/>
    </row>
    <row r="164" spans="3:23" x14ac:dyDescent="0.25">
      <c r="E164" s="224" t="s">
        <v>175</v>
      </c>
      <c r="F164" s="224"/>
      <c r="G164" s="225"/>
      <c r="H164" s="225">
        <f>SUM(H121:K129)</f>
        <v>664252.80620800005</v>
      </c>
      <c r="I164" s="225">
        <f t="shared" si="29"/>
        <v>664252.80620800005</v>
      </c>
    </row>
    <row r="165" spans="3:23" ht="15.75" thickBot="1" x14ac:dyDescent="0.3">
      <c r="E165" s="224"/>
      <c r="F165" s="224"/>
      <c r="G165" s="225"/>
      <c r="H165" s="226">
        <f>SUM(H144:H164)</f>
        <v>9693167.5054230001</v>
      </c>
      <c r="I165" s="226">
        <f>SUM(I144:I164)</f>
        <v>9693167.5054230001</v>
      </c>
    </row>
    <row r="166" spans="3:23" x14ac:dyDescent="0.25">
      <c r="E166" s="222" t="s">
        <v>176</v>
      </c>
      <c r="F166" s="222"/>
      <c r="G166" s="227"/>
      <c r="H166" s="227"/>
      <c r="I166" s="228">
        <f>SUM(X136)</f>
        <v>9693167.5054230001</v>
      </c>
    </row>
    <row r="167" spans="3:23" x14ac:dyDescent="0.25">
      <c r="E167" s="222" t="s">
        <v>177</v>
      </c>
      <c r="F167" s="222"/>
      <c r="G167" s="228"/>
      <c r="H167" s="228"/>
      <c r="I167" s="228">
        <f>I166-I165</f>
        <v>0</v>
      </c>
    </row>
    <row r="169" spans="3:23" x14ac:dyDescent="0.25">
      <c r="E169" s="128"/>
      <c r="F169" s="128"/>
      <c r="G169" s="128"/>
      <c r="H169" s="128"/>
      <c r="I169" s="128"/>
    </row>
    <row r="170" spans="3:23" x14ac:dyDescent="0.25">
      <c r="E170" s="126" t="s">
        <v>546</v>
      </c>
      <c r="F170" s="128"/>
      <c r="G170" s="130" t="s">
        <v>437</v>
      </c>
      <c r="H170" s="130" t="s">
        <v>547</v>
      </c>
      <c r="I170" s="130" t="s">
        <v>486</v>
      </c>
    </row>
    <row r="171" spans="3:23" x14ac:dyDescent="0.25">
      <c r="E171" s="126"/>
      <c r="F171" s="128"/>
      <c r="G171" s="130" t="s">
        <v>179</v>
      </c>
      <c r="H171" s="130" t="s">
        <v>548</v>
      </c>
      <c r="I171" s="128"/>
    </row>
    <row r="172" spans="3:23" x14ac:dyDescent="0.25">
      <c r="E172" s="128" t="s">
        <v>549</v>
      </c>
      <c r="F172" s="128"/>
      <c r="G172" s="657">
        <f>[17]CHARTS!J47</f>
        <v>3187.0299143557245</v>
      </c>
      <c r="H172" s="801">
        <f>(SUM(H144:H146))/1000</f>
        <v>3187</v>
      </c>
      <c r="I172" s="802">
        <f t="shared" ref="I172:I177" si="30">H172-G172</f>
        <v>-2.9914355724486086E-2</v>
      </c>
    </row>
    <row r="173" spans="3:23" x14ac:dyDescent="0.25">
      <c r="E173" s="128" t="s">
        <v>550</v>
      </c>
      <c r="F173" s="128"/>
      <c r="G173" s="657">
        <f>[17]CHARTS!J48</f>
        <v>476.99592162703982</v>
      </c>
      <c r="H173" s="801">
        <f>(SUM(H148:H149))/1000</f>
        <v>477</v>
      </c>
      <c r="I173" s="802">
        <f t="shared" si="30"/>
        <v>4.0783729601798768E-3</v>
      </c>
    </row>
    <row r="174" spans="3:23" x14ac:dyDescent="0.25">
      <c r="E174" s="128" t="s">
        <v>551</v>
      </c>
      <c r="F174" s="128"/>
      <c r="G174" s="657">
        <f>[17]CHARTS!J42</f>
        <v>1340.3332530450236</v>
      </c>
      <c r="H174" s="801">
        <f>(SUM(H150:H154))/1000</f>
        <v>1340.6</v>
      </c>
      <c r="I174" s="802">
        <f t="shared" si="30"/>
        <v>0.26674695497626999</v>
      </c>
    </row>
    <row r="175" spans="3:23" x14ac:dyDescent="0.25">
      <c r="E175" s="128" t="s">
        <v>363</v>
      </c>
      <c r="F175" s="128"/>
      <c r="G175" s="657">
        <f>[17]CHARTS!J43</f>
        <v>2750.7831871144977</v>
      </c>
      <c r="H175" s="801">
        <f>(SUM(H155:H157))/1000</f>
        <v>2750.7</v>
      </c>
      <c r="I175" s="802">
        <f t="shared" si="30"/>
        <v>-8.3187114497832226E-2</v>
      </c>
    </row>
    <row r="176" spans="3:23" x14ac:dyDescent="0.25">
      <c r="E176" s="128" t="s">
        <v>364</v>
      </c>
      <c r="F176" s="128"/>
      <c r="G176" s="657">
        <f>[17]CHARTS!J44</f>
        <v>743.59826692868887</v>
      </c>
      <c r="H176" s="801">
        <f>(SUM(H158:H160))/1000</f>
        <v>743.7</v>
      </c>
      <c r="I176" s="802">
        <f t="shared" si="30"/>
        <v>0.10173307131117326</v>
      </c>
    </row>
    <row r="177" spans="3:11" x14ac:dyDescent="0.25">
      <c r="E177" s="128" t="s">
        <v>552</v>
      </c>
      <c r="F177" s="128"/>
      <c r="G177" s="657">
        <f>[17]CHARTS!J49</f>
        <v>1194.2035999020143</v>
      </c>
      <c r="H177" s="801">
        <f>(SUM(H161:H164))/1000</f>
        <v>1194.1675054230002</v>
      </c>
      <c r="I177" s="802">
        <f t="shared" si="30"/>
        <v>-3.6094479014082026E-2</v>
      </c>
    </row>
    <row r="178" spans="3:11" ht="15.75" thickBot="1" x14ac:dyDescent="0.3">
      <c r="E178" s="128"/>
      <c r="F178" s="128"/>
      <c r="G178" s="660">
        <f>SUM(G172:G177)</f>
        <v>9692.9441429729886</v>
      </c>
      <c r="H178" s="660">
        <f>SUM(H172:H177)</f>
        <v>9693.167505423</v>
      </c>
      <c r="I178" s="803">
        <f>SUM(I172:I177)</f>
        <v>0.22336245001122279</v>
      </c>
    </row>
    <row r="179" spans="3:11" x14ac:dyDescent="0.25">
      <c r="H179" s="117"/>
    </row>
    <row r="180" spans="3:11" x14ac:dyDescent="0.25">
      <c r="E180" s="3" t="s">
        <v>598</v>
      </c>
      <c r="G180" s="717">
        <f>SUM(G174:G176)</f>
        <v>4834.7147070882102</v>
      </c>
      <c r="H180" s="717">
        <f>SUM(H174:H176)</f>
        <v>4835</v>
      </c>
      <c r="I180" s="658">
        <f>H180-G180</f>
        <v>0.2852929117898384</v>
      </c>
    </row>
    <row r="181" spans="3:11" x14ac:dyDescent="0.25">
      <c r="H181" s="117"/>
    </row>
    <row r="182" spans="3:11" x14ac:dyDescent="0.25">
      <c r="H182" s="117"/>
    </row>
    <row r="183" spans="3:11" x14ac:dyDescent="0.25">
      <c r="H183" s="117"/>
    </row>
    <row r="184" spans="3:11" x14ac:dyDescent="0.25">
      <c r="H184" s="117"/>
    </row>
    <row r="185" spans="3:11" x14ac:dyDescent="0.25">
      <c r="H185" s="117"/>
    </row>
    <row r="186" spans="3:11" x14ac:dyDescent="0.25">
      <c r="C186" s="23"/>
      <c r="D186" s="23"/>
      <c r="H186" s="117"/>
    </row>
    <row r="187" spans="3:11" x14ac:dyDescent="0.25">
      <c r="C187" s="23"/>
      <c r="D187" s="23"/>
      <c r="H187" s="117"/>
    </row>
    <row r="188" spans="3:11" x14ac:dyDescent="0.25">
      <c r="C188" s="23"/>
      <c r="D188" s="23"/>
      <c r="H188" s="117"/>
    </row>
    <row r="189" spans="3:11" x14ac:dyDescent="0.25">
      <c r="C189" s="23"/>
      <c r="D189" s="23"/>
      <c r="H189" s="117"/>
      <c r="K189" s="117"/>
    </row>
    <row r="190" spans="3:11" x14ac:dyDescent="0.25">
      <c r="C190" s="23"/>
      <c r="D190" s="23"/>
      <c r="H190" s="117"/>
      <c r="K190" s="117"/>
    </row>
    <row r="191" spans="3:11" x14ac:dyDescent="0.25">
      <c r="C191" s="23"/>
      <c r="D191" s="23"/>
      <c r="E191" s="36"/>
      <c r="F191" s="36"/>
      <c r="H191" s="117"/>
      <c r="K191" s="117"/>
    </row>
    <row r="192" spans="3:11" x14ac:dyDescent="0.25">
      <c r="C192" s="23"/>
      <c r="D192" s="23"/>
      <c r="H192" s="117"/>
      <c r="I192" s="117"/>
      <c r="K192" s="117"/>
    </row>
    <row r="193" spans="3:11" x14ac:dyDescent="0.25">
      <c r="C193" s="23"/>
      <c r="D193" s="23"/>
      <c r="H193" s="117"/>
      <c r="I193" s="117"/>
      <c r="K193" s="117"/>
    </row>
    <row r="194" spans="3:11" x14ac:dyDescent="0.25">
      <c r="C194" s="23"/>
      <c r="D194" s="23"/>
      <c r="H194" s="117"/>
      <c r="I194" s="117"/>
      <c r="K194" s="117"/>
    </row>
    <row r="195" spans="3:11" x14ac:dyDescent="0.25">
      <c r="C195" s="23"/>
      <c r="D195" s="23"/>
      <c r="H195" s="117"/>
      <c r="I195" s="117"/>
      <c r="K195" s="117"/>
    </row>
    <row r="196" spans="3:11" x14ac:dyDescent="0.25">
      <c r="C196" s="23"/>
      <c r="D196" s="23"/>
      <c r="H196" s="117"/>
      <c r="I196" s="117"/>
      <c r="K196" s="117"/>
    </row>
    <row r="197" spans="3:11" x14ac:dyDescent="0.25">
      <c r="C197" s="23"/>
      <c r="D197" s="23"/>
      <c r="H197" s="117"/>
      <c r="I197" s="117"/>
    </row>
    <row r="198" spans="3:11" x14ac:dyDescent="0.25">
      <c r="C198" s="23"/>
      <c r="D198" s="23"/>
      <c r="H198" s="117"/>
      <c r="I198" s="117"/>
    </row>
    <row r="199" spans="3:11" x14ac:dyDescent="0.25">
      <c r="C199" s="23"/>
      <c r="D199" s="23"/>
      <c r="H199" s="117"/>
      <c r="I199" s="117"/>
    </row>
    <row r="200" spans="3:11" x14ac:dyDescent="0.25">
      <c r="C200" s="23"/>
      <c r="D200" s="23"/>
      <c r="H200" s="117"/>
      <c r="I200" s="117"/>
      <c r="K200" s="117"/>
    </row>
    <row r="201" spans="3:11" x14ac:dyDescent="0.25">
      <c r="C201" s="23"/>
      <c r="D201" s="23"/>
      <c r="H201" s="117"/>
      <c r="K201" s="117"/>
    </row>
    <row r="202" spans="3:11" x14ac:dyDescent="0.25">
      <c r="C202" s="23"/>
      <c r="D202" s="23"/>
      <c r="H202" s="117"/>
    </row>
    <row r="203" spans="3:11" x14ac:dyDescent="0.25">
      <c r="C203" s="23"/>
      <c r="D203" s="23"/>
      <c r="H203" s="117"/>
      <c r="I203" s="117"/>
    </row>
    <row r="204" spans="3:11" x14ac:dyDescent="0.25">
      <c r="C204" s="23"/>
      <c r="D204" s="23"/>
      <c r="H204" s="117"/>
      <c r="I204" s="117"/>
    </row>
    <row r="205" spans="3:11" x14ac:dyDescent="0.25">
      <c r="C205" s="23"/>
      <c r="D205" s="23"/>
      <c r="H205" s="117"/>
      <c r="K205" s="117"/>
    </row>
    <row r="206" spans="3:11" x14ac:dyDescent="0.25">
      <c r="C206" s="23"/>
      <c r="D206" s="23"/>
      <c r="H206" s="117"/>
      <c r="K206" s="117"/>
    </row>
    <row r="207" spans="3:11" x14ac:dyDescent="0.25">
      <c r="C207" s="23"/>
      <c r="D207" s="23"/>
      <c r="H207" s="117"/>
      <c r="K207" s="117"/>
    </row>
    <row r="208" spans="3:11" x14ac:dyDescent="0.25">
      <c r="C208" s="23"/>
      <c r="D208" s="23"/>
      <c r="H208" s="117"/>
      <c r="I208" s="117"/>
    </row>
    <row r="209" spans="3:11" x14ac:dyDescent="0.25">
      <c r="C209" s="23"/>
      <c r="D209" s="23"/>
      <c r="H209" s="117"/>
      <c r="I209" s="117"/>
      <c r="K209" s="117"/>
    </row>
    <row r="210" spans="3:11" x14ac:dyDescent="0.25">
      <c r="C210" s="23"/>
      <c r="D210" s="23"/>
      <c r="H210" s="117"/>
      <c r="I210" s="117"/>
      <c r="K210" s="117"/>
    </row>
    <row r="211" spans="3:11" x14ac:dyDescent="0.25">
      <c r="C211" s="23"/>
      <c r="D211" s="23"/>
      <c r="H211" s="117"/>
      <c r="K211" s="117"/>
    </row>
    <row r="212" spans="3:11" x14ac:dyDescent="0.25">
      <c r="C212" s="23"/>
      <c r="D212" s="23"/>
      <c r="H212" s="117"/>
      <c r="I212" s="117"/>
      <c r="K212" s="117"/>
    </row>
    <row r="213" spans="3:11" x14ac:dyDescent="0.25">
      <c r="C213" s="23"/>
      <c r="D213" s="23"/>
      <c r="H213" s="117"/>
      <c r="I213" s="117"/>
    </row>
    <row r="214" spans="3:11" x14ac:dyDescent="0.25">
      <c r="C214" s="23"/>
      <c r="D214" s="23"/>
      <c r="H214" s="117"/>
      <c r="I214" s="117"/>
    </row>
    <row r="215" spans="3:11" x14ac:dyDescent="0.25">
      <c r="C215" s="23"/>
      <c r="D215" s="23"/>
      <c r="H215" s="117"/>
      <c r="I215" s="117"/>
      <c r="K215" s="117"/>
    </row>
    <row r="216" spans="3:11" x14ac:dyDescent="0.25">
      <c r="H216" s="117"/>
      <c r="K216" s="117"/>
    </row>
    <row r="217" spans="3:11" x14ac:dyDescent="0.25">
      <c r="H217" s="117"/>
    </row>
    <row r="218" spans="3:11" x14ac:dyDescent="0.25">
      <c r="H218" s="117"/>
      <c r="I218" s="117"/>
    </row>
    <row r="219" spans="3:11" x14ac:dyDescent="0.25">
      <c r="H219" s="117"/>
      <c r="I219" s="117"/>
    </row>
    <row r="220" spans="3:11" x14ac:dyDescent="0.25">
      <c r="C220" s="118"/>
      <c r="D220" s="118"/>
      <c r="H220" s="117"/>
    </row>
    <row r="221" spans="3:11" x14ac:dyDescent="0.25">
      <c r="H221" s="117"/>
    </row>
    <row r="222" spans="3:11" x14ac:dyDescent="0.25">
      <c r="H222" s="117"/>
    </row>
    <row r="223" spans="3:11" x14ac:dyDescent="0.25">
      <c r="H223" s="117"/>
    </row>
    <row r="224" spans="3:11" x14ac:dyDescent="0.25">
      <c r="H224" s="117"/>
    </row>
    <row r="225" spans="5:8" x14ac:dyDescent="0.25">
      <c r="E225" s="36"/>
      <c r="F225" s="36"/>
      <c r="H225" s="117"/>
    </row>
    <row r="226" spans="5:8" x14ac:dyDescent="0.25">
      <c r="H226" s="117"/>
    </row>
    <row r="227" spans="5:8" x14ac:dyDescent="0.25">
      <c r="H227" s="117"/>
    </row>
    <row r="228" spans="5:8" x14ac:dyDescent="0.25">
      <c r="H228" s="117"/>
    </row>
    <row r="229" spans="5:8" x14ac:dyDescent="0.25">
      <c r="H229" s="117"/>
    </row>
    <row r="230" spans="5:8" x14ac:dyDescent="0.25">
      <c r="H230" s="117"/>
    </row>
    <row r="231" spans="5:8" x14ac:dyDescent="0.25">
      <c r="H231" s="117"/>
    </row>
    <row r="232" spans="5:8" x14ac:dyDescent="0.25">
      <c r="H232" s="117"/>
    </row>
    <row r="233" spans="5:8" x14ac:dyDescent="0.25">
      <c r="H233" s="117"/>
    </row>
    <row r="234" spans="5:8" x14ac:dyDescent="0.25">
      <c r="H234" s="117"/>
    </row>
    <row r="235" spans="5:8" x14ac:dyDescent="0.25">
      <c r="H235" s="117"/>
    </row>
    <row r="236" spans="5:8" x14ac:dyDescent="0.25">
      <c r="E236" s="36"/>
      <c r="F236" s="36"/>
      <c r="H236" s="117"/>
    </row>
    <row r="237" spans="5:8" x14ac:dyDescent="0.25">
      <c r="H237" s="117"/>
    </row>
    <row r="238" spans="5:8" x14ac:dyDescent="0.25">
      <c r="H238" s="117"/>
    </row>
    <row r="239" spans="5:8" x14ac:dyDescent="0.25">
      <c r="H239" s="117"/>
    </row>
    <row r="240" spans="5:8" x14ac:dyDescent="0.25">
      <c r="H240" s="117"/>
    </row>
    <row r="241" spans="8:8" x14ac:dyDescent="0.25">
      <c r="H241" s="117"/>
    </row>
    <row r="242" spans="8:8" x14ac:dyDescent="0.25">
      <c r="H242" s="117"/>
    </row>
    <row r="243" spans="8:8" x14ac:dyDescent="0.25">
      <c r="H243" s="117"/>
    </row>
    <row r="244" spans="8:8" x14ac:dyDescent="0.25">
      <c r="H244" s="117"/>
    </row>
    <row r="245" spans="8:8" x14ac:dyDescent="0.25">
      <c r="H245" s="117"/>
    </row>
    <row r="246" spans="8:8" x14ac:dyDescent="0.25">
      <c r="H246" s="117"/>
    </row>
    <row r="247" spans="8:8" x14ac:dyDescent="0.25">
      <c r="H247" s="117"/>
    </row>
    <row r="248" spans="8:8" x14ac:dyDescent="0.25">
      <c r="H248" s="117"/>
    </row>
    <row r="249" spans="8:8" x14ac:dyDescent="0.25">
      <c r="H249" s="117"/>
    </row>
    <row r="250" spans="8:8" x14ac:dyDescent="0.25">
      <c r="H250" s="117"/>
    </row>
    <row r="251" spans="8:8" x14ac:dyDescent="0.25">
      <c r="H251" s="117"/>
    </row>
    <row r="252" spans="8:8" x14ac:dyDescent="0.25">
      <c r="H252" s="117"/>
    </row>
    <row r="253" spans="8:8" x14ac:dyDescent="0.25">
      <c r="H253" s="117"/>
    </row>
    <row r="254" spans="8:8" x14ac:dyDescent="0.25">
      <c r="H254" s="117"/>
    </row>
    <row r="255" spans="8:8" x14ac:dyDescent="0.25">
      <c r="H255" s="117"/>
    </row>
    <row r="256" spans="8:8" x14ac:dyDescent="0.25">
      <c r="H256" s="117"/>
    </row>
    <row r="257" spans="8:8" x14ac:dyDescent="0.25">
      <c r="H257" s="117"/>
    </row>
    <row r="258" spans="8:8" x14ac:dyDescent="0.25">
      <c r="H258" s="117"/>
    </row>
    <row r="259" spans="8:8" x14ac:dyDescent="0.25">
      <c r="H259" s="117"/>
    </row>
    <row r="260" spans="8:8" x14ac:dyDescent="0.25">
      <c r="H260" s="117"/>
    </row>
    <row r="261" spans="8:8" x14ac:dyDescent="0.25">
      <c r="H261" s="117"/>
    </row>
    <row r="262" spans="8:8" x14ac:dyDescent="0.25">
      <c r="H262" s="117"/>
    </row>
    <row r="263" spans="8:8" x14ac:dyDescent="0.25">
      <c r="H263" s="117"/>
    </row>
    <row r="264" spans="8:8" x14ac:dyDescent="0.25">
      <c r="H264" s="117"/>
    </row>
    <row r="265" spans="8:8" x14ac:dyDescent="0.25">
      <c r="H265" s="117"/>
    </row>
    <row r="266" spans="8:8" x14ac:dyDescent="0.25">
      <c r="H266" s="117"/>
    </row>
    <row r="267" spans="8:8" x14ac:dyDescent="0.25">
      <c r="H267" s="117"/>
    </row>
    <row r="268" spans="8:8" x14ac:dyDescent="0.25">
      <c r="H268" s="117"/>
    </row>
    <row r="269" spans="8:8" x14ac:dyDescent="0.25">
      <c r="H269" s="117"/>
    </row>
    <row r="270" spans="8:8" x14ac:dyDescent="0.25">
      <c r="H270" s="117"/>
    </row>
    <row r="271" spans="8:8" x14ac:dyDescent="0.25">
      <c r="H271" s="117"/>
    </row>
    <row r="272" spans="8:8" x14ac:dyDescent="0.25">
      <c r="H272" s="117"/>
    </row>
    <row r="273" spans="8:8" x14ac:dyDescent="0.25">
      <c r="H273" s="117"/>
    </row>
    <row r="274" spans="8:8" x14ac:dyDescent="0.25">
      <c r="H274" s="117"/>
    </row>
    <row r="275" spans="8:8" x14ac:dyDescent="0.25">
      <c r="H275" s="117"/>
    </row>
    <row r="276" spans="8:8" x14ac:dyDescent="0.25">
      <c r="H276" s="117"/>
    </row>
    <row r="277" spans="8:8" x14ac:dyDescent="0.25">
      <c r="H277" s="117"/>
    </row>
    <row r="278" spans="8:8" x14ac:dyDescent="0.25">
      <c r="H278" s="117"/>
    </row>
    <row r="279" spans="8:8" x14ac:dyDescent="0.25">
      <c r="H279" s="117"/>
    </row>
    <row r="280" spans="8:8" x14ac:dyDescent="0.25">
      <c r="H280" s="117"/>
    </row>
    <row r="281" spans="8:8" x14ac:dyDescent="0.25">
      <c r="H281" s="117"/>
    </row>
    <row r="282" spans="8:8" x14ac:dyDescent="0.25">
      <c r="H282" s="117"/>
    </row>
    <row r="283" spans="8:8" x14ac:dyDescent="0.25">
      <c r="H283" s="117"/>
    </row>
    <row r="284" spans="8:8" x14ac:dyDescent="0.25">
      <c r="H284" s="117"/>
    </row>
    <row r="285" spans="8:8" x14ac:dyDescent="0.25">
      <c r="H285" s="117"/>
    </row>
    <row r="286" spans="8:8" x14ac:dyDescent="0.25">
      <c r="H286" s="117"/>
    </row>
    <row r="287" spans="8:8" x14ac:dyDescent="0.25">
      <c r="H287" s="117"/>
    </row>
    <row r="288" spans="8:8" x14ac:dyDescent="0.25">
      <c r="H288" s="117"/>
    </row>
    <row r="289" spans="8:8" x14ac:dyDescent="0.25">
      <c r="H289" s="117"/>
    </row>
    <row r="290" spans="8:8" x14ac:dyDescent="0.25">
      <c r="H290" s="117"/>
    </row>
    <row r="291" spans="8:8" x14ac:dyDescent="0.25">
      <c r="H291" s="117"/>
    </row>
    <row r="292" spans="8:8" x14ac:dyDescent="0.25">
      <c r="H292" s="117"/>
    </row>
    <row r="293" spans="8:8" x14ac:dyDescent="0.25">
      <c r="H293" s="117"/>
    </row>
    <row r="294" spans="8:8" x14ac:dyDescent="0.25">
      <c r="H294" s="117"/>
    </row>
    <row r="295" spans="8:8" x14ac:dyDescent="0.25">
      <c r="H295" s="117"/>
    </row>
    <row r="296" spans="8:8" x14ac:dyDescent="0.25">
      <c r="H296" s="117"/>
    </row>
    <row r="297" spans="8:8" x14ac:dyDescent="0.25">
      <c r="H297" s="117"/>
    </row>
    <row r="298" spans="8:8" x14ac:dyDescent="0.25">
      <c r="H298" s="117"/>
    </row>
    <row r="299" spans="8:8" x14ac:dyDescent="0.25">
      <c r="H299" s="117"/>
    </row>
    <row r="300" spans="8:8" x14ac:dyDescent="0.25">
      <c r="H300" s="117"/>
    </row>
    <row r="301" spans="8:8" x14ac:dyDescent="0.25">
      <c r="H301" s="117"/>
    </row>
    <row r="302" spans="8:8" x14ac:dyDescent="0.25">
      <c r="H302" s="117"/>
    </row>
    <row r="303" spans="8:8" x14ac:dyDescent="0.25">
      <c r="H303" s="117"/>
    </row>
    <row r="304" spans="8:8" x14ac:dyDescent="0.25">
      <c r="H304" s="117"/>
    </row>
    <row r="305" spans="8:8" x14ac:dyDescent="0.25">
      <c r="H305" s="117"/>
    </row>
    <row r="306" spans="8:8" x14ac:dyDescent="0.25">
      <c r="H306" s="117"/>
    </row>
    <row r="307" spans="8:8" x14ac:dyDescent="0.25">
      <c r="H307" s="117"/>
    </row>
    <row r="308" spans="8:8" x14ac:dyDescent="0.25">
      <c r="H308" s="117"/>
    </row>
    <row r="309" spans="8:8" x14ac:dyDescent="0.25">
      <c r="H309" s="117"/>
    </row>
    <row r="310" spans="8:8" x14ac:dyDescent="0.25">
      <c r="H310" s="117"/>
    </row>
    <row r="311" spans="8:8" x14ac:dyDescent="0.25">
      <c r="H311" s="117"/>
    </row>
    <row r="312" spans="8:8" x14ac:dyDescent="0.25">
      <c r="H312" s="117"/>
    </row>
    <row r="313" spans="8:8" x14ac:dyDescent="0.25">
      <c r="H313" s="117"/>
    </row>
    <row r="314" spans="8:8" x14ac:dyDescent="0.25">
      <c r="H314" s="117"/>
    </row>
    <row r="315" spans="8:8" x14ac:dyDescent="0.25">
      <c r="H315" s="117"/>
    </row>
    <row r="316" spans="8:8" x14ac:dyDescent="0.25">
      <c r="H316" s="117"/>
    </row>
    <row r="317" spans="8:8" x14ac:dyDescent="0.25">
      <c r="H317" s="117"/>
    </row>
    <row r="318" spans="8:8" x14ac:dyDescent="0.25">
      <c r="H318" s="117"/>
    </row>
    <row r="319" spans="8:8" x14ac:dyDescent="0.25">
      <c r="H319" s="117"/>
    </row>
    <row r="320" spans="8:8" x14ac:dyDescent="0.25">
      <c r="H320" s="117"/>
    </row>
    <row r="321" spans="8:8" x14ac:dyDescent="0.25">
      <c r="H321" s="117"/>
    </row>
    <row r="322" spans="8:8" x14ac:dyDescent="0.25">
      <c r="H322" s="117"/>
    </row>
    <row r="323" spans="8:8" x14ac:dyDescent="0.25">
      <c r="H323" s="117"/>
    </row>
    <row r="324" spans="8:8" x14ac:dyDescent="0.25">
      <c r="H324" s="117"/>
    </row>
    <row r="325" spans="8:8" x14ac:dyDescent="0.25">
      <c r="H325" s="117"/>
    </row>
    <row r="326" spans="8:8" x14ac:dyDescent="0.25">
      <c r="H326" s="117"/>
    </row>
    <row r="327" spans="8:8" x14ac:dyDescent="0.25">
      <c r="H327" s="117"/>
    </row>
    <row r="328" spans="8:8" x14ac:dyDescent="0.25">
      <c r="H328" s="117"/>
    </row>
    <row r="329" spans="8:8" x14ac:dyDescent="0.25">
      <c r="H329" s="117"/>
    </row>
    <row r="330" spans="8:8" x14ac:dyDescent="0.25">
      <c r="H330" s="117"/>
    </row>
    <row r="331" spans="8:8" x14ac:dyDescent="0.25">
      <c r="H331" s="117"/>
    </row>
    <row r="332" spans="8:8" x14ac:dyDescent="0.25">
      <c r="H332" s="117"/>
    </row>
    <row r="333" spans="8:8" x14ac:dyDescent="0.25">
      <c r="H333" s="117"/>
    </row>
    <row r="334" spans="8:8" x14ac:dyDescent="0.25">
      <c r="H334" s="117"/>
    </row>
    <row r="335" spans="8:8" x14ac:dyDescent="0.25">
      <c r="H335" s="117"/>
    </row>
    <row r="336" spans="8:8" x14ac:dyDescent="0.25">
      <c r="H336" s="117"/>
    </row>
    <row r="337" spans="8:8" x14ac:dyDescent="0.25">
      <c r="H337" s="117"/>
    </row>
    <row r="338" spans="8:8" x14ac:dyDescent="0.25">
      <c r="H338" s="117"/>
    </row>
    <row r="339" spans="8:8" x14ac:dyDescent="0.25">
      <c r="H339" s="117"/>
    </row>
    <row r="340" spans="8:8" x14ac:dyDescent="0.25">
      <c r="H340" s="117"/>
    </row>
    <row r="341" spans="8:8" x14ac:dyDescent="0.25">
      <c r="H341" s="117"/>
    </row>
    <row r="342" spans="8:8" x14ac:dyDescent="0.25">
      <c r="H342" s="117"/>
    </row>
    <row r="343" spans="8:8" x14ac:dyDescent="0.25">
      <c r="H343" s="117"/>
    </row>
    <row r="344" spans="8:8" x14ac:dyDescent="0.25">
      <c r="H344" s="117"/>
    </row>
    <row r="345" spans="8:8" x14ac:dyDescent="0.25">
      <c r="H345" s="117"/>
    </row>
    <row r="346" spans="8:8" x14ac:dyDescent="0.25">
      <c r="H346" s="117"/>
    </row>
    <row r="347" spans="8:8" x14ac:dyDescent="0.25">
      <c r="H347" s="117"/>
    </row>
    <row r="348" spans="8:8" x14ac:dyDescent="0.25">
      <c r="H348" s="117"/>
    </row>
    <row r="349" spans="8:8" x14ac:dyDescent="0.25">
      <c r="H349" s="117"/>
    </row>
    <row r="350" spans="8:8" x14ac:dyDescent="0.25">
      <c r="H350" s="117"/>
    </row>
    <row r="351" spans="8:8" x14ac:dyDescent="0.25">
      <c r="H351" s="117"/>
    </row>
    <row r="352" spans="8:8" x14ac:dyDescent="0.25">
      <c r="H352" s="117"/>
    </row>
    <row r="353" spans="8:8" x14ac:dyDescent="0.25">
      <c r="H353" s="117"/>
    </row>
    <row r="354" spans="8:8" x14ac:dyDescent="0.25">
      <c r="H354" s="117"/>
    </row>
    <row r="355" spans="8:8" x14ac:dyDescent="0.25">
      <c r="H355" s="117"/>
    </row>
    <row r="356" spans="8:8" x14ac:dyDescent="0.25">
      <c r="H356" s="117"/>
    </row>
    <row r="357" spans="8:8" x14ac:dyDescent="0.25">
      <c r="H357" s="117"/>
    </row>
    <row r="358" spans="8:8" x14ac:dyDescent="0.25">
      <c r="H358" s="117"/>
    </row>
    <row r="359" spans="8:8" x14ac:dyDescent="0.25">
      <c r="H359" s="117"/>
    </row>
    <row r="360" spans="8:8" x14ac:dyDescent="0.25">
      <c r="H360" s="117"/>
    </row>
    <row r="361" spans="8:8" x14ac:dyDescent="0.25">
      <c r="H361" s="117"/>
    </row>
    <row r="362" spans="8:8" x14ac:dyDescent="0.25">
      <c r="H362" s="117"/>
    </row>
    <row r="363" spans="8:8" x14ac:dyDescent="0.25">
      <c r="H363" s="117"/>
    </row>
    <row r="364" spans="8:8" x14ac:dyDescent="0.25">
      <c r="H364" s="117"/>
    </row>
    <row r="365" spans="8:8" x14ac:dyDescent="0.25">
      <c r="H365" s="117"/>
    </row>
    <row r="366" spans="8:8" x14ac:dyDescent="0.25">
      <c r="H366" s="117"/>
    </row>
    <row r="367" spans="8:8" x14ac:dyDescent="0.25">
      <c r="H367" s="117"/>
    </row>
    <row r="368" spans="8:8" x14ac:dyDescent="0.25">
      <c r="H368" s="117"/>
    </row>
    <row r="369" spans="8:8" x14ac:dyDescent="0.25">
      <c r="H369" s="117"/>
    </row>
    <row r="370" spans="8:8" x14ac:dyDescent="0.25">
      <c r="H370" s="117"/>
    </row>
    <row r="371" spans="8:8" x14ac:dyDescent="0.25">
      <c r="H371" s="117"/>
    </row>
    <row r="372" spans="8:8" x14ac:dyDescent="0.25">
      <c r="H372" s="117"/>
    </row>
    <row r="373" spans="8:8" x14ac:dyDescent="0.25">
      <c r="H373" s="117"/>
    </row>
    <row r="374" spans="8:8" x14ac:dyDescent="0.25">
      <c r="H374" s="117"/>
    </row>
    <row r="375" spans="8:8" x14ac:dyDescent="0.25">
      <c r="H375" s="117"/>
    </row>
    <row r="376" spans="8:8" x14ac:dyDescent="0.25">
      <c r="H376" s="117"/>
    </row>
    <row r="377" spans="8:8" x14ac:dyDescent="0.25">
      <c r="H377" s="117"/>
    </row>
    <row r="378" spans="8:8" x14ac:dyDescent="0.25">
      <c r="H378" s="117"/>
    </row>
    <row r="379" spans="8:8" x14ac:dyDescent="0.25">
      <c r="H379" s="117"/>
    </row>
    <row r="380" spans="8:8" x14ac:dyDescent="0.25">
      <c r="H380" s="117"/>
    </row>
    <row r="381" spans="8:8" x14ac:dyDescent="0.25">
      <c r="H381" s="117"/>
    </row>
    <row r="382" spans="8:8" x14ac:dyDescent="0.25">
      <c r="H382" s="117"/>
    </row>
    <row r="383" spans="8:8" x14ac:dyDescent="0.25">
      <c r="H383" s="117"/>
    </row>
    <row r="384" spans="8:8" x14ac:dyDescent="0.25">
      <c r="H384" s="117"/>
    </row>
    <row r="385" spans="8:8" x14ac:dyDescent="0.25">
      <c r="H385" s="117"/>
    </row>
    <row r="386" spans="8:8" x14ac:dyDescent="0.25">
      <c r="H386" s="117"/>
    </row>
    <row r="387" spans="8:8" x14ac:dyDescent="0.25">
      <c r="H387" s="117"/>
    </row>
    <row r="388" spans="8:8" x14ac:dyDescent="0.25">
      <c r="H388" s="117"/>
    </row>
    <row r="389" spans="8:8" x14ac:dyDescent="0.25">
      <c r="H389" s="117"/>
    </row>
    <row r="390" spans="8:8" x14ac:dyDescent="0.25">
      <c r="H390" s="117"/>
    </row>
    <row r="391" spans="8:8" x14ac:dyDescent="0.25">
      <c r="H391" s="117"/>
    </row>
    <row r="392" spans="8:8" x14ac:dyDescent="0.25">
      <c r="H392" s="117"/>
    </row>
    <row r="393" spans="8:8" x14ac:dyDescent="0.25">
      <c r="H393" s="117"/>
    </row>
    <row r="394" spans="8:8" x14ac:dyDescent="0.25">
      <c r="H394" s="117"/>
    </row>
    <row r="395" spans="8:8" x14ac:dyDescent="0.25">
      <c r="H395" s="117"/>
    </row>
    <row r="396" spans="8:8" x14ac:dyDescent="0.25">
      <c r="H396" s="117"/>
    </row>
    <row r="397" spans="8:8" x14ac:dyDescent="0.25">
      <c r="H397" s="117"/>
    </row>
    <row r="398" spans="8:8" x14ac:dyDescent="0.25">
      <c r="H398" s="117"/>
    </row>
    <row r="399" spans="8:8" x14ac:dyDescent="0.25">
      <c r="H399" s="117"/>
    </row>
    <row r="400" spans="8:8" x14ac:dyDescent="0.25">
      <c r="H400" s="117"/>
    </row>
    <row r="401" spans="8:8" x14ac:dyDescent="0.25">
      <c r="H401" s="117"/>
    </row>
    <row r="402" spans="8:8" x14ac:dyDescent="0.25">
      <c r="H402" s="117"/>
    </row>
    <row r="403" spans="8:8" x14ac:dyDescent="0.25">
      <c r="H403" s="117"/>
    </row>
    <row r="404" spans="8:8" x14ac:dyDescent="0.25">
      <c r="H404" s="117"/>
    </row>
    <row r="405" spans="8:8" x14ac:dyDescent="0.25">
      <c r="H405" s="117"/>
    </row>
    <row r="406" spans="8:8" x14ac:dyDescent="0.25">
      <c r="H406" s="117"/>
    </row>
    <row r="407" spans="8:8" x14ac:dyDescent="0.25">
      <c r="H407" s="117"/>
    </row>
    <row r="408" spans="8:8" x14ac:dyDescent="0.25">
      <c r="H408" s="117"/>
    </row>
    <row r="409" spans="8:8" x14ac:dyDescent="0.25">
      <c r="H409" s="117"/>
    </row>
    <row r="410" spans="8:8" x14ac:dyDescent="0.25">
      <c r="H410" s="117"/>
    </row>
    <row r="411" spans="8:8" x14ac:dyDescent="0.25">
      <c r="H411" s="117"/>
    </row>
    <row r="412" spans="8:8" x14ac:dyDescent="0.25">
      <c r="H412" s="117"/>
    </row>
    <row r="413" spans="8:8" x14ac:dyDescent="0.25">
      <c r="H413" s="117"/>
    </row>
    <row r="414" spans="8:8" x14ac:dyDescent="0.25">
      <c r="H414" s="117"/>
    </row>
    <row r="415" spans="8:8" x14ac:dyDescent="0.25">
      <c r="H415" s="117"/>
    </row>
    <row r="416" spans="8:8" x14ac:dyDescent="0.25">
      <c r="H416" s="117"/>
    </row>
    <row r="417" spans="8:8" x14ac:dyDescent="0.25">
      <c r="H417" s="117"/>
    </row>
    <row r="418" spans="8:8" x14ac:dyDescent="0.25">
      <c r="H418" s="117"/>
    </row>
    <row r="419" spans="8:8" x14ac:dyDescent="0.25">
      <c r="H419" s="117"/>
    </row>
    <row r="420" spans="8:8" x14ac:dyDescent="0.25">
      <c r="H420" s="117"/>
    </row>
    <row r="421" spans="8:8" x14ac:dyDescent="0.25">
      <c r="H421" s="117"/>
    </row>
    <row r="422" spans="8:8" x14ac:dyDescent="0.25">
      <c r="H422" s="117"/>
    </row>
    <row r="423" spans="8:8" x14ac:dyDescent="0.25">
      <c r="H423" s="117"/>
    </row>
    <row r="424" spans="8:8" x14ac:dyDescent="0.25">
      <c r="H424" s="117"/>
    </row>
    <row r="425" spans="8:8" x14ac:dyDescent="0.25">
      <c r="H425" s="117"/>
    </row>
    <row r="426" spans="8:8" x14ac:dyDescent="0.25">
      <c r="H426" s="117"/>
    </row>
    <row r="427" spans="8:8" x14ac:dyDescent="0.25">
      <c r="H427" s="117"/>
    </row>
    <row r="428" spans="8:8" x14ac:dyDescent="0.25">
      <c r="H428" s="117"/>
    </row>
    <row r="429" spans="8:8" x14ac:dyDescent="0.25">
      <c r="H429" s="117"/>
    </row>
    <row r="430" spans="8:8" x14ac:dyDescent="0.25">
      <c r="H430" s="117"/>
    </row>
    <row r="431" spans="8:8" x14ac:dyDescent="0.25">
      <c r="H431" s="117"/>
    </row>
    <row r="432" spans="8:8" x14ac:dyDescent="0.25">
      <c r="H432" s="117"/>
    </row>
    <row r="433" spans="8:8" x14ac:dyDescent="0.25">
      <c r="H433" s="117"/>
    </row>
    <row r="434" spans="8:8" x14ac:dyDescent="0.25">
      <c r="H434" s="117"/>
    </row>
    <row r="435" spans="8:8" x14ac:dyDescent="0.25">
      <c r="H435" s="117"/>
    </row>
    <row r="436" spans="8:8" x14ac:dyDescent="0.25">
      <c r="H436" s="117"/>
    </row>
    <row r="437" spans="8:8" x14ac:dyDescent="0.25">
      <c r="H437" s="117"/>
    </row>
    <row r="438" spans="8:8" x14ac:dyDescent="0.25">
      <c r="H438" s="117"/>
    </row>
    <row r="439" spans="8:8" x14ac:dyDescent="0.25">
      <c r="H439" s="117"/>
    </row>
    <row r="440" spans="8:8" x14ac:dyDescent="0.25">
      <c r="H440" s="117"/>
    </row>
    <row r="441" spans="8:8" x14ac:dyDescent="0.25">
      <c r="H441" s="117"/>
    </row>
    <row r="442" spans="8:8" x14ac:dyDescent="0.25">
      <c r="H442" s="117"/>
    </row>
    <row r="443" spans="8:8" x14ac:dyDescent="0.25">
      <c r="H443" s="117"/>
    </row>
    <row r="444" spans="8:8" x14ac:dyDescent="0.25">
      <c r="H444" s="117"/>
    </row>
    <row r="445" spans="8:8" x14ac:dyDescent="0.25">
      <c r="H445" s="117"/>
    </row>
    <row r="446" spans="8:8" x14ac:dyDescent="0.25">
      <c r="H446" s="117"/>
    </row>
    <row r="447" spans="8:8" x14ac:dyDescent="0.25">
      <c r="H447" s="117"/>
    </row>
    <row r="448" spans="8:8" x14ac:dyDescent="0.25">
      <c r="H448" s="117"/>
    </row>
    <row r="449" spans="8:8" x14ac:dyDescent="0.25">
      <c r="H449" s="117"/>
    </row>
    <row r="450" spans="8:8" x14ac:dyDescent="0.25">
      <c r="H450" s="117"/>
    </row>
    <row r="451" spans="8:8" x14ac:dyDescent="0.25">
      <c r="H451" s="117"/>
    </row>
    <row r="452" spans="8:8" x14ac:dyDescent="0.25">
      <c r="H452" s="117"/>
    </row>
    <row r="453" spans="8:8" x14ac:dyDescent="0.25">
      <c r="H453" s="117"/>
    </row>
    <row r="454" spans="8:8" x14ac:dyDescent="0.25">
      <c r="H454" s="117"/>
    </row>
  </sheetData>
  <mergeCells count="7">
    <mergeCell ref="AA12:AC12"/>
    <mergeCell ref="G9:V9"/>
    <mergeCell ref="W9:X9"/>
    <mergeCell ref="W11:X11"/>
    <mergeCell ref="P12:R12"/>
    <mergeCell ref="S12:T12"/>
    <mergeCell ref="U12:V12"/>
  </mergeCells>
  <printOptions horizontalCentered="1"/>
  <pageMargins left="0.25" right="0.25" top="0.75" bottom="0.75" header="0.3" footer="0.3"/>
  <pageSetup paperSize="8" scale="52" fitToHeight="0" orientation="landscape" r:id="rId1"/>
  <headerFooter alignWithMargins="0">
    <oddFooter>&amp;L&amp;D&amp;T&amp;C&amp;F&amp;R&amp;A&amp;P</oddFooter>
  </headerFooter>
  <rowBreaks count="1" manualBreakCount="1">
    <brk id="93" min="1" max="2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F696-F943-46A0-B2A4-36EC8BABAFDC}">
  <sheetPr codeName="Sheet12">
    <tabColor rgb="FFFFC000"/>
  </sheetPr>
  <dimension ref="A1:CB170"/>
  <sheetViews>
    <sheetView showGridLines="0" tabSelected="1" topLeftCell="A40" zoomScale="90" zoomScaleNormal="90" workbookViewId="0">
      <selection activeCell="AF63" sqref="AF63"/>
    </sheetView>
  </sheetViews>
  <sheetFormatPr defaultRowHeight="12.75" x14ac:dyDescent="0.2"/>
  <cols>
    <col min="1" max="1" width="1.5703125" style="3" customWidth="1"/>
    <col min="2" max="2" width="15.5703125" style="3" customWidth="1"/>
    <col min="3" max="3" width="14.7109375" style="3" customWidth="1"/>
    <col min="4" max="4" width="43.85546875" style="3" customWidth="1"/>
    <col min="5" max="5" width="11.7109375" style="607" customWidth="1"/>
    <col min="6" max="8" width="10.7109375" style="607" customWidth="1"/>
    <col min="9" max="9" width="11.7109375" style="607" customWidth="1"/>
    <col min="10" max="12" width="10.7109375" style="607" customWidth="1"/>
    <col min="13" max="13" width="12.42578125" style="607" bestFit="1" customWidth="1"/>
    <col min="14" max="14" width="14.28515625" style="607" bestFit="1" customWidth="1"/>
    <col min="15" max="15" width="10.7109375" style="607" customWidth="1"/>
    <col min="16" max="16" width="12.28515625" style="607" bestFit="1" customWidth="1"/>
    <col min="17" max="19" width="10.7109375" style="607" customWidth="1"/>
    <col min="20" max="20" width="12.85546875" style="607" customWidth="1"/>
    <col min="21" max="21" width="2.28515625" style="3" customWidth="1"/>
    <col min="22" max="22" width="15.5703125" style="3" customWidth="1"/>
    <col min="23" max="23" width="14.7109375" style="3" customWidth="1"/>
    <col min="24" max="24" width="43.85546875" style="3" customWidth="1"/>
    <col min="25" max="25" width="11.7109375" style="607" customWidth="1"/>
    <col min="26" max="28" width="10.7109375" style="607" customWidth="1"/>
    <col min="29" max="29" width="11.7109375" style="607" customWidth="1"/>
    <col min="30" max="32" width="10.7109375" style="607" customWidth="1"/>
    <col min="33" max="33" width="12.42578125" style="607" bestFit="1" customWidth="1"/>
    <col min="34" max="34" width="14.28515625" style="607" bestFit="1" customWidth="1"/>
    <col min="35" max="35" width="10.7109375" style="607" customWidth="1"/>
    <col min="36" max="36" width="12.28515625" style="607" bestFit="1" customWidth="1"/>
    <col min="37" max="39" width="10.7109375" style="607" customWidth="1"/>
    <col min="40" max="40" width="12.7109375" style="607" customWidth="1"/>
    <col min="41" max="41" width="2" style="3" customWidth="1"/>
    <col min="42" max="42" width="15.5703125" style="3" customWidth="1"/>
    <col min="43" max="43" width="14.7109375" style="3" customWidth="1"/>
    <col min="44" max="44" width="43.85546875" style="3" customWidth="1"/>
    <col min="45" max="45" width="11.7109375" style="607" customWidth="1"/>
    <col min="46" max="48" width="10.7109375" style="607" customWidth="1"/>
    <col min="49" max="49" width="11.7109375" style="607" customWidth="1"/>
    <col min="50" max="52" width="10.7109375" style="607" customWidth="1"/>
    <col min="53" max="53" width="12.42578125" style="607" bestFit="1" customWidth="1"/>
    <col min="54" max="54" width="14.28515625" style="607" bestFit="1" customWidth="1"/>
    <col min="55" max="55" width="10.7109375" style="607" customWidth="1"/>
    <col min="56" max="56" width="12.28515625" style="607" bestFit="1" customWidth="1"/>
    <col min="57" max="59" width="10.7109375" style="607" customWidth="1"/>
    <col min="60" max="60" width="13.28515625" style="607" customWidth="1"/>
    <col min="61" max="61" width="3" style="3" customWidth="1"/>
    <col min="62" max="62" width="15.5703125" style="3" customWidth="1"/>
    <col min="63" max="63" width="14.7109375" style="3" customWidth="1"/>
    <col min="64" max="64" width="43.85546875" style="3" customWidth="1"/>
    <col min="65" max="65" width="11.7109375" style="607" customWidth="1"/>
    <col min="66" max="68" width="10.7109375" style="607" customWidth="1"/>
    <col min="69" max="69" width="11.7109375" style="607" customWidth="1"/>
    <col min="70" max="72" width="10.7109375" style="607" customWidth="1"/>
    <col min="73" max="73" width="12.42578125" style="607" bestFit="1" customWidth="1"/>
    <col min="74" max="74" width="14.5703125" style="607" customWidth="1"/>
    <col min="75" max="75" width="10.7109375" style="607" customWidth="1"/>
    <col min="76" max="76" width="12.28515625" style="607" bestFit="1" customWidth="1"/>
    <col min="77" max="79" width="10.7109375" style="607" customWidth="1"/>
    <col min="80" max="80" width="12.85546875" style="607" customWidth="1"/>
    <col min="81" max="81" width="3.42578125" style="3" customWidth="1"/>
    <col min="82" max="16384" width="9.140625" style="3"/>
  </cols>
  <sheetData>
    <row r="1" spans="2:80" ht="24" customHeight="1" x14ac:dyDescent="0.25">
      <c r="B1" s="635" t="str">
        <f>'Model Update'!D5</f>
        <v>SA Power Networks</v>
      </c>
      <c r="C1" s="2"/>
      <c r="E1" s="665"/>
      <c r="V1" s="635"/>
      <c r="W1" s="2"/>
      <c r="Y1" s="665"/>
      <c r="AP1" s="635"/>
      <c r="AQ1" s="2"/>
      <c r="AS1" s="665"/>
      <c r="BJ1" s="635"/>
      <c r="BK1" s="2"/>
      <c r="BM1" s="665"/>
    </row>
    <row r="2" spans="2:80" ht="21.75" customHeight="1" x14ac:dyDescent="0.25">
      <c r="B2" s="636" t="s">
        <v>526</v>
      </c>
      <c r="C2" s="2"/>
      <c r="F2" s="666"/>
      <c r="G2" s="666"/>
      <c r="H2" s="666"/>
      <c r="I2" s="666"/>
      <c r="V2" s="636"/>
      <c r="W2" s="2"/>
      <c r="Z2" s="666"/>
      <c r="AA2" s="666"/>
      <c r="AB2" s="666"/>
      <c r="AC2" s="666"/>
      <c r="AP2" s="636"/>
      <c r="AQ2" s="2"/>
      <c r="AT2" s="666"/>
      <c r="AU2" s="666"/>
      <c r="AV2" s="666"/>
      <c r="AW2" s="666"/>
      <c r="BJ2" s="636"/>
      <c r="BK2" s="2"/>
      <c r="BN2" s="666"/>
      <c r="BO2" s="666"/>
      <c r="BP2" s="666"/>
      <c r="BQ2" s="666"/>
    </row>
    <row r="3" spans="2:80" ht="18" customHeight="1" x14ac:dyDescent="0.2">
      <c r="B3" s="8"/>
      <c r="C3" s="2"/>
      <c r="F3" s="666"/>
      <c r="G3" s="666"/>
      <c r="H3" s="666"/>
      <c r="I3" s="666"/>
      <c r="V3" s="8"/>
      <c r="W3" s="2"/>
      <c r="Z3" s="666"/>
      <c r="AA3" s="666"/>
      <c r="AB3" s="666"/>
      <c r="AC3" s="666"/>
      <c r="AP3" s="8"/>
      <c r="AQ3" s="2"/>
      <c r="AT3" s="666"/>
      <c r="AU3" s="666"/>
      <c r="AV3" s="666"/>
      <c r="AW3" s="666"/>
      <c r="BJ3" s="8"/>
      <c r="BK3" s="2"/>
      <c r="BN3" s="666"/>
      <c r="BO3" s="666"/>
      <c r="BP3" s="666"/>
      <c r="BQ3" s="666"/>
    </row>
    <row r="4" spans="2:80" ht="18.75" x14ac:dyDescent="0.3">
      <c r="B4" s="648" t="s">
        <v>534</v>
      </c>
      <c r="C4" s="2"/>
      <c r="V4" s="648" t="s">
        <v>541</v>
      </c>
      <c r="W4" s="2"/>
      <c r="AP4" s="648" t="s">
        <v>543</v>
      </c>
      <c r="AQ4" s="2"/>
      <c r="BJ4" s="648" t="s">
        <v>542</v>
      </c>
      <c r="BK4" s="2"/>
    </row>
    <row r="5" spans="2:80" ht="13.5" thickBot="1" x14ac:dyDescent="0.25">
      <c r="D5" s="9"/>
      <c r="P5" s="667"/>
      <c r="U5" s="639"/>
      <c r="X5" s="9"/>
      <c r="AJ5" s="667"/>
      <c r="AR5" s="9"/>
      <c r="BD5" s="667"/>
      <c r="BL5" s="9"/>
      <c r="BX5" s="667"/>
    </row>
    <row r="6" spans="2:80" ht="15" customHeight="1" x14ac:dyDescent="0.2">
      <c r="B6" s="640"/>
      <c r="C6" s="641"/>
      <c r="D6" s="642"/>
      <c r="E6" s="668" t="s">
        <v>530</v>
      </c>
      <c r="F6" s="928" t="s">
        <v>531</v>
      </c>
      <c r="G6" s="929"/>
      <c r="H6" s="929"/>
      <c r="I6" s="930"/>
      <c r="J6" s="928" t="s">
        <v>633</v>
      </c>
      <c r="K6" s="929"/>
      <c r="L6" s="928" t="s">
        <v>532</v>
      </c>
      <c r="M6" s="929"/>
      <c r="N6" s="930"/>
      <c r="O6" s="929" t="s">
        <v>533</v>
      </c>
      <c r="P6" s="929"/>
      <c r="Q6" s="928" t="s">
        <v>531</v>
      </c>
      <c r="R6" s="929"/>
      <c r="S6" s="929"/>
      <c r="T6" s="931"/>
      <c r="V6" s="640"/>
      <c r="W6" s="641"/>
      <c r="X6" s="642"/>
      <c r="Y6" s="668" t="s">
        <v>530</v>
      </c>
      <c r="Z6" s="928" t="s">
        <v>531</v>
      </c>
      <c r="AA6" s="929"/>
      <c r="AB6" s="929"/>
      <c r="AC6" s="930"/>
      <c r="AD6" s="928" t="s">
        <v>633</v>
      </c>
      <c r="AE6" s="929"/>
      <c r="AF6" s="928" t="s">
        <v>532</v>
      </c>
      <c r="AG6" s="929"/>
      <c r="AH6" s="930"/>
      <c r="AI6" s="929" t="s">
        <v>533</v>
      </c>
      <c r="AJ6" s="929"/>
      <c r="AK6" s="928" t="s">
        <v>531</v>
      </c>
      <c r="AL6" s="929"/>
      <c r="AM6" s="929"/>
      <c r="AN6" s="931"/>
      <c r="AP6" s="640"/>
      <c r="AQ6" s="641"/>
      <c r="AR6" s="642"/>
      <c r="AS6" s="668" t="s">
        <v>530</v>
      </c>
      <c r="AT6" s="928" t="s">
        <v>531</v>
      </c>
      <c r="AU6" s="929"/>
      <c r="AV6" s="929"/>
      <c r="AW6" s="930"/>
      <c r="AX6" s="928" t="s">
        <v>633</v>
      </c>
      <c r="AY6" s="929"/>
      <c r="AZ6" s="928" t="s">
        <v>532</v>
      </c>
      <c r="BA6" s="929"/>
      <c r="BB6" s="930"/>
      <c r="BC6" s="929" t="s">
        <v>533</v>
      </c>
      <c r="BD6" s="929"/>
      <c r="BE6" s="928" t="s">
        <v>531</v>
      </c>
      <c r="BF6" s="929"/>
      <c r="BG6" s="929"/>
      <c r="BH6" s="931"/>
      <c r="BJ6" s="640"/>
      <c r="BK6" s="641"/>
      <c r="BL6" s="642"/>
      <c r="BM6" s="668" t="s">
        <v>530</v>
      </c>
      <c r="BN6" s="928" t="s">
        <v>531</v>
      </c>
      <c r="BO6" s="929"/>
      <c r="BP6" s="929"/>
      <c r="BQ6" s="930"/>
      <c r="BR6" s="928" t="s">
        <v>633</v>
      </c>
      <c r="BS6" s="929"/>
      <c r="BT6" s="928" t="s">
        <v>532</v>
      </c>
      <c r="BU6" s="929"/>
      <c r="BV6" s="930"/>
      <c r="BW6" s="929" t="s">
        <v>533</v>
      </c>
      <c r="BX6" s="929"/>
      <c r="BY6" s="928" t="s">
        <v>531</v>
      </c>
      <c r="BZ6" s="929"/>
      <c r="CA6" s="929"/>
      <c r="CB6" s="931"/>
    </row>
    <row r="7" spans="2:80" ht="15" customHeight="1" x14ac:dyDescent="0.3">
      <c r="B7" s="649" t="str">
        <f>"SA Power Networks' Tariffs "&amp;'Model Update'!$D$9</f>
        <v>SA Power Networks' Tariffs 2021/22</v>
      </c>
      <c r="C7" s="639"/>
      <c r="D7" s="10"/>
      <c r="E7" s="669" t="s">
        <v>527</v>
      </c>
      <c r="F7" s="904" t="s">
        <v>19</v>
      </c>
      <c r="G7" s="905"/>
      <c r="H7" s="905"/>
      <c r="I7" s="906"/>
      <c r="J7" s="907" t="s">
        <v>634</v>
      </c>
      <c r="K7" s="932"/>
      <c r="L7" s="904" t="s">
        <v>21</v>
      </c>
      <c r="M7" s="905"/>
      <c r="N7" s="906"/>
      <c r="O7" s="905" t="s">
        <v>635</v>
      </c>
      <c r="P7" s="905"/>
      <c r="Q7" s="904" t="s">
        <v>20</v>
      </c>
      <c r="R7" s="905"/>
      <c r="S7" s="905"/>
      <c r="T7" s="927"/>
      <c r="V7" s="649" t="str">
        <f>"SA Power Networks' Tariffs "&amp;'Model Update'!$D$9</f>
        <v>SA Power Networks' Tariffs 2021/22</v>
      </c>
      <c r="W7" s="639"/>
      <c r="X7" s="10"/>
      <c r="Y7" s="669" t="s">
        <v>527</v>
      </c>
      <c r="Z7" s="904" t="s">
        <v>19</v>
      </c>
      <c r="AA7" s="905"/>
      <c r="AB7" s="905"/>
      <c r="AC7" s="906"/>
      <c r="AD7" s="907" t="s">
        <v>634</v>
      </c>
      <c r="AE7" s="932"/>
      <c r="AF7" s="904" t="s">
        <v>21</v>
      </c>
      <c r="AG7" s="905"/>
      <c r="AH7" s="906"/>
      <c r="AI7" s="905" t="s">
        <v>635</v>
      </c>
      <c r="AJ7" s="905"/>
      <c r="AK7" s="904" t="s">
        <v>20</v>
      </c>
      <c r="AL7" s="905"/>
      <c r="AM7" s="905"/>
      <c r="AN7" s="927"/>
      <c r="AP7" s="649" t="str">
        <f>"SA Power Networks' Tariffs "&amp;'Model Update'!$D$9</f>
        <v>SA Power Networks' Tariffs 2021/22</v>
      </c>
      <c r="AQ7" s="639"/>
      <c r="AR7" s="10"/>
      <c r="AS7" s="669" t="s">
        <v>527</v>
      </c>
      <c r="AT7" s="904" t="s">
        <v>19</v>
      </c>
      <c r="AU7" s="905"/>
      <c r="AV7" s="905"/>
      <c r="AW7" s="906"/>
      <c r="AX7" s="907" t="s">
        <v>634</v>
      </c>
      <c r="AY7" s="932"/>
      <c r="AZ7" s="904" t="s">
        <v>21</v>
      </c>
      <c r="BA7" s="905"/>
      <c r="BB7" s="906"/>
      <c r="BC7" s="905" t="s">
        <v>635</v>
      </c>
      <c r="BD7" s="905"/>
      <c r="BE7" s="904" t="s">
        <v>20</v>
      </c>
      <c r="BF7" s="905"/>
      <c r="BG7" s="905"/>
      <c r="BH7" s="927"/>
      <c r="BJ7" s="649" t="str">
        <f>"SA Power Networks' Tariffs "&amp;'Model Update'!$D$9</f>
        <v>SA Power Networks' Tariffs 2021/22</v>
      </c>
      <c r="BK7" s="639"/>
      <c r="BL7" s="10"/>
      <c r="BM7" s="669" t="s">
        <v>527</v>
      </c>
      <c r="BN7" s="904" t="s">
        <v>19</v>
      </c>
      <c r="BO7" s="905"/>
      <c r="BP7" s="905"/>
      <c r="BQ7" s="906"/>
      <c r="BR7" s="907" t="s">
        <v>634</v>
      </c>
      <c r="BS7" s="932"/>
      <c r="BT7" s="904" t="s">
        <v>21</v>
      </c>
      <c r="BU7" s="905"/>
      <c r="BV7" s="906"/>
      <c r="BW7" s="905" t="s">
        <v>635</v>
      </c>
      <c r="BX7" s="905"/>
      <c r="BY7" s="904" t="s">
        <v>20</v>
      </c>
      <c r="BZ7" s="905"/>
      <c r="CA7" s="905"/>
      <c r="CB7" s="927"/>
    </row>
    <row r="8" spans="2:80" ht="15" customHeight="1" x14ac:dyDescent="0.3">
      <c r="B8" s="649" t="str">
        <f>"Price Schedule - " &amp;B4</f>
        <v xml:space="preserve">Price Schedule - Network Use of Service (NUoS) </v>
      </c>
      <c r="C8" s="639"/>
      <c r="D8" s="10"/>
      <c r="E8" s="669" t="s">
        <v>528</v>
      </c>
      <c r="F8" s="670" t="s">
        <v>288</v>
      </c>
      <c r="G8" s="671" t="s">
        <v>288</v>
      </c>
      <c r="H8" s="671" t="s">
        <v>288</v>
      </c>
      <c r="I8" s="672" t="s">
        <v>288</v>
      </c>
      <c r="J8" s="671" t="s">
        <v>529</v>
      </c>
      <c r="K8" s="787" t="s">
        <v>529</v>
      </c>
      <c r="L8" s="764" t="s">
        <v>529</v>
      </c>
      <c r="M8" s="765" t="s">
        <v>529</v>
      </c>
      <c r="N8" s="766" t="s">
        <v>529</v>
      </c>
      <c r="O8" s="671" t="s">
        <v>537</v>
      </c>
      <c r="P8" s="765" t="s">
        <v>537</v>
      </c>
      <c r="Q8" s="764" t="s">
        <v>288</v>
      </c>
      <c r="R8" s="765" t="s">
        <v>288</v>
      </c>
      <c r="S8" s="765" t="s">
        <v>288</v>
      </c>
      <c r="T8" s="767" t="s">
        <v>288</v>
      </c>
      <c r="V8" s="649" t="str">
        <f>"Price Schedule - " &amp;V4</f>
        <v xml:space="preserve">Price Schedule - Distribution Use of Service (DUoS) </v>
      </c>
      <c r="W8" s="639"/>
      <c r="X8" s="10"/>
      <c r="Y8" s="669" t="s">
        <v>528</v>
      </c>
      <c r="Z8" s="764" t="s">
        <v>288</v>
      </c>
      <c r="AA8" s="765" t="s">
        <v>288</v>
      </c>
      <c r="AB8" s="765" t="s">
        <v>288</v>
      </c>
      <c r="AC8" s="766" t="s">
        <v>288</v>
      </c>
      <c r="AD8" s="765" t="s">
        <v>529</v>
      </c>
      <c r="AE8" s="787" t="s">
        <v>529</v>
      </c>
      <c r="AF8" s="764" t="s">
        <v>529</v>
      </c>
      <c r="AG8" s="765" t="s">
        <v>529</v>
      </c>
      <c r="AH8" s="766" t="s">
        <v>529</v>
      </c>
      <c r="AI8" s="765" t="s">
        <v>537</v>
      </c>
      <c r="AJ8" s="765" t="s">
        <v>537</v>
      </c>
      <c r="AK8" s="764" t="s">
        <v>288</v>
      </c>
      <c r="AL8" s="765" t="s">
        <v>288</v>
      </c>
      <c r="AM8" s="765" t="s">
        <v>288</v>
      </c>
      <c r="AN8" s="767" t="s">
        <v>288</v>
      </c>
      <c r="AP8" s="649" t="str">
        <f>"Price Schedule - " &amp;AP4</f>
        <v xml:space="preserve">Price Schedule - Transmission Use of Service (TUoS) </v>
      </c>
      <c r="AQ8" s="639"/>
      <c r="AR8" s="10"/>
      <c r="AS8" s="669" t="s">
        <v>528</v>
      </c>
      <c r="AT8" s="764" t="s">
        <v>288</v>
      </c>
      <c r="AU8" s="765" t="s">
        <v>288</v>
      </c>
      <c r="AV8" s="765" t="s">
        <v>288</v>
      </c>
      <c r="AW8" s="766" t="s">
        <v>288</v>
      </c>
      <c r="AX8" s="765" t="s">
        <v>529</v>
      </c>
      <c r="AY8" s="787" t="s">
        <v>529</v>
      </c>
      <c r="AZ8" s="764" t="s">
        <v>529</v>
      </c>
      <c r="BA8" s="765" t="s">
        <v>529</v>
      </c>
      <c r="BB8" s="766" t="s">
        <v>529</v>
      </c>
      <c r="BC8" s="765" t="s">
        <v>537</v>
      </c>
      <c r="BD8" s="765" t="s">
        <v>537</v>
      </c>
      <c r="BE8" s="764" t="s">
        <v>288</v>
      </c>
      <c r="BF8" s="765" t="s">
        <v>288</v>
      </c>
      <c r="BG8" s="765" t="s">
        <v>288</v>
      </c>
      <c r="BH8" s="767" t="s">
        <v>288</v>
      </c>
      <c r="BJ8" s="649" t="str">
        <f>"Price Schedule - " &amp;BJ4</f>
        <v xml:space="preserve">Price Schedule - Jurisdication Obligation Scheme (JSO) </v>
      </c>
      <c r="BK8" s="639"/>
      <c r="BL8" s="10"/>
      <c r="BM8" s="669" t="s">
        <v>528</v>
      </c>
      <c r="BN8" s="764" t="s">
        <v>288</v>
      </c>
      <c r="BO8" s="765" t="s">
        <v>288</v>
      </c>
      <c r="BP8" s="765" t="s">
        <v>288</v>
      </c>
      <c r="BQ8" s="766" t="s">
        <v>288</v>
      </c>
      <c r="BR8" s="765" t="s">
        <v>529</v>
      </c>
      <c r="BS8" s="787" t="s">
        <v>529</v>
      </c>
      <c r="BT8" s="764" t="s">
        <v>529</v>
      </c>
      <c r="BU8" s="765" t="s">
        <v>529</v>
      </c>
      <c r="BV8" s="766" t="s">
        <v>529</v>
      </c>
      <c r="BW8" s="765" t="s">
        <v>537</v>
      </c>
      <c r="BX8" s="765" t="s">
        <v>537</v>
      </c>
      <c r="BY8" s="764" t="s">
        <v>288</v>
      </c>
      <c r="BZ8" s="765" t="s">
        <v>288</v>
      </c>
      <c r="CA8" s="765" t="s">
        <v>288</v>
      </c>
      <c r="CB8" s="767" t="s">
        <v>288</v>
      </c>
    </row>
    <row r="9" spans="2:80" s="21" customFormat="1" ht="15" customHeight="1" x14ac:dyDescent="0.2">
      <c r="B9" s="643" t="s">
        <v>27</v>
      </c>
      <c r="C9" s="638" t="s">
        <v>27</v>
      </c>
      <c r="D9" s="22" t="s">
        <v>28</v>
      </c>
      <c r="E9" s="669"/>
      <c r="F9" s="670" t="s">
        <v>30</v>
      </c>
      <c r="G9" s="671" t="s">
        <v>31</v>
      </c>
      <c r="H9" s="671" t="s">
        <v>32</v>
      </c>
      <c r="I9" s="672" t="s">
        <v>33</v>
      </c>
      <c r="J9" s="670"/>
      <c r="K9" s="765"/>
      <c r="L9" s="764"/>
      <c r="M9" s="765"/>
      <c r="N9" s="766"/>
      <c r="O9" s="671" t="s">
        <v>34</v>
      </c>
      <c r="P9" s="765"/>
      <c r="Q9" s="764" t="s">
        <v>30</v>
      </c>
      <c r="R9" s="765" t="s">
        <v>31</v>
      </c>
      <c r="S9" s="765" t="s">
        <v>32</v>
      </c>
      <c r="T9" s="767" t="s">
        <v>33</v>
      </c>
      <c r="V9" s="643" t="s">
        <v>27</v>
      </c>
      <c r="W9" s="638" t="s">
        <v>27</v>
      </c>
      <c r="X9" s="637" t="s">
        <v>28</v>
      </c>
      <c r="Y9" s="669"/>
      <c r="Z9" s="764" t="s">
        <v>30</v>
      </c>
      <c r="AA9" s="765" t="s">
        <v>31</v>
      </c>
      <c r="AB9" s="765" t="s">
        <v>32</v>
      </c>
      <c r="AC9" s="766" t="s">
        <v>33</v>
      </c>
      <c r="AD9" s="764"/>
      <c r="AE9" s="765"/>
      <c r="AF9" s="764"/>
      <c r="AG9" s="765"/>
      <c r="AH9" s="766"/>
      <c r="AI9" s="765" t="s">
        <v>34</v>
      </c>
      <c r="AJ9" s="765"/>
      <c r="AK9" s="764" t="s">
        <v>30</v>
      </c>
      <c r="AL9" s="765" t="s">
        <v>31</v>
      </c>
      <c r="AM9" s="765" t="s">
        <v>32</v>
      </c>
      <c r="AN9" s="767" t="s">
        <v>33</v>
      </c>
      <c r="AP9" s="643" t="s">
        <v>27</v>
      </c>
      <c r="AQ9" s="638" t="s">
        <v>27</v>
      </c>
      <c r="AR9" s="637" t="s">
        <v>28</v>
      </c>
      <c r="AS9" s="669"/>
      <c r="AT9" s="764" t="s">
        <v>30</v>
      </c>
      <c r="AU9" s="765" t="s">
        <v>31</v>
      </c>
      <c r="AV9" s="765" t="s">
        <v>32</v>
      </c>
      <c r="AW9" s="766" t="s">
        <v>33</v>
      </c>
      <c r="AX9" s="764"/>
      <c r="AY9" s="765"/>
      <c r="AZ9" s="764"/>
      <c r="BA9" s="765"/>
      <c r="BB9" s="766"/>
      <c r="BC9" s="765" t="s">
        <v>34</v>
      </c>
      <c r="BD9" s="765"/>
      <c r="BE9" s="764" t="s">
        <v>30</v>
      </c>
      <c r="BF9" s="765" t="s">
        <v>31</v>
      </c>
      <c r="BG9" s="765" t="s">
        <v>32</v>
      </c>
      <c r="BH9" s="767" t="s">
        <v>33</v>
      </c>
      <c r="BJ9" s="643" t="s">
        <v>27</v>
      </c>
      <c r="BK9" s="638" t="s">
        <v>27</v>
      </c>
      <c r="BL9" s="637" t="s">
        <v>28</v>
      </c>
      <c r="BM9" s="669"/>
      <c r="BN9" s="764" t="s">
        <v>30</v>
      </c>
      <c r="BO9" s="765" t="s">
        <v>31</v>
      </c>
      <c r="BP9" s="765" t="s">
        <v>32</v>
      </c>
      <c r="BQ9" s="766" t="s">
        <v>33</v>
      </c>
      <c r="BR9" s="764"/>
      <c r="BS9" s="765"/>
      <c r="BT9" s="764"/>
      <c r="BU9" s="765"/>
      <c r="BV9" s="883"/>
      <c r="BW9" s="765" t="s">
        <v>34</v>
      </c>
      <c r="BX9" s="765"/>
      <c r="BY9" s="764" t="s">
        <v>30</v>
      </c>
      <c r="BZ9" s="765" t="s">
        <v>31</v>
      </c>
      <c r="CA9" s="765" t="s">
        <v>32</v>
      </c>
      <c r="CB9" s="767" t="s">
        <v>33</v>
      </c>
    </row>
    <row r="10" spans="2:80" s="21" customFormat="1" ht="15" customHeight="1" x14ac:dyDescent="0.2">
      <c r="B10" s="644" t="s">
        <v>36</v>
      </c>
      <c r="C10" s="27" t="s">
        <v>37</v>
      </c>
      <c r="D10" s="28" t="s">
        <v>38</v>
      </c>
      <c r="E10" s="674"/>
      <c r="F10" s="675" t="s">
        <v>30</v>
      </c>
      <c r="G10" s="676" t="s">
        <v>31</v>
      </c>
      <c r="H10" s="676" t="s">
        <v>39</v>
      </c>
      <c r="I10" s="677" t="s">
        <v>32</v>
      </c>
      <c r="J10" s="675" t="s">
        <v>637</v>
      </c>
      <c r="K10" s="676" t="s">
        <v>636</v>
      </c>
      <c r="L10" s="675" t="s">
        <v>40</v>
      </c>
      <c r="M10" s="676" t="s">
        <v>638</v>
      </c>
      <c r="N10" s="677" t="s">
        <v>639</v>
      </c>
      <c r="O10" s="676" t="s">
        <v>34</v>
      </c>
      <c r="P10" s="676" t="s">
        <v>636</v>
      </c>
      <c r="Q10" s="764" t="s">
        <v>30</v>
      </c>
      <c r="R10" s="765"/>
      <c r="S10" s="765"/>
      <c r="T10" s="767"/>
      <c r="V10" s="644" t="s">
        <v>36</v>
      </c>
      <c r="W10" s="27" t="s">
        <v>37</v>
      </c>
      <c r="X10" s="28" t="s">
        <v>38</v>
      </c>
      <c r="Y10" s="674"/>
      <c r="Z10" s="675" t="s">
        <v>30</v>
      </c>
      <c r="AA10" s="676" t="s">
        <v>31</v>
      </c>
      <c r="AB10" s="676" t="s">
        <v>39</v>
      </c>
      <c r="AC10" s="677" t="s">
        <v>32</v>
      </c>
      <c r="AD10" s="675" t="s">
        <v>637</v>
      </c>
      <c r="AE10" s="676" t="s">
        <v>636</v>
      </c>
      <c r="AF10" s="675" t="s">
        <v>40</v>
      </c>
      <c r="AG10" s="676" t="s">
        <v>638</v>
      </c>
      <c r="AH10" s="677" t="s">
        <v>639</v>
      </c>
      <c r="AI10" s="676" t="s">
        <v>34</v>
      </c>
      <c r="AJ10" s="676" t="s">
        <v>636</v>
      </c>
      <c r="AK10" s="764" t="s">
        <v>30</v>
      </c>
      <c r="AL10" s="765"/>
      <c r="AM10" s="765"/>
      <c r="AN10" s="767"/>
      <c r="AP10" s="644" t="s">
        <v>36</v>
      </c>
      <c r="AQ10" s="27" t="s">
        <v>37</v>
      </c>
      <c r="AR10" s="28" t="s">
        <v>38</v>
      </c>
      <c r="AS10" s="674"/>
      <c r="AT10" s="675" t="s">
        <v>30</v>
      </c>
      <c r="AU10" s="676" t="s">
        <v>31</v>
      </c>
      <c r="AV10" s="676" t="s">
        <v>39</v>
      </c>
      <c r="AW10" s="677" t="s">
        <v>32</v>
      </c>
      <c r="AX10" s="675" t="s">
        <v>637</v>
      </c>
      <c r="AY10" s="676" t="s">
        <v>636</v>
      </c>
      <c r="AZ10" s="675" t="s">
        <v>40</v>
      </c>
      <c r="BA10" s="676" t="s">
        <v>638</v>
      </c>
      <c r="BB10" s="677" t="s">
        <v>639</v>
      </c>
      <c r="BC10" s="676" t="s">
        <v>34</v>
      </c>
      <c r="BD10" s="676" t="s">
        <v>636</v>
      </c>
      <c r="BE10" s="764" t="s">
        <v>30</v>
      </c>
      <c r="BF10" s="765"/>
      <c r="BG10" s="765"/>
      <c r="BH10" s="767"/>
      <c r="BJ10" s="644" t="s">
        <v>36</v>
      </c>
      <c r="BK10" s="27" t="s">
        <v>37</v>
      </c>
      <c r="BL10" s="28" t="s">
        <v>38</v>
      </c>
      <c r="BM10" s="674"/>
      <c r="BN10" s="675" t="s">
        <v>30</v>
      </c>
      <c r="BO10" s="676" t="s">
        <v>31</v>
      </c>
      <c r="BP10" s="676" t="s">
        <v>39</v>
      </c>
      <c r="BQ10" s="677" t="s">
        <v>32</v>
      </c>
      <c r="BR10" s="675" t="s">
        <v>637</v>
      </c>
      <c r="BS10" s="676" t="s">
        <v>636</v>
      </c>
      <c r="BT10" s="675" t="s">
        <v>40</v>
      </c>
      <c r="BU10" s="676" t="s">
        <v>638</v>
      </c>
      <c r="BV10" s="677" t="s">
        <v>639</v>
      </c>
      <c r="BW10" s="676" t="s">
        <v>34</v>
      </c>
      <c r="BX10" s="676" t="s">
        <v>636</v>
      </c>
      <c r="BY10" s="764" t="s">
        <v>30</v>
      </c>
      <c r="BZ10" s="765"/>
      <c r="CA10" s="765"/>
      <c r="CB10" s="767"/>
    </row>
    <row r="11" spans="2:80" ht="15" customHeight="1" x14ac:dyDescent="0.2">
      <c r="B11" s="645" t="s">
        <v>42</v>
      </c>
      <c r="C11" s="13"/>
      <c r="D11" s="13"/>
      <c r="E11" s="678"/>
      <c r="F11" s="678"/>
      <c r="G11" s="679"/>
      <c r="H11" s="679"/>
      <c r="I11" s="679"/>
      <c r="J11" s="678"/>
      <c r="K11" s="679"/>
      <c r="L11" s="678"/>
      <c r="M11" s="679"/>
      <c r="N11" s="682"/>
      <c r="O11" s="679"/>
      <c r="P11" s="679"/>
      <c r="Q11" s="680"/>
      <c r="R11" s="681"/>
      <c r="S11" s="681"/>
      <c r="T11" s="791"/>
      <c r="V11" s="645" t="s">
        <v>42</v>
      </c>
      <c r="W11" s="13"/>
      <c r="X11" s="13"/>
      <c r="Y11" s="678"/>
      <c r="Z11" s="678"/>
      <c r="AA11" s="679"/>
      <c r="AB11" s="679"/>
      <c r="AC11" s="679"/>
      <c r="AD11" s="678"/>
      <c r="AE11" s="679"/>
      <c r="AF11" s="678"/>
      <c r="AG11" s="679"/>
      <c r="AH11" s="682"/>
      <c r="AI11" s="679"/>
      <c r="AJ11" s="679"/>
      <c r="AK11" s="680"/>
      <c r="AL11" s="681"/>
      <c r="AM11" s="681"/>
      <c r="AN11" s="791"/>
      <c r="AP11" s="645" t="s">
        <v>42</v>
      </c>
      <c r="AQ11" s="13"/>
      <c r="AR11" s="13"/>
      <c r="AS11" s="678"/>
      <c r="AT11" s="678"/>
      <c r="AU11" s="679"/>
      <c r="AV11" s="679"/>
      <c r="AW11" s="679"/>
      <c r="AX11" s="678"/>
      <c r="AY11" s="679"/>
      <c r="AZ11" s="678"/>
      <c r="BA11" s="679"/>
      <c r="BB11" s="682"/>
      <c r="BC11" s="679"/>
      <c r="BD11" s="679"/>
      <c r="BE11" s="680"/>
      <c r="BF11" s="681"/>
      <c r="BG11" s="681"/>
      <c r="BH11" s="791"/>
      <c r="BJ11" s="645" t="s">
        <v>42</v>
      </c>
      <c r="BK11" s="13"/>
      <c r="BL11" s="13"/>
      <c r="BM11" s="678"/>
      <c r="BN11" s="678"/>
      <c r="BO11" s="679"/>
      <c r="BP11" s="679"/>
      <c r="BQ11" s="679"/>
      <c r="BR11" s="678"/>
      <c r="BS11" s="679"/>
      <c r="BT11" s="678"/>
      <c r="BU11" s="679"/>
      <c r="BV11" s="682"/>
      <c r="BW11" s="679"/>
      <c r="BX11" s="679"/>
      <c r="BY11" s="680"/>
      <c r="BZ11" s="681"/>
      <c r="CA11" s="681"/>
      <c r="CB11" s="791"/>
    </row>
    <row r="12" spans="2:80" ht="15" customHeight="1" x14ac:dyDescent="0.2">
      <c r="B12" s="646" t="s">
        <v>43</v>
      </c>
      <c r="C12" s="37"/>
      <c r="D12" s="10"/>
      <c r="E12" s="670"/>
      <c r="F12" s="670"/>
      <c r="G12" s="671"/>
      <c r="H12" s="671"/>
      <c r="I12" s="671"/>
      <c r="J12" s="670"/>
      <c r="K12" s="671"/>
      <c r="L12" s="764"/>
      <c r="M12" s="765"/>
      <c r="N12" s="766"/>
      <c r="O12" s="765"/>
      <c r="P12" s="765"/>
      <c r="Q12" s="683"/>
      <c r="R12" s="667"/>
      <c r="S12" s="667"/>
      <c r="T12" s="792"/>
      <c r="V12" s="646" t="s">
        <v>43</v>
      </c>
      <c r="W12" s="37"/>
      <c r="X12" s="10"/>
      <c r="Y12" s="823"/>
      <c r="Z12" s="764"/>
      <c r="AA12" s="765"/>
      <c r="AB12" s="765"/>
      <c r="AC12" s="765"/>
      <c r="AD12" s="764"/>
      <c r="AE12" s="765"/>
      <c r="AF12" s="764"/>
      <c r="AG12" s="765"/>
      <c r="AH12" s="766"/>
      <c r="AI12" s="765"/>
      <c r="AJ12" s="765"/>
      <c r="AK12" s="683"/>
      <c r="AL12" s="667"/>
      <c r="AM12" s="667"/>
      <c r="AN12" s="792"/>
      <c r="AP12" s="646" t="s">
        <v>43</v>
      </c>
      <c r="AQ12" s="37"/>
      <c r="AR12" s="10"/>
      <c r="AS12" s="823"/>
      <c r="AT12" s="764"/>
      <c r="AU12" s="765"/>
      <c r="AV12" s="765"/>
      <c r="AW12" s="765"/>
      <c r="AX12" s="764"/>
      <c r="AY12" s="765"/>
      <c r="AZ12" s="764"/>
      <c r="BA12" s="765"/>
      <c r="BB12" s="766"/>
      <c r="BC12" s="765"/>
      <c r="BD12" s="765"/>
      <c r="BE12" s="683"/>
      <c r="BF12" s="667"/>
      <c r="BG12" s="667"/>
      <c r="BH12" s="792"/>
      <c r="BJ12" s="646" t="s">
        <v>43</v>
      </c>
      <c r="BK12" s="37"/>
      <c r="BL12" s="10"/>
      <c r="BM12" s="823"/>
      <c r="BN12" s="764"/>
      <c r="BO12" s="765"/>
      <c r="BP12" s="765"/>
      <c r="BQ12" s="765"/>
      <c r="BR12" s="764"/>
      <c r="BS12" s="765"/>
      <c r="BT12" s="764"/>
      <c r="BU12" s="765"/>
      <c r="BV12" s="766"/>
      <c r="BW12" s="765"/>
      <c r="BX12" s="765"/>
      <c r="BY12" s="683"/>
      <c r="BZ12" s="667"/>
      <c r="CA12" s="667"/>
      <c r="CB12" s="792"/>
    </row>
    <row r="13" spans="2:80" ht="15" customHeight="1" x14ac:dyDescent="0.2">
      <c r="B13" s="650" t="s">
        <v>644</v>
      </c>
      <c r="C13" s="651" t="str">
        <f>B13</f>
        <v>RSR/RSROPCL</v>
      </c>
      <c r="D13" s="652" t="s">
        <v>641</v>
      </c>
      <c r="E13" s="684">
        <f>'NUoS (t)'!G18</f>
        <v>0.49319999999999997</v>
      </c>
      <c r="F13" s="685">
        <f>'NUoS (t)'!H18</f>
        <v>0.1346</v>
      </c>
      <c r="G13" s="684"/>
      <c r="H13" s="684"/>
      <c r="I13" s="684"/>
      <c r="J13" s="689"/>
      <c r="K13" s="687"/>
      <c r="L13" s="689"/>
      <c r="M13" s="687"/>
      <c r="N13" s="688"/>
      <c r="O13" s="687"/>
      <c r="P13" s="687"/>
      <c r="Q13" s="685">
        <f>'NUoS (t)'!L19</f>
        <v>6.7499999999999991E-2</v>
      </c>
      <c r="R13" s="684"/>
      <c r="S13" s="684"/>
      <c r="T13" s="707"/>
      <c r="V13" s="650" t="s">
        <v>644</v>
      </c>
      <c r="W13" s="651" t="str">
        <f>V13</f>
        <v>RSR/RSROPCL</v>
      </c>
      <c r="X13" s="652" t="s">
        <v>641</v>
      </c>
      <c r="Y13" s="684">
        <f>'DUoS (t)'!G18</f>
        <v>0.4521</v>
      </c>
      <c r="Z13" s="685">
        <f>'DUoS (t)'!H18</f>
        <v>8.7900000000000006E-2</v>
      </c>
      <c r="AA13" s="684"/>
      <c r="AB13" s="684"/>
      <c r="AC13" s="684"/>
      <c r="AD13" s="689"/>
      <c r="AE13" s="687"/>
      <c r="AF13" s="689"/>
      <c r="AG13" s="687"/>
      <c r="AH13" s="688"/>
      <c r="AI13" s="687"/>
      <c r="AJ13" s="687"/>
      <c r="AK13" s="685">
        <f>'DUoS (t)'!L19</f>
        <v>4.3999999999999997E-2</v>
      </c>
      <c r="AL13" s="684"/>
      <c r="AM13" s="684"/>
      <c r="AN13" s="707"/>
      <c r="AP13" s="650" t="s">
        <v>644</v>
      </c>
      <c r="AQ13" s="651" t="str">
        <f>AP13</f>
        <v>RSR/RSROPCL</v>
      </c>
      <c r="AR13" s="652" t="s">
        <v>641</v>
      </c>
      <c r="AS13" s="684">
        <f>'TUoS (t)'!G18</f>
        <v>0</v>
      </c>
      <c r="AT13" s="685">
        <f>'TUoS (t)'!H18</f>
        <v>3.56E-2</v>
      </c>
      <c r="AU13" s="684"/>
      <c r="AV13" s="684"/>
      <c r="AW13" s="684"/>
      <c r="AX13" s="689"/>
      <c r="AY13" s="687"/>
      <c r="AZ13" s="689"/>
      <c r="BA13" s="687"/>
      <c r="BB13" s="688"/>
      <c r="BC13" s="687"/>
      <c r="BD13" s="687"/>
      <c r="BE13" s="685">
        <f>'TUoS (t)'!L19</f>
        <v>1.7899999999999999E-2</v>
      </c>
      <c r="BF13" s="684"/>
      <c r="BG13" s="684"/>
      <c r="BH13" s="707"/>
      <c r="BJ13" s="650" t="s">
        <v>644</v>
      </c>
      <c r="BK13" s="651" t="str">
        <f>BJ13</f>
        <v>RSR/RSROPCL</v>
      </c>
      <c r="BL13" s="652" t="s">
        <v>641</v>
      </c>
      <c r="BM13" s="684">
        <f>'JSO (t)'!G18</f>
        <v>4.1099999999999998E-2</v>
      </c>
      <c r="BN13" s="685">
        <f>'JSO (t)'!H18</f>
        <v>1.11E-2</v>
      </c>
      <c r="BO13" s="684"/>
      <c r="BP13" s="684"/>
      <c r="BQ13" s="684"/>
      <c r="BR13" s="689"/>
      <c r="BS13" s="687"/>
      <c r="BT13" s="689"/>
      <c r="BU13" s="687"/>
      <c r="BV13" s="688"/>
      <c r="BW13" s="687"/>
      <c r="BX13" s="687"/>
      <c r="BY13" s="685">
        <f>'JSO (t)'!L19</f>
        <v>5.5999999999999999E-3</v>
      </c>
      <c r="BZ13" s="684"/>
      <c r="CA13" s="684"/>
      <c r="CB13" s="707"/>
    </row>
    <row r="14" spans="2:80" ht="15" customHeight="1" x14ac:dyDescent="0.2">
      <c r="B14" s="650" t="s">
        <v>538</v>
      </c>
      <c r="C14" s="651" t="s">
        <v>538</v>
      </c>
      <c r="D14" s="652" t="s">
        <v>640</v>
      </c>
      <c r="E14" s="684">
        <f>'NUoS (t)'!G21</f>
        <v>0.49319999999999997</v>
      </c>
      <c r="F14" s="685">
        <f>'NUoS (t)'!H21</f>
        <v>0.1346</v>
      </c>
      <c r="G14" s="684"/>
      <c r="H14" s="684"/>
      <c r="I14" s="684"/>
      <c r="J14" s="689"/>
      <c r="K14" s="687"/>
      <c r="L14" s="689"/>
      <c r="M14" s="687"/>
      <c r="N14" s="688"/>
      <c r="O14" s="687"/>
      <c r="P14" s="687"/>
      <c r="Q14" s="685"/>
      <c r="R14" s="684">
        <f>'NUoS (t)'!M21</f>
        <v>0.16850000000000001</v>
      </c>
      <c r="S14" s="684">
        <f>'NUoS (t)'!N21</f>
        <v>6.7499999999999991E-2</v>
      </c>
      <c r="T14" s="707">
        <f>'NUoS (t)'!O21</f>
        <v>3.3699999999999994E-2</v>
      </c>
      <c r="V14" s="650" t="s">
        <v>538</v>
      </c>
      <c r="W14" s="651" t="s">
        <v>538</v>
      </c>
      <c r="X14" s="652" t="s">
        <v>640</v>
      </c>
      <c r="Y14" s="684">
        <f>'DUoS (t)'!G21</f>
        <v>0.4521</v>
      </c>
      <c r="Z14" s="685">
        <f>'DUoS (t)'!H21</f>
        <v>8.7900000000000006E-2</v>
      </c>
      <c r="AA14" s="684"/>
      <c r="AB14" s="684"/>
      <c r="AC14" s="684"/>
      <c r="AD14" s="689"/>
      <c r="AE14" s="687"/>
      <c r="AF14" s="689"/>
      <c r="AG14" s="687"/>
      <c r="AH14" s="688"/>
      <c r="AI14" s="687"/>
      <c r="AJ14" s="687"/>
      <c r="AK14" s="685"/>
      <c r="AL14" s="684">
        <f>'DUoS (t)'!M21</f>
        <v>0.11</v>
      </c>
      <c r="AM14" s="684">
        <f>'DUoS (t)'!N21</f>
        <v>4.3999999999999997E-2</v>
      </c>
      <c r="AN14" s="707">
        <f>'DUoS (t)'!O21</f>
        <v>2.1999999999999999E-2</v>
      </c>
      <c r="AP14" s="650" t="s">
        <v>538</v>
      </c>
      <c r="AQ14" s="651" t="s">
        <v>538</v>
      </c>
      <c r="AR14" s="652" t="s">
        <v>640</v>
      </c>
      <c r="AS14" s="684">
        <f>'TUoS (t)'!G21</f>
        <v>0</v>
      </c>
      <c r="AT14" s="685">
        <f>'TUoS (t)'!H21</f>
        <v>3.56E-2</v>
      </c>
      <c r="AU14" s="684"/>
      <c r="AV14" s="684"/>
      <c r="AW14" s="684"/>
      <c r="AX14" s="689"/>
      <c r="AY14" s="687"/>
      <c r="AZ14" s="689"/>
      <c r="BA14" s="687"/>
      <c r="BB14" s="688"/>
      <c r="BC14" s="687"/>
      <c r="BD14" s="687"/>
      <c r="BE14" s="685"/>
      <c r="BF14" s="684">
        <f>'TUoS (t)'!M21</f>
        <v>4.4600000000000001E-2</v>
      </c>
      <c r="BG14" s="684">
        <f>'TUoS (t)'!N21</f>
        <v>1.7899999999999999E-2</v>
      </c>
      <c r="BH14" s="707">
        <f>'TUoS (t)'!O21</f>
        <v>8.8999999999999999E-3</v>
      </c>
      <c r="BJ14" s="650" t="s">
        <v>538</v>
      </c>
      <c r="BK14" s="651" t="s">
        <v>538</v>
      </c>
      <c r="BL14" s="652" t="s">
        <v>640</v>
      </c>
      <c r="BM14" s="684">
        <f>'JSO (t)'!G21</f>
        <v>4.1099999999999998E-2</v>
      </c>
      <c r="BN14" s="685">
        <f>'JSO (t)'!H21</f>
        <v>1.11E-2</v>
      </c>
      <c r="BO14" s="684"/>
      <c r="BP14" s="684"/>
      <c r="BQ14" s="684"/>
      <c r="BR14" s="689"/>
      <c r="BS14" s="687"/>
      <c r="BT14" s="689"/>
      <c r="BU14" s="687"/>
      <c r="BV14" s="688"/>
      <c r="BW14" s="687"/>
      <c r="BX14" s="687"/>
      <c r="BY14" s="685"/>
      <c r="BZ14" s="684">
        <f>'JSO (t)'!M21</f>
        <v>1.3899999999999999E-2</v>
      </c>
      <c r="CA14" s="684">
        <f>'JSO (t)'!N21</f>
        <v>5.5999999999999999E-3</v>
      </c>
      <c r="CB14" s="707">
        <f>'JSO (t)'!O21</f>
        <v>2.8E-3</v>
      </c>
    </row>
    <row r="15" spans="2:80" ht="15" customHeight="1" x14ac:dyDescent="0.2">
      <c r="B15" s="771" t="s">
        <v>539</v>
      </c>
      <c r="C15" s="772" t="str">
        <f>B15</f>
        <v>RTOU/RTOUCL</v>
      </c>
      <c r="D15" s="107" t="s">
        <v>50</v>
      </c>
      <c r="E15" s="691">
        <f>'NUoS (t)'!G22</f>
        <v>0.49319999999999997</v>
      </c>
      <c r="F15" s="773"/>
      <c r="G15" s="691">
        <f>'NUoS (t)'!I22</f>
        <v>0.16850000000000001</v>
      </c>
      <c r="H15" s="691">
        <f>'NUoS (t)'!J22</f>
        <v>6.7499999999999991E-2</v>
      </c>
      <c r="I15" s="691">
        <f>'NUoS (t)'!K22</f>
        <v>3.3699999999999994E-2</v>
      </c>
      <c r="J15" s="776"/>
      <c r="K15" s="774"/>
      <c r="L15" s="776"/>
      <c r="M15" s="774"/>
      <c r="N15" s="775"/>
      <c r="O15" s="774"/>
      <c r="P15" s="774"/>
      <c r="Q15" s="773"/>
      <c r="R15" s="691">
        <f>'NUoS (t)'!M23</f>
        <v>0.16850000000000001</v>
      </c>
      <c r="S15" s="691">
        <f>'NUoS (t)'!N23</f>
        <v>6.7499999999999991E-2</v>
      </c>
      <c r="T15" s="784">
        <f>'NUoS (t)'!O23</f>
        <v>3.3699999999999994E-2</v>
      </c>
      <c r="V15" s="771" t="s">
        <v>539</v>
      </c>
      <c r="W15" s="772" t="str">
        <f>V15</f>
        <v>RTOU/RTOUCL</v>
      </c>
      <c r="X15" s="107" t="s">
        <v>50</v>
      </c>
      <c r="Y15" s="691">
        <f>'DUoS (t)'!G22</f>
        <v>0.4521</v>
      </c>
      <c r="Z15" s="773"/>
      <c r="AA15" s="691">
        <f>'DUoS (t)'!I22</f>
        <v>0.11</v>
      </c>
      <c r="AB15" s="691">
        <f>'DUoS (t)'!J22</f>
        <v>4.3999999999999997E-2</v>
      </c>
      <c r="AC15" s="691">
        <f>'DUoS (t)'!K22</f>
        <v>2.1999999999999999E-2</v>
      </c>
      <c r="AD15" s="776"/>
      <c r="AE15" s="774"/>
      <c r="AF15" s="776"/>
      <c r="AG15" s="774"/>
      <c r="AH15" s="775"/>
      <c r="AI15" s="774"/>
      <c r="AJ15" s="774"/>
      <c r="AK15" s="773"/>
      <c r="AL15" s="691">
        <f>'DUoS (t)'!M23</f>
        <v>0.11</v>
      </c>
      <c r="AM15" s="691">
        <f>'DUoS (t)'!N23</f>
        <v>4.3999999999999997E-2</v>
      </c>
      <c r="AN15" s="784">
        <f>'DUoS (t)'!O23</f>
        <v>2.1999999999999999E-2</v>
      </c>
      <c r="AP15" s="771" t="s">
        <v>539</v>
      </c>
      <c r="AQ15" s="772" t="str">
        <f>AP15</f>
        <v>RTOU/RTOUCL</v>
      </c>
      <c r="AR15" s="107" t="s">
        <v>50</v>
      </c>
      <c r="AS15" s="691">
        <f>'TUoS (t)'!G22</f>
        <v>0</v>
      </c>
      <c r="AT15" s="773"/>
      <c r="AU15" s="691">
        <f>'TUoS (t)'!I22</f>
        <v>4.4600000000000001E-2</v>
      </c>
      <c r="AV15" s="691">
        <f>'TUoS (t)'!J22</f>
        <v>1.7899999999999999E-2</v>
      </c>
      <c r="AW15" s="691">
        <f>'TUoS (t)'!K22</f>
        <v>8.8999999999999999E-3</v>
      </c>
      <c r="AX15" s="776"/>
      <c r="AY15" s="774"/>
      <c r="AZ15" s="776"/>
      <c r="BA15" s="774"/>
      <c r="BB15" s="775"/>
      <c r="BC15" s="774"/>
      <c r="BD15" s="774"/>
      <c r="BE15" s="773"/>
      <c r="BF15" s="691">
        <f>'TUoS (t)'!M23</f>
        <v>4.4600000000000001E-2</v>
      </c>
      <c r="BG15" s="691">
        <f>'TUoS (t)'!N23</f>
        <v>1.7899999999999999E-2</v>
      </c>
      <c r="BH15" s="784">
        <f>'TUoS (t)'!O23</f>
        <v>8.8999999999999999E-3</v>
      </c>
      <c r="BJ15" s="771" t="s">
        <v>539</v>
      </c>
      <c r="BK15" s="772" t="str">
        <f>BJ15</f>
        <v>RTOU/RTOUCL</v>
      </c>
      <c r="BL15" s="107" t="s">
        <v>50</v>
      </c>
      <c r="BM15" s="691">
        <f>'JSO (t)'!G22</f>
        <v>4.1099999999999998E-2</v>
      </c>
      <c r="BN15" s="773"/>
      <c r="BO15" s="691">
        <f>'JSO (t)'!I22</f>
        <v>1.3899999999999999E-2</v>
      </c>
      <c r="BP15" s="691">
        <f>'JSO (t)'!J22</f>
        <v>5.5999999999999999E-3</v>
      </c>
      <c r="BQ15" s="691">
        <f>'JSO (t)'!K22</f>
        <v>2.8E-3</v>
      </c>
      <c r="BR15" s="776"/>
      <c r="BS15" s="774"/>
      <c r="BT15" s="776"/>
      <c r="BU15" s="774"/>
      <c r="BV15" s="775"/>
      <c r="BW15" s="774"/>
      <c r="BX15" s="774"/>
      <c r="BY15" s="773"/>
      <c r="BZ15" s="691">
        <f>'JSO (t)'!M23</f>
        <v>1.3899999999999999E-2</v>
      </c>
      <c r="CA15" s="691">
        <f>'JSO (t)'!N23</f>
        <v>5.5999999999999999E-3</v>
      </c>
      <c r="CB15" s="784">
        <f>'JSO (t)'!O23</f>
        <v>2.8E-3</v>
      </c>
    </row>
    <row r="16" spans="2:80" ht="15" customHeight="1" x14ac:dyDescent="0.2">
      <c r="B16" s="771" t="s">
        <v>540</v>
      </c>
      <c r="C16" s="772" t="str">
        <f>B16</f>
        <v>RPRO/RPROCL</v>
      </c>
      <c r="D16" s="783" t="s">
        <v>54</v>
      </c>
      <c r="E16" s="691">
        <f>'NUoS (t)'!G24</f>
        <v>0.49319999999999997</v>
      </c>
      <c r="F16" s="773"/>
      <c r="G16" s="698">
        <f>'NUoS (t)'!I24</f>
        <v>0.1009</v>
      </c>
      <c r="H16" s="698">
        <f>'NUoS (t)'!J24</f>
        <v>4.0399999999999998E-2</v>
      </c>
      <c r="I16" s="699">
        <f>'NUoS (t)'!K24</f>
        <v>2.0100000000000003E-2</v>
      </c>
      <c r="J16" s="773"/>
      <c r="K16" s="691"/>
      <c r="L16" s="697"/>
      <c r="M16" s="698"/>
      <c r="N16" s="699"/>
      <c r="O16" s="697">
        <f>'NUoS (t)'!U24</f>
        <v>0.74880000000000002</v>
      </c>
      <c r="P16" s="698"/>
      <c r="Q16" s="697"/>
      <c r="R16" s="698">
        <f>'NUoS (t)'!M25</f>
        <v>0.16850000000000001</v>
      </c>
      <c r="S16" s="698">
        <f>'NUoS (t)'!N25</f>
        <v>6.7499999999999991E-2</v>
      </c>
      <c r="T16" s="700">
        <f>'NUoS (t)'!O25</f>
        <v>3.3699999999999994E-2</v>
      </c>
      <c r="V16" s="771" t="s">
        <v>540</v>
      </c>
      <c r="W16" s="772" t="str">
        <f>V16</f>
        <v>RPRO/RPROCL</v>
      </c>
      <c r="X16" s="783" t="s">
        <v>54</v>
      </c>
      <c r="Y16" s="691">
        <f>'DUoS (t)'!G24</f>
        <v>0.4521</v>
      </c>
      <c r="Z16" s="773"/>
      <c r="AA16" s="698">
        <f>'DUoS (t)'!I24</f>
        <v>6.59E-2</v>
      </c>
      <c r="AB16" s="698">
        <f>'DUoS (t)'!J24</f>
        <v>2.64E-2</v>
      </c>
      <c r="AC16" s="699">
        <f>'DUoS (t)'!K24</f>
        <v>1.3100000000000001E-2</v>
      </c>
      <c r="AD16" s="773"/>
      <c r="AE16" s="691"/>
      <c r="AF16" s="697"/>
      <c r="AG16" s="698"/>
      <c r="AH16" s="699"/>
      <c r="AI16" s="697">
        <f>'DUoS (t)'!U24</f>
        <v>0.48899999999999999</v>
      </c>
      <c r="AJ16" s="698"/>
      <c r="AK16" s="697"/>
      <c r="AL16" s="698">
        <f>'DUoS (t)'!M25</f>
        <v>0.11</v>
      </c>
      <c r="AM16" s="698">
        <f>'DUoS (t)'!N25</f>
        <v>4.3999999999999997E-2</v>
      </c>
      <c r="AN16" s="700">
        <f>'DUoS (t)'!O25</f>
        <v>2.1999999999999999E-2</v>
      </c>
      <c r="AP16" s="771" t="s">
        <v>540</v>
      </c>
      <c r="AQ16" s="772" t="str">
        <f>AP16</f>
        <v>RPRO/RPROCL</v>
      </c>
      <c r="AR16" s="783" t="s">
        <v>54</v>
      </c>
      <c r="AS16" s="691">
        <f>'TUoS (t)'!G24</f>
        <v>0</v>
      </c>
      <c r="AT16" s="773"/>
      <c r="AU16" s="698">
        <f>'TUoS (t)'!I24</f>
        <v>2.6700000000000002E-2</v>
      </c>
      <c r="AV16" s="698">
        <f>'TUoS (t)'!J24</f>
        <v>1.0699999999999999E-2</v>
      </c>
      <c r="AW16" s="699">
        <f>'TUoS (t)'!K24</f>
        <v>5.4000000000000003E-3</v>
      </c>
      <c r="AX16" s="773"/>
      <c r="AY16" s="691"/>
      <c r="AZ16" s="697"/>
      <c r="BA16" s="698"/>
      <c r="BB16" s="699"/>
      <c r="BC16" s="697">
        <f>'TUoS (t)'!U24</f>
        <v>0.19839999999999999</v>
      </c>
      <c r="BD16" s="698"/>
      <c r="BE16" s="697"/>
      <c r="BF16" s="698">
        <f>'TUoS (t)'!M25</f>
        <v>4.4600000000000001E-2</v>
      </c>
      <c r="BG16" s="698">
        <f>'TUoS (t)'!N25</f>
        <v>1.7899999999999999E-2</v>
      </c>
      <c r="BH16" s="700">
        <f>'TUoS (t)'!O25</f>
        <v>8.8999999999999999E-3</v>
      </c>
      <c r="BJ16" s="771" t="s">
        <v>540</v>
      </c>
      <c r="BK16" s="772" t="str">
        <f>BJ16</f>
        <v>RPRO/RPROCL</v>
      </c>
      <c r="BL16" s="783" t="s">
        <v>54</v>
      </c>
      <c r="BM16" s="691">
        <f>'JSO (t)'!G24</f>
        <v>4.1099999999999998E-2</v>
      </c>
      <c r="BN16" s="773"/>
      <c r="BO16" s="698">
        <f>'JSO (t)'!I24</f>
        <v>8.3000000000000001E-3</v>
      </c>
      <c r="BP16" s="698">
        <f>'JSO (t)'!J24</f>
        <v>3.3E-3</v>
      </c>
      <c r="BQ16" s="699">
        <f>'JSO (t)'!K24</f>
        <v>1.6000000000000001E-3</v>
      </c>
      <c r="BR16" s="773"/>
      <c r="BS16" s="691"/>
      <c r="BT16" s="697"/>
      <c r="BU16" s="698"/>
      <c r="BV16" s="699"/>
      <c r="BW16" s="697">
        <f>'JSO (t)'!U24</f>
        <v>6.1400000000000003E-2</v>
      </c>
      <c r="BX16" s="698"/>
      <c r="BY16" s="697"/>
      <c r="BZ16" s="698">
        <f>'JSO (t)'!M25</f>
        <v>1.3899999999999999E-2</v>
      </c>
      <c r="CA16" s="698">
        <f>'JSO (t)'!N25</f>
        <v>5.5999999999999999E-3</v>
      </c>
      <c r="CB16" s="700">
        <f>'JSO (t)'!O25</f>
        <v>2.8E-3</v>
      </c>
    </row>
    <row r="17" spans="1:80" ht="15" customHeight="1" thickBot="1" x14ac:dyDescent="0.25">
      <c r="A17" s="108"/>
      <c r="B17" s="654" t="s">
        <v>703</v>
      </c>
      <c r="C17" s="655" t="str">
        <f>B17</f>
        <v>RTOU+/RTOU+CL</v>
      </c>
      <c r="D17" s="656" t="s">
        <v>701</v>
      </c>
      <c r="E17" s="708">
        <f>'NUoS (t)'!G26</f>
        <v>0.49319999999999997</v>
      </c>
      <c r="F17" s="708"/>
      <c r="G17" s="709">
        <f>'NUoS (t)'!I26</f>
        <v>0.43069999999999997</v>
      </c>
      <c r="H17" s="709">
        <f>'NUoS (t)'!J26</f>
        <v>0.11169999999999999</v>
      </c>
      <c r="I17" s="710">
        <f>'NUoS (t)'!K26</f>
        <v>2.01E-2</v>
      </c>
      <c r="J17" s="708"/>
      <c r="K17" s="793"/>
      <c r="L17" s="711"/>
      <c r="M17" s="709"/>
      <c r="N17" s="710"/>
      <c r="O17" s="711"/>
      <c r="P17" s="709"/>
      <c r="Q17" s="711"/>
      <c r="R17" s="709">
        <f>'NUoS (t)'!M27</f>
        <v>0.16850000000000001</v>
      </c>
      <c r="S17" s="709">
        <f>'NUoS (t)'!N27</f>
        <v>6.7499999999999991E-2</v>
      </c>
      <c r="T17" s="712">
        <f>'NUoS (t)'!O27</f>
        <v>3.3699999999999994E-2</v>
      </c>
      <c r="V17" s="654" t="s">
        <v>703</v>
      </c>
      <c r="W17" s="655" t="str">
        <f>V17</f>
        <v>RTOU+/RTOU+CL</v>
      </c>
      <c r="X17" s="656" t="s">
        <v>701</v>
      </c>
      <c r="Y17" s="708">
        <f>'DUoS (t)'!G26</f>
        <v>0.4521</v>
      </c>
      <c r="Z17" s="708"/>
      <c r="AA17" s="709">
        <f>'DUoS (t)'!I26</f>
        <v>0.28129999999999999</v>
      </c>
      <c r="AB17" s="709">
        <f>'DUoS (t)'!J26</f>
        <v>7.2999999999999995E-2</v>
      </c>
      <c r="AC17" s="710">
        <f>'DUoS (t)'!K26</f>
        <v>1.32E-2</v>
      </c>
      <c r="AD17" s="708"/>
      <c r="AE17" s="793"/>
      <c r="AF17" s="711"/>
      <c r="AG17" s="709"/>
      <c r="AH17" s="710"/>
      <c r="AI17" s="711"/>
      <c r="AJ17" s="709"/>
      <c r="AK17" s="711"/>
      <c r="AL17" s="709">
        <f>'DUoS (t)'!M27</f>
        <v>0.11</v>
      </c>
      <c r="AM17" s="709">
        <f>'DUoS (t)'!N27</f>
        <v>4.3999999999999997E-2</v>
      </c>
      <c r="AN17" s="712">
        <f>'DUoS (t)'!O27</f>
        <v>2.1999999999999999E-2</v>
      </c>
      <c r="AP17" s="654" t="s">
        <v>703</v>
      </c>
      <c r="AQ17" s="655" t="str">
        <f>AP17</f>
        <v>RTOU+/RTOU+CL</v>
      </c>
      <c r="AR17" s="656" t="s">
        <v>701</v>
      </c>
      <c r="AS17" s="708">
        <f>'TUoS (t)'!G26</f>
        <v>0</v>
      </c>
      <c r="AT17" s="708"/>
      <c r="AU17" s="709">
        <f>'TUoS (t)'!I26</f>
        <v>0.1139</v>
      </c>
      <c r="AV17" s="709">
        <f>'TUoS (t)'!J26</f>
        <v>2.9499999999999998E-2</v>
      </c>
      <c r="AW17" s="710">
        <f>'TUoS (t)'!K26</f>
        <v>5.3E-3</v>
      </c>
      <c r="AX17" s="708"/>
      <c r="AY17" s="793"/>
      <c r="AZ17" s="711"/>
      <c r="BA17" s="709"/>
      <c r="BB17" s="710"/>
      <c r="BC17" s="711"/>
      <c r="BD17" s="709"/>
      <c r="BE17" s="711"/>
      <c r="BF17" s="709">
        <f>'TUoS (t)'!M27</f>
        <v>4.4600000000000001E-2</v>
      </c>
      <c r="BG17" s="709">
        <f>'TUoS (t)'!N27</f>
        <v>1.7899999999999999E-2</v>
      </c>
      <c r="BH17" s="712">
        <f>'TUoS (t)'!O27</f>
        <v>8.8999999999999999E-3</v>
      </c>
      <c r="BJ17" s="654" t="s">
        <v>703</v>
      </c>
      <c r="BK17" s="655" t="str">
        <f>BJ17</f>
        <v>RTOU+/RTOU+CL</v>
      </c>
      <c r="BL17" s="656" t="s">
        <v>701</v>
      </c>
      <c r="BM17" s="708">
        <f>'JSO (t)'!G26</f>
        <v>4.1099999999999998E-2</v>
      </c>
      <c r="BN17" s="708"/>
      <c r="BO17" s="709">
        <f>'JSO (t)'!I26</f>
        <v>3.5499999999999997E-2</v>
      </c>
      <c r="BP17" s="709">
        <f>'JSO (t)'!J26</f>
        <v>9.1999999999999998E-3</v>
      </c>
      <c r="BQ17" s="710">
        <f>'JSO (t)'!K26</f>
        <v>1.6000000000000001E-3</v>
      </c>
      <c r="BR17" s="708"/>
      <c r="BS17" s="793"/>
      <c r="BT17" s="711"/>
      <c r="BU17" s="709"/>
      <c r="BV17" s="710"/>
      <c r="BW17" s="711"/>
      <c r="BX17" s="709"/>
      <c r="BY17" s="711"/>
      <c r="BZ17" s="709">
        <f>'JSO (t)'!M27</f>
        <v>1.3899999999999999E-2</v>
      </c>
      <c r="CA17" s="709">
        <f>'JSO (t)'!N27</f>
        <v>5.5999999999999999E-3</v>
      </c>
      <c r="CB17" s="712">
        <f>'JSO (t)'!O27</f>
        <v>2.8E-3</v>
      </c>
    </row>
    <row r="18" spans="1:80" ht="15" customHeight="1" x14ac:dyDescent="0.2">
      <c r="B18" s="645" t="s">
        <v>58</v>
      </c>
      <c r="C18" s="886"/>
      <c r="D18" s="13"/>
      <c r="E18" s="690"/>
      <c r="F18" s="678"/>
      <c r="G18" s="679"/>
      <c r="H18" s="679"/>
      <c r="I18" s="682"/>
      <c r="J18" s="678"/>
      <c r="K18" s="679"/>
      <c r="L18" s="678"/>
      <c r="M18" s="679"/>
      <c r="N18" s="682"/>
      <c r="O18" s="679"/>
      <c r="P18" s="679"/>
      <c r="Q18" s="773"/>
      <c r="R18" s="691"/>
      <c r="S18" s="691"/>
      <c r="T18" s="784"/>
      <c r="V18" s="645" t="s">
        <v>58</v>
      </c>
      <c r="W18" s="886"/>
      <c r="X18" s="13"/>
      <c r="Y18" s="690"/>
      <c r="Z18" s="678"/>
      <c r="AA18" s="679"/>
      <c r="AB18" s="679"/>
      <c r="AC18" s="682"/>
      <c r="AD18" s="678"/>
      <c r="AE18" s="679"/>
      <c r="AF18" s="678"/>
      <c r="AG18" s="679"/>
      <c r="AH18" s="682"/>
      <c r="AI18" s="679"/>
      <c r="AJ18" s="679"/>
      <c r="AK18" s="773"/>
      <c r="AL18" s="691"/>
      <c r="AM18" s="691"/>
      <c r="AN18" s="784"/>
      <c r="AP18" s="645" t="s">
        <v>58</v>
      </c>
      <c r="AQ18" s="886"/>
      <c r="AR18" s="13"/>
      <c r="AS18" s="690"/>
      <c r="AT18" s="678"/>
      <c r="AU18" s="679"/>
      <c r="AV18" s="679"/>
      <c r="AW18" s="682"/>
      <c r="AX18" s="678"/>
      <c r="AY18" s="679"/>
      <c r="AZ18" s="678"/>
      <c r="BA18" s="679"/>
      <c r="BB18" s="682"/>
      <c r="BC18" s="679"/>
      <c r="BD18" s="679"/>
      <c r="BE18" s="773"/>
      <c r="BF18" s="691"/>
      <c r="BG18" s="691"/>
      <c r="BH18" s="784"/>
      <c r="BJ18" s="645" t="s">
        <v>58</v>
      </c>
      <c r="BK18" s="886"/>
      <c r="BL18" s="13"/>
      <c r="BM18" s="690"/>
      <c r="BN18" s="678"/>
      <c r="BO18" s="679"/>
      <c r="BP18" s="679"/>
      <c r="BQ18" s="682"/>
      <c r="BR18" s="678"/>
      <c r="BS18" s="679"/>
      <c r="BT18" s="678"/>
      <c r="BU18" s="679"/>
      <c r="BV18" s="682"/>
      <c r="BW18" s="679"/>
      <c r="BX18" s="679"/>
      <c r="BY18" s="773"/>
      <c r="BZ18" s="691"/>
      <c r="CA18" s="691"/>
      <c r="CB18" s="784"/>
    </row>
    <row r="19" spans="1:80" ht="15" customHeight="1" x14ac:dyDescent="0.2">
      <c r="B19" s="646" t="s">
        <v>59</v>
      </c>
      <c r="C19" s="37"/>
      <c r="D19" s="10"/>
      <c r="E19" s="667"/>
      <c r="F19" s="670"/>
      <c r="G19" s="671"/>
      <c r="H19" s="671"/>
      <c r="I19" s="672"/>
      <c r="J19" s="670"/>
      <c r="K19" s="671"/>
      <c r="L19" s="764"/>
      <c r="M19" s="765"/>
      <c r="N19" s="766"/>
      <c r="O19" s="765"/>
      <c r="P19" s="765"/>
      <c r="Q19" s="773"/>
      <c r="R19" s="691"/>
      <c r="S19" s="691"/>
      <c r="T19" s="784"/>
      <c r="V19" s="646" t="s">
        <v>59</v>
      </c>
      <c r="W19" s="37"/>
      <c r="X19" s="10"/>
      <c r="Y19" s="667"/>
      <c r="Z19" s="764"/>
      <c r="AA19" s="765"/>
      <c r="AB19" s="765"/>
      <c r="AC19" s="766"/>
      <c r="AD19" s="764"/>
      <c r="AE19" s="765"/>
      <c r="AF19" s="764"/>
      <c r="AG19" s="765"/>
      <c r="AH19" s="766"/>
      <c r="AI19" s="765"/>
      <c r="AJ19" s="765"/>
      <c r="AK19" s="773"/>
      <c r="AL19" s="691"/>
      <c r="AM19" s="691"/>
      <c r="AN19" s="784"/>
      <c r="AP19" s="646" t="s">
        <v>59</v>
      </c>
      <c r="AQ19" s="37"/>
      <c r="AR19" s="10"/>
      <c r="AS19" s="667"/>
      <c r="AT19" s="764"/>
      <c r="AU19" s="765"/>
      <c r="AV19" s="765"/>
      <c r="AW19" s="766"/>
      <c r="AX19" s="764"/>
      <c r="AY19" s="765"/>
      <c r="AZ19" s="764"/>
      <c r="BA19" s="765"/>
      <c r="BB19" s="766"/>
      <c r="BC19" s="765"/>
      <c r="BD19" s="765"/>
      <c r="BE19" s="773"/>
      <c r="BF19" s="691"/>
      <c r="BG19" s="691"/>
      <c r="BH19" s="784"/>
      <c r="BJ19" s="646" t="s">
        <v>59</v>
      </c>
      <c r="BK19" s="37"/>
      <c r="BL19" s="10"/>
      <c r="BM19" s="667"/>
      <c r="BN19" s="764"/>
      <c r="BO19" s="765"/>
      <c r="BP19" s="765"/>
      <c r="BQ19" s="766"/>
      <c r="BR19" s="764"/>
      <c r="BS19" s="765"/>
      <c r="BT19" s="764"/>
      <c r="BU19" s="765"/>
      <c r="BV19" s="766"/>
      <c r="BW19" s="765"/>
      <c r="BX19" s="765"/>
      <c r="BY19" s="773"/>
      <c r="BZ19" s="691"/>
      <c r="CA19" s="691"/>
      <c r="CB19" s="784"/>
    </row>
    <row r="20" spans="1:80" ht="15" customHeight="1" x14ac:dyDescent="0.2">
      <c r="B20" s="650" t="s">
        <v>60</v>
      </c>
      <c r="C20" s="651" t="str">
        <f>B20</f>
        <v>LVUU</v>
      </c>
      <c r="D20" s="652" t="s">
        <v>61</v>
      </c>
      <c r="E20" s="684">
        <f>'NUoS (t)'!G30</f>
        <v>0</v>
      </c>
      <c r="F20" s="685">
        <f>'NUoS (t)'!H30</f>
        <v>9.8999999999999991E-2</v>
      </c>
      <c r="G20" s="693"/>
      <c r="H20" s="693"/>
      <c r="I20" s="694"/>
      <c r="J20" s="695"/>
      <c r="K20" s="693"/>
      <c r="L20" s="695"/>
      <c r="M20" s="693"/>
      <c r="N20" s="694"/>
      <c r="O20" s="693"/>
      <c r="P20" s="693"/>
      <c r="Q20" s="695"/>
      <c r="R20" s="693"/>
      <c r="S20" s="693"/>
      <c r="T20" s="696"/>
      <c r="V20" s="650" t="s">
        <v>60</v>
      </c>
      <c r="W20" s="651" t="str">
        <f>V20</f>
        <v>LVUU</v>
      </c>
      <c r="X20" s="652" t="s">
        <v>61</v>
      </c>
      <c r="Y20" s="684">
        <f>'DUoS (t)'!G30</f>
        <v>0</v>
      </c>
      <c r="Z20" s="685">
        <f>'DUoS (t)'!H30</f>
        <v>6.6400000000000001E-2</v>
      </c>
      <c r="AA20" s="693"/>
      <c r="AB20" s="693"/>
      <c r="AC20" s="694"/>
      <c r="AD20" s="695"/>
      <c r="AE20" s="693"/>
      <c r="AF20" s="695"/>
      <c r="AG20" s="693"/>
      <c r="AH20" s="694"/>
      <c r="AI20" s="693"/>
      <c r="AJ20" s="693"/>
      <c r="AK20" s="695"/>
      <c r="AL20" s="693"/>
      <c r="AM20" s="693"/>
      <c r="AN20" s="696"/>
      <c r="AP20" s="650" t="s">
        <v>60</v>
      </c>
      <c r="AQ20" s="651" t="str">
        <f>AP20</f>
        <v>LVUU</v>
      </c>
      <c r="AR20" s="652" t="s">
        <v>61</v>
      </c>
      <c r="AS20" s="684">
        <f>'TUoS (t)'!G30</f>
        <v>0</v>
      </c>
      <c r="AT20" s="685">
        <f>'TUoS (t)'!H30</f>
        <v>2.75E-2</v>
      </c>
      <c r="AU20" s="693"/>
      <c r="AV20" s="693"/>
      <c r="AW20" s="694"/>
      <c r="AX20" s="695"/>
      <c r="AY20" s="693"/>
      <c r="AZ20" s="695"/>
      <c r="BA20" s="693"/>
      <c r="BB20" s="694"/>
      <c r="BC20" s="693"/>
      <c r="BD20" s="693"/>
      <c r="BE20" s="695"/>
      <c r="BF20" s="693"/>
      <c r="BG20" s="693"/>
      <c r="BH20" s="696"/>
      <c r="BJ20" s="650" t="s">
        <v>60</v>
      </c>
      <c r="BK20" s="651" t="str">
        <f>BJ20</f>
        <v>LVUU</v>
      </c>
      <c r="BL20" s="652" t="s">
        <v>61</v>
      </c>
      <c r="BM20" s="684">
        <f>'JSO (t)'!G30</f>
        <v>0</v>
      </c>
      <c r="BN20" s="685">
        <f>'JSO (t)'!H30</f>
        <v>5.0999999999999995E-3</v>
      </c>
      <c r="BO20" s="693"/>
      <c r="BP20" s="693"/>
      <c r="BQ20" s="694"/>
      <c r="BR20" s="695"/>
      <c r="BS20" s="693"/>
      <c r="BT20" s="695"/>
      <c r="BU20" s="693"/>
      <c r="BV20" s="694"/>
      <c r="BW20" s="693"/>
      <c r="BX20" s="693"/>
      <c r="BY20" s="695"/>
      <c r="BZ20" s="693"/>
      <c r="CA20" s="693"/>
      <c r="CB20" s="696"/>
    </row>
    <row r="21" spans="1:80" ht="15" customHeight="1" x14ac:dyDescent="0.2">
      <c r="B21" s="650" t="s">
        <v>62</v>
      </c>
      <c r="C21" s="651" t="str">
        <f>B21</f>
        <v>LVUU24</v>
      </c>
      <c r="D21" s="652" t="s">
        <v>63</v>
      </c>
      <c r="E21" s="684">
        <f>'NUoS (t)'!G31</f>
        <v>0</v>
      </c>
      <c r="F21" s="685">
        <f>'NUoS (t)'!H31</f>
        <v>9.8999999999999991E-2</v>
      </c>
      <c r="G21" s="693"/>
      <c r="H21" s="693"/>
      <c r="I21" s="694"/>
      <c r="J21" s="695"/>
      <c r="K21" s="693"/>
      <c r="L21" s="695"/>
      <c r="M21" s="693"/>
      <c r="N21" s="694"/>
      <c r="O21" s="693"/>
      <c r="P21" s="693"/>
      <c r="Q21" s="695"/>
      <c r="R21" s="693"/>
      <c r="S21" s="693"/>
      <c r="T21" s="696"/>
      <c r="V21" s="650" t="s">
        <v>62</v>
      </c>
      <c r="W21" s="651" t="str">
        <f>V21</f>
        <v>LVUU24</v>
      </c>
      <c r="X21" s="652" t="s">
        <v>63</v>
      </c>
      <c r="Y21" s="684">
        <f>'DUoS (t)'!G31</f>
        <v>0</v>
      </c>
      <c r="Z21" s="685">
        <f>'DUoS (t)'!H31</f>
        <v>6.6400000000000001E-2</v>
      </c>
      <c r="AA21" s="693"/>
      <c r="AB21" s="693"/>
      <c r="AC21" s="694"/>
      <c r="AD21" s="695"/>
      <c r="AE21" s="693"/>
      <c r="AF21" s="695"/>
      <c r="AG21" s="693"/>
      <c r="AH21" s="694"/>
      <c r="AI21" s="693"/>
      <c r="AJ21" s="693"/>
      <c r="AK21" s="695"/>
      <c r="AL21" s="693"/>
      <c r="AM21" s="693"/>
      <c r="AN21" s="696"/>
      <c r="AP21" s="650" t="s">
        <v>62</v>
      </c>
      <c r="AQ21" s="651" t="str">
        <f>AP21</f>
        <v>LVUU24</v>
      </c>
      <c r="AR21" s="652" t="s">
        <v>63</v>
      </c>
      <c r="AS21" s="684">
        <f>'TUoS (t)'!G31</f>
        <v>0</v>
      </c>
      <c r="AT21" s="685">
        <f>'TUoS (t)'!H31</f>
        <v>2.75E-2</v>
      </c>
      <c r="AU21" s="693"/>
      <c r="AV21" s="693"/>
      <c r="AW21" s="694"/>
      <c r="AX21" s="695"/>
      <c r="AY21" s="693"/>
      <c r="AZ21" s="695"/>
      <c r="BA21" s="693"/>
      <c r="BB21" s="694"/>
      <c r="BC21" s="693"/>
      <c r="BD21" s="693"/>
      <c r="BE21" s="695"/>
      <c r="BF21" s="693"/>
      <c r="BG21" s="693"/>
      <c r="BH21" s="696"/>
      <c r="BJ21" s="650" t="s">
        <v>62</v>
      </c>
      <c r="BK21" s="651" t="str">
        <f>BJ21</f>
        <v>LVUU24</v>
      </c>
      <c r="BL21" s="652" t="s">
        <v>63</v>
      </c>
      <c r="BM21" s="684">
        <f>'JSO (t)'!G31</f>
        <v>0</v>
      </c>
      <c r="BN21" s="685">
        <f>'JSO (t)'!H31</f>
        <v>5.0999999999999995E-3</v>
      </c>
      <c r="BO21" s="693"/>
      <c r="BP21" s="693"/>
      <c r="BQ21" s="694"/>
      <c r="BR21" s="695"/>
      <c r="BS21" s="693"/>
      <c r="BT21" s="695"/>
      <c r="BU21" s="693"/>
      <c r="BV21" s="694"/>
      <c r="BW21" s="693"/>
      <c r="BX21" s="693"/>
      <c r="BY21" s="695"/>
      <c r="BZ21" s="693"/>
      <c r="CA21" s="693"/>
      <c r="CB21" s="696"/>
    </row>
    <row r="22" spans="1:80" ht="15" customHeight="1" x14ac:dyDescent="0.2">
      <c r="B22" s="647" t="s">
        <v>64</v>
      </c>
      <c r="C22" s="85"/>
      <c r="D22" s="85"/>
      <c r="E22" s="667"/>
      <c r="F22" s="697"/>
      <c r="G22" s="698"/>
      <c r="H22" s="698"/>
      <c r="I22" s="699"/>
      <c r="J22" s="697"/>
      <c r="K22" s="698"/>
      <c r="L22" s="697"/>
      <c r="M22" s="698"/>
      <c r="N22" s="699"/>
      <c r="O22" s="698"/>
      <c r="P22" s="698"/>
      <c r="Q22" s="697"/>
      <c r="R22" s="698"/>
      <c r="S22" s="698"/>
      <c r="T22" s="700"/>
      <c r="V22" s="647" t="s">
        <v>64</v>
      </c>
      <c r="W22" s="85"/>
      <c r="X22" s="85"/>
      <c r="Y22" s="667"/>
      <c r="Z22" s="697"/>
      <c r="AA22" s="698"/>
      <c r="AB22" s="698"/>
      <c r="AC22" s="699"/>
      <c r="AD22" s="697"/>
      <c r="AE22" s="698"/>
      <c r="AF22" s="697"/>
      <c r="AG22" s="698"/>
      <c r="AH22" s="699"/>
      <c r="AI22" s="698"/>
      <c r="AJ22" s="698"/>
      <c r="AK22" s="697"/>
      <c r="AL22" s="698"/>
      <c r="AM22" s="698"/>
      <c r="AN22" s="700"/>
      <c r="AP22" s="647" t="s">
        <v>64</v>
      </c>
      <c r="AQ22" s="85"/>
      <c r="AR22" s="85"/>
      <c r="AS22" s="667"/>
      <c r="AT22" s="697"/>
      <c r="AU22" s="698"/>
      <c r="AV22" s="698"/>
      <c r="AW22" s="699"/>
      <c r="AX22" s="697"/>
      <c r="AY22" s="698"/>
      <c r="AZ22" s="697"/>
      <c r="BA22" s="698"/>
      <c r="BB22" s="699"/>
      <c r="BC22" s="698"/>
      <c r="BD22" s="698"/>
      <c r="BE22" s="697"/>
      <c r="BF22" s="698"/>
      <c r="BG22" s="698"/>
      <c r="BH22" s="700"/>
      <c r="BJ22" s="647" t="s">
        <v>64</v>
      </c>
      <c r="BK22" s="85"/>
      <c r="BL22" s="85"/>
      <c r="BM22" s="667"/>
      <c r="BN22" s="697"/>
      <c r="BO22" s="698"/>
      <c r="BP22" s="698"/>
      <c r="BQ22" s="699"/>
      <c r="BR22" s="697"/>
      <c r="BS22" s="698"/>
      <c r="BT22" s="697"/>
      <c r="BU22" s="698"/>
      <c r="BV22" s="699"/>
      <c r="BW22" s="698"/>
      <c r="BX22" s="698"/>
      <c r="BY22" s="697"/>
      <c r="BZ22" s="698"/>
      <c r="CA22" s="698"/>
      <c r="CB22" s="700"/>
    </row>
    <row r="23" spans="1:80" ht="15" customHeight="1" x14ac:dyDescent="0.2">
      <c r="B23" s="650" t="s">
        <v>675</v>
      </c>
      <c r="C23" s="651" t="str">
        <f>B23</f>
        <v>BSR/BSROPCL</v>
      </c>
      <c r="D23" s="652" t="s">
        <v>66</v>
      </c>
      <c r="E23" s="684">
        <f>'NUoS (t)'!G33</f>
        <v>0.56159999999999999</v>
      </c>
      <c r="F23" s="685">
        <f>'NUoS (t)'!H33</f>
        <v>0.15010000000000001</v>
      </c>
      <c r="G23" s="684"/>
      <c r="H23" s="684"/>
      <c r="I23" s="686"/>
      <c r="J23" s="695"/>
      <c r="K23" s="693"/>
      <c r="L23" s="695"/>
      <c r="M23" s="693"/>
      <c r="N23" s="694"/>
      <c r="O23" s="693"/>
      <c r="P23" s="693"/>
      <c r="Q23" s="685">
        <f>'NUoS (t)'!L34</f>
        <v>6.7499999999999991E-2</v>
      </c>
      <c r="R23" s="693"/>
      <c r="S23" s="693"/>
      <c r="T23" s="696"/>
      <c r="V23" s="650" t="s">
        <v>675</v>
      </c>
      <c r="W23" s="651" t="str">
        <f>V23</f>
        <v>BSR/BSROPCL</v>
      </c>
      <c r="X23" s="652" t="s">
        <v>66</v>
      </c>
      <c r="Y23" s="684">
        <f>'DUoS (t)'!G33</f>
        <v>0.52049999999999996</v>
      </c>
      <c r="Z23" s="685">
        <f>'DUoS (t)'!H33</f>
        <v>0.1016</v>
      </c>
      <c r="AA23" s="684"/>
      <c r="AB23" s="684"/>
      <c r="AC23" s="686"/>
      <c r="AD23" s="695"/>
      <c r="AE23" s="693"/>
      <c r="AF23" s="695"/>
      <c r="AG23" s="693"/>
      <c r="AH23" s="694"/>
      <c r="AI23" s="693"/>
      <c r="AJ23" s="693"/>
      <c r="AK23" s="685">
        <f>'DUoS (t)'!L34</f>
        <v>4.3999999999999997E-2</v>
      </c>
      <c r="AL23" s="693"/>
      <c r="AM23" s="693"/>
      <c r="AN23" s="696"/>
      <c r="AP23" s="650" t="s">
        <v>675</v>
      </c>
      <c r="AQ23" s="651" t="str">
        <f>AP23</f>
        <v>BSR/BSROPCL</v>
      </c>
      <c r="AR23" s="652" t="s">
        <v>66</v>
      </c>
      <c r="AS23" s="684">
        <f>'TUoS (t)'!G33</f>
        <v>0</v>
      </c>
      <c r="AT23" s="685">
        <f>'TUoS (t)'!H33</f>
        <v>0.04</v>
      </c>
      <c r="AU23" s="684"/>
      <c r="AV23" s="684"/>
      <c r="AW23" s="686"/>
      <c r="AX23" s="695"/>
      <c r="AY23" s="693"/>
      <c r="AZ23" s="695"/>
      <c r="BA23" s="693"/>
      <c r="BB23" s="694"/>
      <c r="BC23" s="693"/>
      <c r="BD23" s="693"/>
      <c r="BE23" s="685">
        <f>'TUoS (t)'!L34</f>
        <v>1.7899999999999999E-2</v>
      </c>
      <c r="BF23" s="693"/>
      <c r="BG23" s="693"/>
      <c r="BH23" s="696"/>
      <c r="BJ23" s="650" t="s">
        <v>675</v>
      </c>
      <c r="BK23" s="651" t="str">
        <f>BJ23</f>
        <v>BSR/BSROPCL</v>
      </c>
      <c r="BL23" s="652" t="s">
        <v>66</v>
      </c>
      <c r="BM23" s="684">
        <f>'JSO (t)'!G33</f>
        <v>4.1099999999999998E-2</v>
      </c>
      <c r="BN23" s="685">
        <f>'JSO (t)'!H33</f>
        <v>8.5000000000000006E-3</v>
      </c>
      <c r="BO23" s="684"/>
      <c r="BP23" s="684"/>
      <c r="BQ23" s="686"/>
      <c r="BR23" s="695"/>
      <c r="BS23" s="693"/>
      <c r="BT23" s="695"/>
      <c r="BU23" s="693"/>
      <c r="BV23" s="694"/>
      <c r="BW23" s="693"/>
      <c r="BX23" s="693"/>
      <c r="BY23" s="685">
        <f>'JSO (t)'!L34</f>
        <v>5.5999999999999999E-3</v>
      </c>
      <c r="BZ23" s="693"/>
      <c r="CA23" s="693"/>
      <c r="CB23" s="696"/>
    </row>
    <row r="24" spans="1:80" ht="15" customHeight="1" x14ac:dyDescent="0.2">
      <c r="B24" s="650" t="s">
        <v>676</v>
      </c>
      <c r="C24" s="651" t="str">
        <f>B24</f>
        <v>B2R/B2ROPCL</v>
      </c>
      <c r="D24" s="652" t="s">
        <v>70</v>
      </c>
      <c r="E24" s="684">
        <f>'NUoS (t)'!G35</f>
        <v>0.56159999999999999</v>
      </c>
      <c r="F24" s="685"/>
      <c r="G24" s="684">
        <f>'NUoS (t)'!I35</f>
        <v>0.16930000000000001</v>
      </c>
      <c r="H24" s="684"/>
      <c r="I24" s="686">
        <f>'NUoS (t)'!K35</f>
        <v>8.4599999999999995E-2</v>
      </c>
      <c r="J24" s="695"/>
      <c r="K24" s="693"/>
      <c r="L24" s="695"/>
      <c r="M24" s="693"/>
      <c r="N24" s="694"/>
      <c r="O24" s="693"/>
      <c r="P24" s="693"/>
      <c r="Q24" s="685">
        <f>'NUoS (t)'!L36</f>
        <v>6.7499999999999991E-2</v>
      </c>
      <c r="R24" s="693"/>
      <c r="S24" s="693"/>
      <c r="T24" s="696"/>
      <c r="V24" s="650" t="s">
        <v>676</v>
      </c>
      <c r="W24" s="651" t="str">
        <f>V24</f>
        <v>B2R/B2ROPCL</v>
      </c>
      <c r="X24" s="652" t="s">
        <v>70</v>
      </c>
      <c r="Y24" s="684">
        <f>'DUoS (t)'!G35</f>
        <v>0.52049999999999996</v>
      </c>
      <c r="Z24" s="685"/>
      <c r="AA24" s="684">
        <f>'DUoS (t)'!I35</f>
        <v>0.11459999999999999</v>
      </c>
      <c r="AB24" s="684"/>
      <c r="AC24" s="686">
        <f>'DUoS (t)'!K35</f>
        <v>5.7299999999999997E-2</v>
      </c>
      <c r="AD24" s="695"/>
      <c r="AE24" s="693"/>
      <c r="AF24" s="695"/>
      <c r="AG24" s="693"/>
      <c r="AH24" s="694"/>
      <c r="AI24" s="693"/>
      <c r="AJ24" s="693"/>
      <c r="AK24" s="685">
        <f>'DUoS (t)'!L36</f>
        <v>4.3999999999999997E-2</v>
      </c>
      <c r="AL24" s="693"/>
      <c r="AM24" s="693"/>
      <c r="AN24" s="696"/>
      <c r="AP24" s="650" t="s">
        <v>676</v>
      </c>
      <c r="AQ24" s="651" t="str">
        <f>AP24</f>
        <v>B2R/B2ROPCL</v>
      </c>
      <c r="AR24" s="652" t="s">
        <v>70</v>
      </c>
      <c r="AS24" s="684">
        <f>'TUoS (t)'!G35</f>
        <v>0</v>
      </c>
      <c r="AT24" s="685"/>
      <c r="AU24" s="684">
        <f>'TUoS (t)'!I35</f>
        <v>4.5100000000000001E-2</v>
      </c>
      <c r="AV24" s="684"/>
      <c r="AW24" s="686">
        <f>'TUoS (t)'!K35</f>
        <v>2.2599999999999999E-2</v>
      </c>
      <c r="AX24" s="695"/>
      <c r="AY24" s="693"/>
      <c r="AZ24" s="695"/>
      <c r="BA24" s="693"/>
      <c r="BB24" s="694"/>
      <c r="BC24" s="693"/>
      <c r="BD24" s="693"/>
      <c r="BE24" s="685">
        <f>'TUoS (t)'!L36</f>
        <v>1.7899999999999999E-2</v>
      </c>
      <c r="BF24" s="693"/>
      <c r="BG24" s="693"/>
      <c r="BH24" s="696"/>
      <c r="BJ24" s="650" t="s">
        <v>676</v>
      </c>
      <c r="BK24" s="651" t="str">
        <f>BJ24</f>
        <v>B2R/B2ROPCL</v>
      </c>
      <c r="BL24" s="652" t="s">
        <v>70</v>
      </c>
      <c r="BM24" s="684">
        <f>'JSO (t)'!G35</f>
        <v>4.1099999999999998E-2</v>
      </c>
      <c r="BN24" s="685"/>
      <c r="BO24" s="684">
        <f>'JSO (t)'!I35</f>
        <v>9.5999999999999992E-3</v>
      </c>
      <c r="BP24" s="684"/>
      <c r="BQ24" s="686">
        <f>'JSO (t)'!K35</f>
        <v>4.7000000000000002E-3</v>
      </c>
      <c r="BR24" s="695"/>
      <c r="BS24" s="693"/>
      <c r="BT24" s="695"/>
      <c r="BU24" s="693"/>
      <c r="BV24" s="694"/>
      <c r="BW24" s="693"/>
      <c r="BX24" s="693"/>
      <c r="BY24" s="685">
        <f>'JSO (t)'!L36</f>
        <v>5.5999999999999999E-3</v>
      </c>
      <c r="BZ24" s="693"/>
      <c r="CA24" s="693"/>
      <c r="CB24" s="696"/>
    </row>
    <row r="25" spans="1:80" ht="15" customHeight="1" x14ac:dyDescent="0.2">
      <c r="B25" s="771" t="s">
        <v>677</v>
      </c>
      <c r="C25" s="772" t="str">
        <f>B25</f>
        <v>M/QOPCL</v>
      </c>
      <c r="D25" s="107" t="s">
        <v>74</v>
      </c>
      <c r="E25" s="691">
        <f>'NUoS (t)'!G37</f>
        <v>0</v>
      </c>
      <c r="F25" s="773"/>
      <c r="G25" s="691"/>
      <c r="H25" s="691"/>
      <c r="I25" s="692"/>
      <c r="J25" s="697"/>
      <c r="K25" s="698"/>
      <c r="L25" s="697"/>
      <c r="M25" s="698"/>
      <c r="N25" s="699"/>
      <c r="O25" s="698"/>
      <c r="P25" s="698"/>
      <c r="Q25" s="773">
        <f>'NUoS (t)'!L37</f>
        <v>6.7499999999999991E-2</v>
      </c>
      <c r="R25" s="698"/>
      <c r="S25" s="698"/>
      <c r="T25" s="700"/>
      <c r="V25" s="771" t="s">
        <v>677</v>
      </c>
      <c r="W25" s="772" t="str">
        <f>V25</f>
        <v>M/QOPCL</v>
      </c>
      <c r="X25" s="107" t="s">
        <v>74</v>
      </c>
      <c r="Y25" s="691">
        <f>'DUoS (t)'!G37</f>
        <v>0</v>
      </c>
      <c r="Z25" s="773"/>
      <c r="AA25" s="691"/>
      <c r="AB25" s="691"/>
      <c r="AC25" s="692"/>
      <c r="AD25" s="697"/>
      <c r="AE25" s="698"/>
      <c r="AF25" s="697"/>
      <c r="AG25" s="698"/>
      <c r="AH25" s="699"/>
      <c r="AI25" s="698"/>
      <c r="AJ25" s="698"/>
      <c r="AK25" s="773">
        <f>'DUoS (t)'!L37</f>
        <v>4.3999999999999997E-2</v>
      </c>
      <c r="AL25" s="698"/>
      <c r="AM25" s="698"/>
      <c r="AN25" s="700"/>
      <c r="AP25" s="771" t="s">
        <v>677</v>
      </c>
      <c r="AQ25" s="772" t="str">
        <f>AP25</f>
        <v>M/QOPCL</v>
      </c>
      <c r="AR25" s="107" t="s">
        <v>74</v>
      </c>
      <c r="AS25" s="691">
        <f>'TUoS (t)'!G37</f>
        <v>0</v>
      </c>
      <c r="AT25" s="773"/>
      <c r="AU25" s="691"/>
      <c r="AV25" s="691"/>
      <c r="AW25" s="692"/>
      <c r="AX25" s="697"/>
      <c r="AY25" s="698"/>
      <c r="AZ25" s="697"/>
      <c r="BA25" s="698"/>
      <c r="BB25" s="699"/>
      <c r="BC25" s="698"/>
      <c r="BD25" s="698"/>
      <c r="BE25" s="773">
        <f>'TUoS (t)'!L37</f>
        <v>1.7899999999999999E-2</v>
      </c>
      <c r="BF25" s="698"/>
      <c r="BG25" s="698"/>
      <c r="BH25" s="700"/>
      <c r="BJ25" s="771" t="s">
        <v>677</v>
      </c>
      <c r="BK25" s="772" t="str">
        <f>BJ25</f>
        <v>M/QOPCL</v>
      </c>
      <c r="BL25" s="107" t="s">
        <v>74</v>
      </c>
      <c r="BM25" s="691">
        <f>'JSO (t)'!G37</f>
        <v>0</v>
      </c>
      <c r="BN25" s="773"/>
      <c r="BO25" s="691"/>
      <c r="BP25" s="691"/>
      <c r="BQ25" s="692"/>
      <c r="BR25" s="697"/>
      <c r="BS25" s="698"/>
      <c r="BT25" s="697"/>
      <c r="BU25" s="698"/>
      <c r="BV25" s="699"/>
      <c r="BW25" s="698"/>
      <c r="BX25" s="698"/>
      <c r="BY25" s="773">
        <f>'JSO (t)'!L37</f>
        <v>5.5999999999999999E-3</v>
      </c>
      <c r="BZ25" s="698"/>
      <c r="CA25" s="698"/>
      <c r="CB25" s="700"/>
    </row>
    <row r="26" spans="1:80" ht="15" customHeight="1" x14ac:dyDescent="0.2">
      <c r="B26" s="647" t="s">
        <v>75</v>
      </c>
      <c r="C26" s="85"/>
      <c r="D26" s="85"/>
      <c r="E26" s="667"/>
      <c r="F26" s="697"/>
      <c r="G26" s="698"/>
      <c r="H26" s="698"/>
      <c r="I26" s="699"/>
      <c r="J26" s="697"/>
      <c r="K26" s="698"/>
      <c r="L26" s="697"/>
      <c r="M26" s="698"/>
      <c r="N26" s="699"/>
      <c r="O26" s="698"/>
      <c r="P26" s="698"/>
      <c r="Q26" s="697"/>
      <c r="R26" s="698"/>
      <c r="S26" s="698"/>
      <c r="T26" s="700"/>
      <c r="V26" s="647" t="s">
        <v>75</v>
      </c>
      <c r="W26" s="85"/>
      <c r="X26" s="85"/>
      <c r="Y26" s="667"/>
      <c r="Z26" s="697"/>
      <c r="AA26" s="698"/>
      <c r="AB26" s="698"/>
      <c r="AC26" s="699"/>
      <c r="AD26" s="697"/>
      <c r="AE26" s="698"/>
      <c r="AF26" s="697"/>
      <c r="AG26" s="698"/>
      <c r="AH26" s="699"/>
      <c r="AI26" s="698"/>
      <c r="AJ26" s="698"/>
      <c r="AK26" s="697"/>
      <c r="AL26" s="698"/>
      <c r="AM26" s="698"/>
      <c r="AN26" s="700"/>
      <c r="AP26" s="647" t="s">
        <v>75</v>
      </c>
      <c r="AQ26" s="85"/>
      <c r="AR26" s="85"/>
      <c r="AS26" s="667"/>
      <c r="AT26" s="697"/>
      <c r="AU26" s="698"/>
      <c r="AV26" s="698"/>
      <c r="AW26" s="699"/>
      <c r="AX26" s="697"/>
      <c r="AY26" s="698"/>
      <c r="AZ26" s="697"/>
      <c r="BA26" s="698"/>
      <c r="BB26" s="699"/>
      <c r="BC26" s="698"/>
      <c r="BD26" s="698"/>
      <c r="BE26" s="697"/>
      <c r="BF26" s="698"/>
      <c r="BG26" s="698"/>
      <c r="BH26" s="700"/>
      <c r="BJ26" s="647" t="s">
        <v>75</v>
      </c>
      <c r="BK26" s="85"/>
      <c r="BL26" s="85"/>
      <c r="BM26" s="667"/>
      <c r="BN26" s="697"/>
      <c r="BO26" s="698"/>
      <c r="BP26" s="698"/>
      <c r="BQ26" s="699"/>
      <c r="BR26" s="697"/>
      <c r="BS26" s="698"/>
      <c r="BT26" s="697"/>
      <c r="BU26" s="698"/>
      <c r="BV26" s="699"/>
      <c r="BW26" s="698"/>
      <c r="BX26" s="698"/>
      <c r="BY26" s="697"/>
      <c r="BZ26" s="698"/>
      <c r="CA26" s="698"/>
      <c r="CB26" s="700"/>
    </row>
    <row r="27" spans="1:80" ht="15" customHeight="1" x14ac:dyDescent="0.2">
      <c r="B27" s="650" t="s">
        <v>76</v>
      </c>
      <c r="C27" s="651" t="str">
        <f>B27</f>
        <v>SBTOU</v>
      </c>
      <c r="D27" s="652" t="s">
        <v>77</v>
      </c>
      <c r="E27" s="684">
        <f>'NUoS (t)'!G39</f>
        <v>0.56159999999999999</v>
      </c>
      <c r="F27" s="685"/>
      <c r="G27" s="684">
        <f>'NUoS (t)'!I39</f>
        <v>0.22519999999999998</v>
      </c>
      <c r="H27" s="684">
        <f>'NUoS (t)'!J39</f>
        <v>0.15679999999999999</v>
      </c>
      <c r="I27" s="686">
        <f>'NUoS (t)'!K39</f>
        <v>8.4599999999999995E-2</v>
      </c>
      <c r="J27" s="695"/>
      <c r="K27" s="693"/>
      <c r="L27" s="695"/>
      <c r="M27" s="693"/>
      <c r="N27" s="694"/>
      <c r="O27" s="693"/>
      <c r="P27" s="693"/>
      <c r="Q27" s="695"/>
      <c r="R27" s="693"/>
      <c r="S27" s="693"/>
      <c r="T27" s="696"/>
      <c r="V27" s="650" t="s">
        <v>76</v>
      </c>
      <c r="W27" s="651" t="str">
        <f>V27</f>
        <v>SBTOU</v>
      </c>
      <c r="X27" s="652" t="s">
        <v>77</v>
      </c>
      <c r="Y27" s="684">
        <f>'DUoS (t)'!G39</f>
        <v>0.52049999999999996</v>
      </c>
      <c r="Z27" s="685"/>
      <c r="AA27" s="684">
        <f>'DUoS (t)'!I39</f>
        <v>0.1525</v>
      </c>
      <c r="AB27" s="684">
        <f>'DUoS (t)'!J39</f>
        <v>0.1061</v>
      </c>
      <c r="AC27" s="686">
        <f>'DUoS (t)'!K39</f>
        <v>5.7299999999999997E-2</v>
      </c>
      <c r="AD27" s="695"/>
      <c r="AE27" s="693"/>
      <c r="AF27" s="695"/>
      <c r="AG27" s="693"/>
      <c r="AH27" s="694"/>
      <c r="AI27" s="693"/>
      <c r="AJ27" s="693"/>
      <c r="AK27" s="695"/>
      <c r="AL27" s="693"/>
      <c r="AM27" s="693"/>
      <c r="AN27" s="696"/>
      <c r="AP27" s="650" t="s">
        <v>76</v>
      </c>
      <c r="AQ27" s="651" t="str">
        <f>AP27</f>
        <v>SBTOU</v>
      </c>
      <c r="AR27" s="652" t="s">
        <v>77</v>
      </c>
      <c r="AS27" s="684">
        <f>'TUoS (t)'!G39</f>
        <v>0</v>
      </c>
      <c r="AT27" s="685"/>
      <c r="AU27" s="684">
        <f>'TUoS (t)'!I39</f>
        <v>0.06</v>
      </c>
      <c r="AV27" s="684">
        <f>'TUoS (t)'!J39</f>
        <v>4.1799999999999997E-2</v>
      </c>
      <c r="AW27" s="686">
        <f>'TUoS (t)'!K39</f>
        <v>2.2599999999999999E-2</v>
      </c>
      <c r="AX27" s="695"/>
      <c r="AY27" s="693"/>
      <c r="AZ27" s="695"/>
      <c r="BA27" s="693"/>
      <c r="BB27" s="694"/>
      <c r="BC27" s="693"/>
      <c r="BD27" s="693"/>
      <c r="BE27" s="695"/>
      <c r="BF27" s="693"/>
      <c r="BG27" s="693"/>
      <c r="BH27" s="696"/>
      <c r="BJ27" s="650" t="s">
        <v>76</v>
      </c>
      <c r="BK27" s="651" t="str">
        <f>BJ27</f>
        <v>SBTOU</v>
      </c>
      <c r="BL27" s="652" t="s">
        <v>77</v>
      </c>
      <c r="BM27" s="684">
        <f>'JSO (t)'!G39</f>
        <v>4.1099999999999998E-2</v>
      </c>
      <c r="BN27" s="685"/>
      <c r="BO27" s="684">
        <f>'JSO (t)'!I39</f>
        <v>1.2699999999999999E-2</v>
      </c>
      <c r="BP27" s="684">
        <f>'JSO (t)'!J39</f>
        <v>8.8999999999999999E-3</v>
      </c>
      <c r="BQ27" s="686">
        <f>'JSO (t)'!K39</f>
        <v>4.7000000000000002E-3</v>
      </c>
      <c r="BR27" s="695"/>
      <c r="BS27" s="693"/>
      <c r="BT27" s="695"/>
      <c r="BU27" s="693"/>
      <c r="BV27" s="694"/>
      <c r="BW27" s="693"/>
      <c r="BX27" s="693"/>
      <c r="BY27" s="695"/>
      <c r="BZ27" s="693"/>
      <c r="CA27" s="693"/>
      <c r="CB27" s="696"/>
    </row>
    <row r="28" spans="1:80" ht="15" customHeight="1" x14ac:dyDescent="0.2">
      <c r="B28" s="650" t="s">
        <v>78</v>
      </c>
      <c r="C28" s="651" t="str">
        <f>B28</f>
        <v>SBTOUD</v>
      </c>
      <c r="D28" s="652" t="s">
        <v>79</v>
      </c>
      <c r="E28" s="684">
        <f>'NUoS (t)'!G40</f>
        <v>0.56159999999999999</v>
      </c>
      <c r="F28" s="685"/>
      <c r="G28" s="684">
        <f>'NUoS (t)'!I40</f>
        <v>0.18019999999999997</v>
      </c>
      <c r="H28" s="684">
        <f>'NUoS (t)'!J40</f>
        <v>0.12540000000000001</v>
      </c>
      <c r="I28" s="686">
        <f>'NUoS (t)'!K40</f>
        <v>6.7599999999999993E-2</v>
      </c>
      <c r="J28" s="695"/>
      <c r="K28" s="684">
        <f>'NUoS (t)'!T40</f>
        <v>7.9200000000000007E-2</v>
      </c>
      <c r="L28" s="695"/>
      <c r="M28" s="693"/>
      <c r="N28" s="694"/>
      <c r="O28" s="693"/>
      <c r="P28" s="693"/>
      <c r="Q28" s="695"/>
      <c r="R28" s="693"/>
      <c r="S28" s="693"/>
      <c r="T28" s="696"/>
      <c r="V28" s="650" t="s">
        <v>78</v>
      </c>
      <c r="W28" s="651" t="str">
        <f>V28</f>
        <v>SBTOUD</v>
      </c>
      <c r="X28" s="652" t="s">
        <v>79</v>
      </c>
      <c r="Y28" s="684">
        <f>'DUoS (t)'!G40</f>
        <v>0.52049999999999996</v>
      </c>
      <c r="Z28" s="685"/>
      <c r="AA28" s="684">
        <f>'DUoS (t)'!I40</f>
        <v>0.122</v>
      </c>
      <c r="AB28" s="684">
        <f>'DUoS (t)'!J40</f>
        <v>8.4900000000000003E-2</v>
      </c>
      <c r="AC28" s="686">
        <f>'DUoS (t)'!K40</f>
        <v>4.58E-2</v>
      </c>
      <c r="AD28" s="695"/>
      <c r="AE28" s="684">
        <f>'DUoS (t)'!T40</f>
        <v>7.9200000000000007E-2</v>
      </c>
      <c r="AF28" s="695"/>
      <c r="AG28" s="693"/>
      <c r="AH28" s="694"/>
      <c r="AI28" s="693"/>
      <c r="AJ28" s="693"/>
      <c r="AK28" s="695"/>
      <c r="AL28" s="693"/>
      <c r="AM28" s="693"/>
      <c r="AN28" s="696"/>
      <c r="AP28" s="650" t="s">
        <v>78</v>
      </c>
      <c r="AQ28" s="651" t="str">
        <f>AP28</f>
        <v>SBTOUD</v>
      </c>
      <c r="AR28" s="652" t="s">
        <v>79</v>
      </c>
      <c r="AS28" s="684">
        <f>'TUoS (t)'!G40</f>
        <v>0</v>
      </c>
      <c r="AT28" s="685"/>
      <c r="AU28" s="684">
        <f>'TUoS (t)'!I40</f>
        <v>4.8000000000000001E-2</v>
      </c>
      <c r="AV28" s="684">
        <f>'TUoS (t)'!J40</f>
        <v>3.3399999999999999E-2</v>
      </c>
      <c r="AW28" s="686">
        <f>'TUoS (t)'!K40</f>
        <v>1.7999999999999999E-2</v>
      </c>
      <c r="AX28" s="695"/>
      <c r="AY28" s="684">
        <f>'TUoS (t)'!T40</f>
        <v>0</v>
      </c>
      <c r="AZ28" s="695"/>
      <c r="BA28" s="693"/>
      <c r="BB28" s="694"/>
      <c r="BC28" s="693"/>
      <c r="BD28" s="693"/>
      <c r="BE28" s="695"/>
      <c r="BF28" s="693"/>
      <c r="BG28" s="693"/>
      <c r="BH28" s="696"/>
      <c r="BJ28" s="650" t="s">
        <v>78</v>
      </c>
      <c r="BK28" s="651" t="str">
        <f>BJ28</f>
        <v>SBTOUD</v>
      </c>
      <c r="BL28" s="652" t="s">
        <v>79</v>
      </c>
      <c r="BM28" s="684">
        <f>'JSO (t)'!G40</f>
        <v>4.1099999999999998E-2</v>
      </c>
      <c r="BN28" s="685"/>
      <c r="BO28" s="684">
        <f>'JSO (t)'!I40</f>
        <v>1.0200000000000001E-2</v>
      </c>
      <c r="BP28" s="684">
        <f>'JSO (t)'!J40</f>
        <v>7.1000000000000004E-3</v>
      </c>
      <c r="BQ28" s="686">
        <f>'JSO (t)'!K40</f>
        <v>3.8E-3</v>
      </c>
      <c r="BR28" s="695"/>
      <c r="BS28" s="684">
        <f>'JSO (t)'!T40</f>
        <v>0</v>
      </c>
      <c r="BT28" s="695"/>
      <c r="BU28" s="693"/>
      <c r="BV28" s="694"/>
      <c r="BW28" s="693"/>
      <c r="BX28" s="693"/>
      <c r="BY28" s="695"/>
      <c r="BZ28" s="693"/>
      <c r="CA28" s="693"/>
      <c r="CB28" s="696"/>
    </row>
    <row r="29" spans="1:80" ht="15" customHeight="1" x14ac:dyDescent="0.2">
      <c r="B29" s="777" t="s">
        <v>80</v>
      </c>
      <c r="C29" s="778" t="str">
        <f>B29</f>
        <v>SBD</v>
      </c>
      <c r="D29" s="779" t="s">
        <v>81</v>
      </c>
      <c r="E29" s="691">
        <f>'NUoS (t)'!G41</f>
        <v>5.5205000000000002</v>
      </c>
      <c r="F29" s="773">
        <f>'NUoS (t)'!H41</f>
        <v>8.8899999999999993E-2</v>
      </c>
      <c r="G29" s="691"/>
      <c r="H29" s="691"/>
      <c r="I29" s="692"/>
      <c r="J29" s="781"/>
      <c r="K29" s="780"/>
      <c r="L29" s="773"/>
      <c r="M29" s="691">
        <f>'NUoS (t)'!Q41</f>
        <v>0.3962</v>
      </c>
      <c r="N29" s="692">
        <f>'NUoS (t)'!R41</f>
        <v>0.19600000000000001</v>
      </c>
      <c r="O29" s="780"/>
      <c r="P29" s="780"/>
      <c r="Q29" s="781"/>
      <c r="R29" s="780"/>
      <c r="S29" s="780"/>
      <c r="T29" s="782"/>
      <c r="V29" s="777" t="s">
        <v>80</v>
      </c>
      <c r="W29" s="778" t="str">
        <f>V29</f>
        <v>SBD</v>
      </c>
      <c r="X29" s="779" t="s">
        <v>81</v>
      </c>
      <c r="Y29" s="691">
        <f>'DUoS (t)'!G41</f>
        <v>5.4794</v>
      </c>
      <c r="Z29" s="773">
        <f>'DUoS (t)'!H41</f>
        <v>5.8699999999999995E-2</v>
      </c>
      <c r="AA29" s="691"/>
      <c r="AB29" s="691"/>
      <c r="AC29" s="692"/>
      <c r="AD29" s="781"/>
      <c r="AE29" s="780"/>
      <c r="AF29" s="773"/>
      <c r="AG29" s="691">
        <f>'DUoS (t)'!Q41</f>
        <v>0.30940000000000001</v>
      </c>
      <c r="AH29" s="692">
        <f>'DUoS (t)'!R41</f>
        <v>0.15310000000000001</v>
      </c>
      <c r="AI29" s="780"/>
      <c r="AJ29" s="780"/>
      <c r="AK29" s="781"/>
      <c r="AL29" s="780"/>
      <c r="AM29" s="780"/>
      <c r="AN29" s="782"/>
      <c r="AP29" s="777" t="s">
        <v>80</v>
      </c>
      <c r="AQ29" s="778" t="str">
        <f>AP29</f>
        <v>SBD</v>
      </c>
      <c r="AR29" s="779" t="s">
        <v>81</v>
      </c>
      <c r="AS29" s="691">
        <f>'TUoS (t)'!G41</f>
        <v>0</v>
      </c>
      <c r="AT29" s="773">
        <f>'TUoS (t)'!H41</f>
        <v>2.3100000000000002E-2</v>
      </c>
      <c r="AU29" s="691"/>
      <c r="AV29" s="691"/>
      <c r="AW29" s="692"/>
      <c r="AX29" s="781"/>
      <c r="AY29" s="780"/>
      <c r="AZ29" s="773"/>
      <c r="BA29" s="691">
        <f>'TUoS (t)'!Q41</f>
        <v>8.6800000000000002E-2</v>
      </c>
      <c r="BB29" s="692">
        <f>'TUoS (t)'!R41</f>
        <v>4.2900000000000001E-2</v>
      </c>
      <c r="BC29" s="780"/>
      <c r="BD29" s="780"/>
      <c r="BE29" s="781"/>
      <c r="BF29" s="780"/>
      <c r="BG29" s="780"/>
      <c r="BH29" s="782"/>
      <c r="BJ29" s="777" t="s">
        <v>80</v>
      </c>
      <c r="BK29" s="778" t="str">
        <f>BJ29</f>
        <v>SBD</v>
      </c>
      <c r="BL29" s="779" t="s">
        <v>81</v>
      </c>
      <c r="BM29" s="691">
        <f>'JSO (t)'!G41</f>
        <v>4.1099999999999998E-2</v>
      </c>
      <c r="BN29" s="773">
        <f>'JSO (t)'!H41</f>
        <v>7.1000000000000004E-3</v>
      </c>
      <c r="BO29" s="691"/>
      <c r="BP29" s="691"/>
      <c r="BQ29" s="692"/>
      <c r="BR29" s="781"/>
      <c r="BS29" s="780"/>
      <c r="BT29" s="773"/>
      <c r="BU29" s="691">
        <f>'JSO (t)'!Q41</f>
        <v>0</v>
      </c>
      <c r="BV29" s="692">
        <f>'JSO (t)'!R41</f>
        <v>0</v>
      </c>
      <c r="BW29" s="780"/>
      <c r="BX29" s="780"/>
      <c r="BY29" s="781"/>
      <c r="BZ29" s="780"/>
      <c r="CA29" s="780"/>
      <c r="CB29" s="782"/>
    </row>
    <row r="30" spans="1:80" ht="15" customHeight="1" x14ac:dyDescent="0.2">
      <c r="B30" s="645" t="s">
        <v>83</v>
      </c>
      <c r="C30" s="14"/>
      <c r="D30" s="99"/>
      <c r="E30" s="701"/>
      <c r="F30" s="702"/>
      <c r="G30" s="703"/>
      <c r="H30" s="703"/>
      <c r="I30" s="704"/>
      <c r="J30" s="702"/>
      <c r="K30" s="703"/>
      <c r="L30" s="702"/>
      <c r="M30" s="703"/>
      <c r="N30" s="704"/>
      <c r="O30" s="703"/>
      <c r="P30" s="703"/>
      <c r="Q30" s="702"/>
      <c r="R30" s="703"/>
      <c r="S30" s="703"/>
      <c r="T30" s="705"/>
      <c r="V30" s="645" t="s">
        <v>83</v>
      </c>
      <c r="W30" s="14"/>
      <c r="X30" s="99"/>
      <c r="Y30" s="701"/>
      <c r="Z30" s="702"/>
      <c r="AA30" s="703"/>
      <c r="AB30" s="703"/>
      <c r="AC30" s="704"/>
      <c r="AD30" s="702"/>
      <c r="AE30" s="703"/>
      <c r="AF30" s="702"/>
      <c r="AG30" s="703"/>
      <c r="AH30" s="704"/>
      <c r="AI30" s="703"/>
      <c r="AJ30" s="703"/>
      <c r="AK30" s="702"/>
      <c r="AL30" s="703"/>
      <c r="AM30" s="703"/>
      <c r="AN30" s="705"/>
      <c r="AP30" s="645" t="s">
        <v>83</v>
      </c>
      <c r="AQ30" s="15"/>
      <c r="AR30" s="99"/>
      <c r="AS30" s="701"/>
      <c r="AT30" s="702"/>
      <c r="AU30" s="703"/>
      <c r="AV30" s="703"/>
      <c r="AW30" s="704"/>
      <c r="AX30" s="702"/>
      <c r="AY30" s="703"/>
      <c r="AZ30" s="702"/>
      <c r="BA30" s="703"/>
      <c r="BB30" s="704"/>
      <c r="BC30" s="703"/>
      <c r="BD30" s="703"/>
      <c r="BE30" s="702"/>
      <c r="BF30" s="703"/>
      <c r="BG30" s="703"/>
      <c r="BH30" s="705"/>
      <c r="BJ30" s="645" t="s">
        <v>83</v>
      </c>
      <c r="BK30" s="14"/>
      <c r="BL30" s="99"/>
      <c r="BM30" s="701"/>
      <c r="BN30" s="702"/>
      <c r="BO30" s="703"/>
      <c r="BP30" s="703"/>
      <c r="BQ30" s="704"/>
      <c r="BR30" s="702"/>
      <c r="BS30" s="703"/>
      <c r="BT30" s="702"/>
      <c r="BU30" s="703"/>
      <c r="BV30" s="704"/>
      <c r="BW30" s="703"/>
      <c r="BX30" s="703"/>
      <c r="BY30" s="702"/>
      <c r="BZ30" s="703"/>
      <c r="CA30" s="703"/>
      <c r="CB30" s="705"/>
    </row>
    <row r="31" spans="1:80" ht="15" customHeight="1" x14ac:dyDescent="0.2">
      <c r="B31" s="646" t="s">
        <v>84</v>
      </c>
      <c r="C31" s="37"/>
      <c r="D31" s="85"/>
      <c r="E31" s="706"/>
      <c r="F31" s="697"/>
      <c r="G31" s="698"/>
      <c r="H31" s="698"/>
      <c r="I31" s="699"/>
      <c r="J31" s="697"/>
      <c r="K31" s="698"/>
      <c r="L31" s="697"/>
      <c r="M31" s="698"/>
      <c r="N31" s="699"/>
      <c r="O31" s="698"/>
      <c r="P31" s="698"/>
      <c r="Q31" s="697"/>
      <c r="R31" s="698"/>
      <c r="S31" s="698"/>
      <c r="T31" s="700"/>
      <c r="V31" s="646" t="s">
        <v>84</v>
      </c>
      <c r="W31" s="37"/>
      <c r="X31" s="85"/>
      <c r="Y31" s="706"/>
      <c r="Z31" s="697"/>
      <c r="AA31" s="698"/>
      <c r="AB31" s="698"/>
      <c r="AC31" s="699"/>
      <c r="AD31" s="697"/>
      <c r="AE31" s="698"/>
      <c r="AF31" s="697"/>
      <c r="AG31" s="698"/>
      <c r="AH31" s="699"/>
      <c r="AI31" s="698"/>
      <c r="AJ31" s="698"/>
      <c r="AK31" s="697"/>
      <c r="AL31" s="698"/>
      <c r="AM31" s="698"/>
      <c r="AN31" s="700"/>
      <c r="AP31" s="646" t="s">
        <v>84</v>
      </c>
      <c r="AQ31" s="37"/>
      <c r="AR31" s="85"/>
      <c r="AS31" s="706"/>
      <c r="AT31" s="697"/>
      <c r="AU31" s="698"/>
      <c r="AV31" s="698"/>
      <c r="AW31" s="699"/>
      <c r="AX31" s="697"/>
      <c r="AY31" s="698"/>
      <c r="AZ31" s="697"/>
      <c r="BA31" s="698"/>
      <c r="BB31" s="699"/>
      <c r="BC31" s="698"/>
      <c r="BD31" s="698"/>
      <c r="BE31" s="697"/>
      <c r="BF31" s="698"/>
      <c r="BG31" s="698"/>
      <c r="BH31" s="700"/>
      <c r="BJ31" s="646" t="s">
        <v>84</v>
      </c>
      <c r="BK31" s="37"/>
      <c r="BL31" s="85"/>
      <c r="BM31" s="706"/>
      <c r="BN31" s="697"/>
      <c r="BO31" s="698"/>
      <c r="BP31" s="698"/>
      <c r="BQ31" s="699"/>
      <c r="BR31" s="697"/>
      <c r="BS31" s="698"/>
      <c r="BT31" s="697"/>
      <c r="BU31" s="698"/>
      <c r="BV31" s="699"/>
      <c r="BW31" s="698"/>
      <c r="BX31" s="698"/>
      <c r="BY31" s="697"/>
      <c r="BZ31" s="698"/>
      <c r="CA31" s="698"/>
      <c r="CB31" s="700"/>
    </row>
    <row r="32" spans="1:80" ht="15" customHeight="1" x14ac:dyDescent="0.2">
      <c r="B32" s="650" t="s">
        <v>678</v>
      </c>
      <c r="C32" s="651" t="str">
        <f>B32</f>
        <v>BSRT/BSRTOPCL</v>
      </c>
      <c r="D32" s="652" t="s">
        <v>86</v>
      </c>
      <c r="E32" s="684">
        <f>'NUoS (t)'!G44</f>
        <v>0.56159999999999999</v>
      </c>
      <c r="F32" s="685">
        <f>'NUoS (t)'!H44</f>
        <v>0.18009999999999998</v>
      </c>
      <c r="G32" s="684"/>
      <c r="H32" s="684"/>
      <c r="I32" s="686"/>
      <c r="J32" s="695"/>
      <c r="K32" s="693"/>
      <c r="L32" s="695"/>
      <c r="M32" s="693"/>
      <c r="N32" s="694"/>
      <c r="O32" s="693"/>
      <c r="P32" s="693"/>
      <c r="Q32" s="685">
        <f>'NUoS (t)'!L45</f>
        <v>6.7499999999999991E-2</v>
      </c>
      <c r="R32" s="693"/>
      <c r="S32" s="693"/>
      <c r="T32" s="696"/>
      <c r="V32" s="650" t="s">
        <v>678</v>
      </c>
      <c r="W32" s="651" t="str">
        <f>V32</f>
        <v>BSRT/BSRTOPCL</v>
      </c>
      <c r="X32" s="652" t="s">
        <v>86</v>
      </c>
      <c r="Y32" s="684">
        <f>'DUoS (t)'!G44</f>
        <v>0.52049999999999996</v>
      </c>
      <c r="Z32" s="685">
        <f>'DUoS (t)'!H44</f>
        <v>0.12189999999999999</v>
      </c>
      <c r="AA32" s="684"/>
      <c r="AB32" s="684"/>
      <c r="AC32" s="686"/>
      <c r="AD32" s="695"/>
      <c r="AE32" s="693"/>
      <c r="AF32" s="695"/>
      <c r="AG32" s="693"/>
      <c r="AH32" s="694"/>
      <c r="AI32" s="693"/>
      <c r="AJ32" s="693"/>
      <c r="AK32" s="685">
        <f>'DUoS (t)'!L45</f>
        <v>4.3999999999999997E-2</v>
      </c>
      <c r="AL32" s="693"/>
      <c r="AM32" s="693"/>
      <c r="AN32" s="696"/>
      <c r="AP32" s="650" t="s">
        <v>678</v>
      </c>
      <c r="AQ32" s="651" t="str">
        <f>AP32</f>
        <v>BSRT/BSRTOPCL</v>
      </c>
      <c r="AR32" s="652" t="s">
        <v>86</v>
      </c>
      <c r="AS32" s="684">
        <f>'TUoS (t)'!G44</f>
        <v>0</v>
      </c>
      <c r="AT32" s="685">
        <f>'TUoS (t)'!H44</f>
        <v>4.8000000000000001E-2</v>
      </c>
      <c r="AU32" s="684"/>
      <c r="AV32" s="684"/>
      <c r="AW32" s="686"/>
      <c r="AX32" s="695"/>
      <c r="AY32" s="693"/>
      <c r="AZ32" s="695"/>
      <c r="BA32" s="693"/>
      <c r="BB32" s="694"/>
      <c r="BC32" s="693"/>
      <c r="BD32" s="693"/>
      <c r="BE32" s="685">
        <f>'TUoS (t)'!L45</f>
        <v>1.7899999999999999E-2</v>
      </c>
      <c r="BF32" s="693"/>
      <c r="BG32" s="693"/>
      <c r="BH32" s="696"/>
      <c r="BJ32" s="650" t="s">
        <v>678</v>
      </c>
      <c r="BK32" s="651" t="str">
        <f>BJ32</f>
        <v>BSRT/BSRTOPCL</v>
      </c>
      <c r="BL32" s="652" t="s">
        <v>86</v>
      </c>
      <c r="BM32" s="684">
        <f>'JSO (t)'!G44</f>
        <v>4.1099999999999998E-2</v>
      </c>
      <c r="BN32" s="685">
        <f>'JSO (t)'!H44</f>
        <v>1.0200000000000001E-2</v>
      </c>
      <c r="BO32" s="684"/>
      <c r="BP32" s="684"/>
      <c r="BQ32" s="686"/>
      <c r="BR32" s="695"/>
      <c r="BS32" s="693"/>
      <c r="BT32" s="695"/>
      <c r="BU32" s="693"/>
      <c r="BV32" s="694"/>
      <c r="BW32" s="693"/>
      <c r="BX32" s="693"/>
      <c r="BY32" s="685">
        <f>'JSO (t)'!L45</f>
        <v>5.5999999999999999E-3</v>
      </c>
      <c r="BZ32" s="693"/>
      <c r="CA32" s="693"/>
      <c r="CB32" s="696"/>
    </row>
    <row r="33" spans="2:80" ht="15" customHeight="1" x14ac:dyDescent="0.2">
      <c r="B33" s="650" t="s">
        <v>679</v>
      </c>
      <c r="C33" s="651" t="str">
        <f>B33</f>
        <v>B2RT/B2RTOPCL</v>
      </c>
      <c r="D33" s="652" t="s">
        <v>90</v>
      </c>
      <c r="E33" s="684">
        <f>'NUoS (t)'!G46</f>
        <v>0.56159999999999999</v>
      </c>
      <c r="F33" s="685"/>
      <c r="G33" s="684">
        <f>'NUoS (t)'!I46</f>
        <v>0.20310000000000003</v>
      </c>
      <c r="H33" s="684"/>
      <c r="I33" s="686">
        <f>'NUoS (t)'!K46</f>
        <v>0.10149999999999999</v>
      </c>
      <c r="J33" s="695"/>
      <c r="K33" s="693"/>
      <c r="L33" s="695"/>
      <c r="M33" s="693"/>
      <c r="N33" s="694"/>
      <c r="O33" s="693"/>
      <c r="P33" s="693"/>
      <c r="Q33" s="685">
        <f>'NUoS (t)'!L47</f>
        <v>6.7499999999999991E-2</v>
      </c>
      <c r="R33" s="693"/>
      <c r="S33" s="693"/>
      <c r="T33" s="696"/>
      <c r="V33" s="650" t="s">
        <v>679</v>
      </c>
      <c r="W33" s="651" t="str">
        <f>V33</f>
        <v>B2RT/B2RTOPCL</v>
      </c>
      <c r="X33" s="652" t="s">
        <v>90</v>
      </c>
      <c r="Y33" s="684">
        <f>'DUoS (t)'!G46</f>
        <v>0.52049999999999996</v>
      </c>
      <c r="Z33" s="685"/>
      <c r="AA33" s="684">
        <f>'DUoS (t)'!I46</f>
        <v>0.13750000000000001</v>
      </c>
      <c r="AB33" s="684"/>
      <c r="AC33" s="686">
        <f>'DUoS (t)'!K46</f>
        <v>6.88E-2</v>
      </c>
      <c r="AD33" s="695"/>
      <c r="AE33" s="693"/>
      <c r="AF33" s="695"/>
      <c r="AG33" s="693"/>
      <c r="AH33" s="694"/>
      <c r="AI33" s="693"/>
      <c r="AJ33" s="693"/>
      <c r="AK33" s="685">
        <f>'DUoS (t)'!L47</f>
        <v>4.3999999999999997E-2</v>
      </c>
      <c r="AL33" s="693"/>
      <c r="AM33" s="693"/>
      <c r="AN33" s="696"/>
      <c r="AP33" s="650" t="s">
        <v>679</v>
      </c>
      <c r="AQ33" s="651" t="str">
        <f>AP33</f>
        <v>B2RT/B2RTOPCL</v>
      </c>
      <c r="AR33" s="652" t="s">
        <v>90</v>
      </c>
      <c r="AS33" s="684">
        <f>'TUoS (t)'!G46</f>
        <v>0</v>
      </c>
      <c r="AT33" s="685"/>
      <c r="AU33" s="684">
        <f>'TUoS (t)'!I46</f>
        <v>5.4100000000000002E-2</v>
      </c>
      <c r="AV33" s="684"/>
      <c r="AW33" s="686">
        <f>'TUoS (t)'!K46</f>
        <v>2.7099999999999999E-2</v>
      </c>
      <c r="AX33" s="695"/>
      <c r="AY33" s="693"/>
      <c r="AZ33" s="695"/>
      <c r="BA33" s="693"/>
      <c r="BB33" s="694"/>
      <c r="BC33" s="693"/>
      <c r="BD33" s="693"/>
      <c r="BE33" s="685">
        <f>'TUoS (t)'!L47</f>
        <v>1.7899999999999999E-2</v>
      </c>
      <c r="BF33" s="693"/>
      <c r="BG33" s="693"/>
      <c r="BH33" s="696"/>
      <c r="BJ33" s="650" t="s">
        <v>679</v>
      </c>
      <c r="BK33" s="651" t="str">
        <f>BJ33</f>
        <v>B2RT/B2RTOPCL</v>
      </c>
      <c r="BL33" s="652" t="s">
        <v>90</v>
      </c>
      <c r="BM33" s="684">
        <f>'JSO (t)'!G46</f>
        <v>4.1099999999999998E-2</v>
      </c>
      <c r="BN33" s="685"/>
      <c r="BO33" s="684">
        <f>'JSO (t)'!I46</f>
        <v>1.15E-2</v>
      </c>
      <c r="BP33" s="684"/>
      <c r="BQ33" s="686">
        <f>'JSO (t)'!K46</f>
        <v>5.5999999999999999E-3</v>
      </c>
      <c r="BR33" s="695"/>
      <c r="BS33" s="693"/>
      <c r="BT33" s="695"/>
      <c r="BU33" s="693"/>
      <c r="BV33" s="694"/>
      <c r="BW33" s="693"/>
      <c r="BX33" s="693"/>
      <c r="BY33" s="685">
        <f>'JSO (t)'!L47</f>
        <v>5.5999999999999999E-3</v>
      </c>
      <c r="BZ33" s="693"/>
      <c r="CA33" s="693"/>
      <c r="CB33" s="696"/>
    </row>
    <row r="34" spans="2:80" ht="15" customHeight="1" x14ac:dyDescent="0.2">
      <c r="B34" s="646" t="s">
        <v>93</v>
      </c>
      <c r="C34" s="37"/>
      <c r="D34" s="85"/>
      <c r="E34" s="706"/>
      <c r="F34" s="697"/>
      <c r="G34" s="698"/>
      <c r="H34" s="698"/>
      <c r="I34" s="699"/>
      <c r="J34" s="697"/>
      <c r="K34" s="698"/>
      <c r="L34" s="697"/>
      <c r="M34" s="698"/>
      <c r="N34" s="699"/>
      <c r="O34" s="698"/>
      <c r="P34" s="698"/>
      <c r="Q34" s="697"/>
      <c r="R34" s="698"/>
      <c r="S34" s="698"/>
      <c r="T34" s="700"/>
      <c r="V34" s="646" t="s">
        <v>93</v>
      </c>
      <c r="W34" s="37"/>
      <c r="X34" s="85"/>
      <c r="Y34" s="706"/>
      <c r="Z34" s="697"/>
      <c r="AA34" s="698"/>
      <c r="AB34" s="698"/>
      <c r="AC34" s="699"/>
      <c r="AD34" s="697"/>
      <c r="AE34" s="698"/>
      <c r="AF34" s="697"/>
      <c r="AG34" s="698"/>
      <c r="AH34" s="699"/>
      <c r="AI34" s="698"/>
      <c r="AJ34" s="698"/>
      <c r="AK34" s="697"/>
      <c r="AL34" s="698"/>
      <c r="AM34" s="698"/>
      <c r="AN34" s="700"/>
      <c r="AP34" s="646" t="s">
        <v>93</v>
      </c>
      <c r="AQ34" s="37"/>
      <c r="AR34" s="85"/>
      <c r="AS34" s="706"/>
      <c r="AT34" s="697"/>
      <c r="AU34" s="698"/>
      <c r="AV34" s="698"/>
      <c r="AW34" s="699"/>
      <c r="AX34" s="697"/>
      <c r="AY34" s="698"/>
      <c r="AZ34" s="697"/>
      <c r="BA34" s="698"/>
      <c r="BB34" s="699"/>
      <c r="BC34" s="698"/>
      <c r="BD34" s="698"/>
      <c r="BE34" s="697"/>
      <c r="BF34" s="698"/>
      <c r="BG34" s="698"/>
      <c r="BH34" s="700"/>
      <c r="BJ34" s="646" t="s">
        <v>93</v>
      </c>
      <c r="BK34" s="37"/>
      <c r="BL34" s="85"/>
      <c r="BM34" s="706"/>
      <c r="BN34" s="697"/>
      <c r="BO34" s="698"/>
      <c r="BP34" s="698"/>
      <c r="BQ34" s="699"/>
      <c r="BR34" s="697"/>
      <c r="BS34" s="698"/>
      <c r="BT34" s="697"/>
      <c r="BU34" s="698"/>
      <c r="BV34" s="699"/>
      <c r="BW34" s="698"/>
      <c r="BX34" s="698"/>
      <c r="BY34" s="697"/>
      <c r="BZ34" s="698"/>
      <c r="CA34" s="698"/>
      <c r="CB34" s="700"/>
    </row>
    <row r="35" spans="2:80" ht="15" customHeight="1" x14ac:dyDescent="0.2">
      <c r="B35" s="650" t="s">
        <v>680</v>
      </c>
      <c r="C35" s="651" t="s">
        <v>687</v>
      </c>
      <c r="D35" s="653" t="s">
        <v>94</v>
      </c>
      <c r="E35" s="684">
        <f>'NUoS (t)'!G49</f>
        <v>6.7949999999999999</v>
      </c>
      <c r="F35" s="685"/>
      <c r="G35" s="684">
        <f>'NUoS (t)'!I49</f>
        <v>6.7299999999999999E-2</v>
      </c>
      <c r="H35" s="684"/>
      <c r="I35" s="686">
        <f>'NUoS (t)'!K49</f>
        <v>4.2000000000000003E-2</v>
      </c>
      <c r="J35" s="685">
        <f>'NUoS (t)'!S49</f>
        <v>0.25990000000000002</v>
      </c>
      <c r="K35" s="684">
        <f>'NUoS (t)'!T49</f>
        <v>0.1028</v>
      </c>
      <c r="L35" s="685"/>
      <c r="M35" s="684"/>
      <c r="N35" s="686"/>
      <c r="O35" s="684"/>
      <c r="P35" s="684"/>
      <c r="Q35" s="685"/>
      <c r="R35" s="693"/>
      <c r="S35" s="693"/>
      <c r="T35" s="696"/>
      <c r="V35" s="650" t="s">
        <v>680</v>
      </c>
      <c r="W35" s="651" t="s">
        <v>687</v>
      </c>
      <c r="X35" s="653" t="s">
        <v>94</v>
      </c>
      <c r="Y35" s="684">
        <f>'DUoS (t)'!G49</f>
        <v>6.7949999999999999</v>
      </c>
      <c r="Z35" s="685"/>
      <c r="AA35" s="684">
        <f>'DUoS (t)'!I49</f>
        <v>4.1799999999999997E-2</v>
      </c>
      <c r="AB35" s="684"/>
      <c r="AC35" s="686">
        <f>'DUoS (t)'!K49</f>
        <v>2.6100000000000002E-2</v>
      </c>
      <c r="AD35" s="685">
        <f>'DUoS (t)'!S49</f>
        <v>0.14380000000000001</v>
      </c>
      <c r="AE35" s="684">
        <f>'DUoS (t)'!T49</f>
        <v>0.1028</v>
      </c>
      <c r="AF35" s="685"/>
      <c r="AG35" s="684"/>
      <c r="AH35" s="686"/>
      <c r="AI35" s="684"/>
      <c r="AJ35" s="684"/>
      <c r="AK35" s="685"/>
      <c r="AL35" s="693"/>
      <c r="AM35" s="693"/>
      <c r="AN35" s="696"/>
      <c r="AP35" s="650" t="s">
        <v>680</v>
      </c>
      <c r="AQ35" s="651" t="s">
        <v>687</v>
      </c>
      <c r="AR35" s="653" t="s">
        <v>94</v>
      </c>
      <c r="AS35" s="684">
        <f>'TUoS (t)'!G49</f>
        <v>0</v>
      </c>
      <c r="AT35" s="685"/>
      <c r="AU35" s="684">
        <f>'TUoS (t)'!I49</f>
        <v>1.89E-2</v>
      </c>
      <c r="AV35" s="684"/>
      <c r="AW35" s="686">
        <f>'TUoS (t)'!K49</f>
        <v>1.18E-2</v>
      </c>
      <c r="AX35" s="685">
        <f>'TUoS (t)'!S49</f>
        <v>0.11609999999999999</v>
      </c>
      <c r="AY35" s="684">
        <f>'TUoS (t)'!T49</f>
        <v>0</v>
      </c>
      <c r="AZ35" s="685"/>
      <c r="BA35" s="684"/>
      <c r="BB35" s="686"/>
      <c r="BC35" s="684"/>
      <c r="BD35" s="684"/>
      <c r="BE35" s="685"/>
      <c r="BF35" s="693"/>
      <c r="BG35" s="693"/>
      <c r="BH35" s="696"/>
      <c r="BJ35" s="650" t="s">
        <v>680</v>
      </c>
      <c r="BK35" s="651" t="s">
        <v>687</v>
      </c>
      <c r="BL35" s="653" t="s">
        <v>94</v>
      </c>
      <c r="BM35" s="684">
        <f>'JSO (t)'!G49</f>
        <v>0</v>
      </c>
      <c r="BN35" s="685"/>
      <c r="BO35" s="684">
        <f>'JSO (t)'!I49</f>
        <v>6.6E-3</v>
      </c>
      <c r="BP35" s="684"/>
      <c r="BQ35" s="686">
        <f>'JSO (t)'!K49</f>
        <v>4.1000000000000003E-3</v>
      </c>
      <c r="BR35" s="685">
        <f>'JSO (t)'!S49</f>
        <v>0</v>
      </c>
      <c r="BS35" s="684">
        <f>'JSO (t)'!T49</f>
        <v>0</v>
      </c>
      <c r="BT35" s="685"/>
      <c r="BU35" s="684"/>
      <c r="BV35" s="686"/>
      <c r="BW35" s="684"/>
      <c r="BX35" s="684"/>
      <c r="BY35" s="685"/>
      <c r="BZ35" s="693"/>
      <c r="CA35" s="693"/>
      <c r="CB35" s="696"/>
    </row>
    <row r="36" spans="2:80" ht="15" customHeight="1" x14ac:dyDescent="0.2">
      <c r="B36" s="650" t="s">
        <v>681</v>
      </c>
      <c r="C36" s="651" t="s">
        <v>688</v>
      </c>
      <c r="D36" s="653" t="s">
        <v>95</v>
      </c>
      <c r="E36" s="684">
        <f>'NUoS (t)'!G50</f>
        <v>6.7949999999999999</v>
      </c>
      <c r="F36" s="685"/>
      <c r="G36" s="684">
        <f>'NUoS (t)'!I50</f>
        <v>6.7299999999999999E-2</v>
      </c>
      <c r="H36" s="684"/>
      <c r="I36" s="686">
        <f>'NUoS (t)'!K50</f>
        <v>4.2000000000000003E-2</v>
      </c>
      <c r="J36" s="685"/>
      <c r="K36" s="684">
        <f>'NUoS (t)'!T50</f>
        <v>0.1028</v>
      </c>
      <c r="L36" s="685">
        <f>'NUoS (t)'!P50</f>
        <v>0.94229999999999992</v>
      </c>
      <c r="M36" s="684"/>
      <c r="N36" s="686"/>
      <c r="O36" s="684"/>
      <c r="P36" s="684"/>
      <c r="Q36" s="685"/>
      <c r="R36" s="693"/>
      <c r="S36" s="693"/>
      <c r="T36" s="696"/>
      <c r="V36" s="650" t="s">
        <v>681</v>
      </c>
      <c r="W36" s="651" t="s">
        <v>688</v>
      </c>
      <c r="X36" s="653" t="s">
        <v>95</v>
      </c>
      <c r="Y36" s="684">
        <f>'DUoS (t)'!G50</f>
        <v>6.7949999999999999</v>
      </c>
      <c r="Z36" s="685"/>
      <c r="AA36" s="684">
        <f>'DUoS (t)'!I50</f>
        <v>4.1799999999999997E-2</v>
      </c>
      <c r="AB36" s="684"/>
      <c r="AC36" s="686">
        <f>'DUoS (t)'!K50</f>
        <v>2.6100000000000002E-2</v>
      </c>
      <c r="AD36" s="685"/>
      <c r="AE36" s="684">
        <f>'DUoS (t)'!T50</f>
        <v>0.1028</v>
      </c>
      <c r="AF36" s="685">
        <f>'DUoS (t)'!P50</f>
        <v>0.52149999999999996</v>
      </c>
      <c r="AG36" s="684"/>
      <c r="AH36" s="686"/>
      <c r="AI36" s="684"/>
      <c r="AJ36" s="684"/>
      <c r="AK36" s="685"/>
      <c r="AL36" s="693"/>
      <c r="AM36" s="693"/>
      <c r="AN36" s="696"/>
      <c r="AP36" s="650" t="s">
        <v>681</v>
      </c>
      <c r="AQ36" s="651" t="s">
        <v>688</v>
      </c>
      <c r="AR36" s="653" t="s">
        <v>95</v>
      </c>
      <c r="AS36" s="684">
        <f>'TUoS (t)'!G50</f>
        <v>0</v>
      </c>
      <c r="AT36" s="685"/>
      <c r="AU36" s="684">
        <f>'TUoS (t)'!I50</f>
        <v>1.89E-2</v>
      </c>
      <c r="AV36" s="684"/>
      <c r="AW36" s="686">
        <f>'TUoS (t)'!K50</f>
        <v>1.18E-2</v>
      </c>
      <c r="AX36" s="685"/>
      <c r="AY36" s="684">
        <f>'TUoS (t)'!T50</f>
        <v>0</v>
      </c>
      <c r="AZ36" s="685">
        <f>'TUoS (t)'!P50</f>
        <v>0.42080000000000001</v>
      </c>
      <c r="BA36" s="684"/>
      <c r="BB36" s="686"/>
      <c r="BC36" s="684"/>
      <c r="BD36" s="684"/>
      <c r="BE36" s="685"/>
      <c r="BF36" s="693"/>
      <c r="BG36" s="693"/>
      <c r="BH36" s="696"/>
      <c r="BJ36" s="650" t="s">
        <v>681</v>
      </c>
      <c r="BK36" s="651" t="s">
        <v>688</v>
      </c>
      <c r="BL36" s="653" t="s">
        <v>95</v>
      </c>
      <c r="BM36" s="684">
        <f>'JSO (t)'!G50</f>
        <v>0</v>
      </c>
      <c r="BN36" s="685"/>
      <c r="BO36" s="684">
        <f>'JSO (t)'!I50</f>
        <v>6.6E-3</v>
      </c>
      <c r="BP36" s="684"/>
      <c r="BQ36" s="686">
        <f>'JSO (t)'!K50</f>
        <v>4.1000000000000003E-3</v>
      </c>
      <c r="BR36" s="685"/>
      <c r="BS36" s="684">
        <f>'JSO (t)'!T50</f>
        <v>0</v>
      </c>
      <c r="BT36" s="685">
        <f>'JSO (t)'!P50</f>
        <v>0</v>
      </c>
      <c r="BU36" s="684"/>
      <c r="BV36" s="686"/>
      <c r="BW36" s="684"/>
      <c r="BX36" s="684"/>
      <c r="BY36" s="685"/>
      <c r="BZ36" s="693"/>
      <c r="CA36" s="693"/>
      <c r="CB36" s="696"/>
    </row>
    <row r="37" spans="2:80" ht="15" customHeight="1" x14ac:dyDescent="0.2">
      <c r="B37" s="771" t="s">
        <v>97</v>
      </c>
      <c r="C37" s="772" t="s">
        <v>97</v>
      </c>
      <c r="D37" s="783" t="s">
        <v>98</v>
      </c>
      <c r="E37" s="691">
        <f>'NUoS (t)'!G52</f>
        <v>5.4794</v>
      </c>
      <c r="F37" s="773">
        <f>'NUoS (t)'!H52</f>
        <v>8.6999999999999994E-2</v>
      </c>
      <c r="G37" s="691"/>
      <c r="H37" s="691"/>
      <c r="I37" s="692"/>
      <c r="J37" s="773"/>
      <c r="K37" s="691"/>
      <c r="L37" s="773"/>
      <c r="M37" s="691">
        <f>'NUoS (t)'!Q52</f>
        <v>0.3962</v>
      </c>
      <c r="N37" s="692">
        <f>'NUoS (t)'!R52</f>
        <v>0.19600000000000001</v>
      </c>
      <c r="O37" s="691"/>
      <c r="P37" s="691"/>
      <c r="Q37" s="773"/>
      <c r="R37" s="698"/>
      <c r="S37" s="698"/>
      <c r="T37" s="700"/>
      <c r="V37" s="771" t="s">
        <v>97</v>
      </c>
      <c r="W37" s="772" t="s">
        <v>97</v>
      </c>
      <c r="X37" s="783" t="s">
        <v>98</v>
      </c>
      <c r="Y37" s="691">
        <f>'DUoS (t)'!G52</f>
        <v>5.4794</v>
      </c>
      <c r="Z37" s="773">
        <f>'DUoS (t)'!H52</f>
        <v>5.8699999999999995E-2</v>
      </c>
      <c r="AA37" s="691"/>
      <c r="AB37" s="691"/>
      <c r="AC37" s="692"/>
      <c r="AD37" s="773"/>
      <c r="AE37" s="691"/>
      <c r="AF37" s="773"/>
      <c r="AG37" s="691">
        <f>'DUoS (t)'!Q52</f>
        <v>0.30940000000000001</v>
      </c>
      <c r="AH37" s="692">
        <f>'DUoS (t)'!R52</f>
        <v>0.15310000000000001</v>
      </c>
      <c r="AI37" s="691"/>
      <c r="AJ37" s="691"/>
      <c r="AK37" s="773"/>
      <c r="AL37" s="698"/>
      <c r="AM37" s="698"/>
      <c r="AN37" s="700"/>
      <c r="AP37" s="771" t="s">
        <v>97</v>
      </c>
      <c r="AQ37" s="772" t="s">
        <v>97</v>
      </c>
      <c r="AR37" s="783" t="s">
        <v>98</v>
      </c>
      <c r="AS37" s="691">
        <f>'TUoS (t)'!G52</f>
        <v>0</v>
      </c>
      <c r="AT37" s="773">
        <f>'TUoS (t)'!H52</f>
        <v>2.3100000000000002E-2</v>
      </c>
      <c r="AU37" s="691"/>
      <c r="AV37" s="691"/>
      <c r="AW37" s="692"/>
      <c r="AX37" s="773"/>
      <c r="AY37" s="691"/>
      <c r="AZ37" s="773"/>
      <c r="BA37" s="691">
        <f>'TUoS (t)'!Q52</f>
        <v>8.6800000000000002E-2</v>
      </c>
      <c r="BB37" s="692">
        <f>'TUoS (t)'!R52</f>
        <v>4.2900000000000001E-2</v>
      </c>
      <c r="BC37" s="691"/>
      <c r="BD37" s="691"/>
      <c r="BE37" s="773"/>
      <c r="BF37" s="698"/>
      <c r="BG37" s="698"/>
      <c r="BH37" s="700"/>
      <c r="BJ37" s="771" t="s">
        <v>97</v>
      </c>
      <c r="BK37" s="772" t="s">
        <v>97</v>
      </c>
      <c r="BL37" s="783" t="s">
        <v>98</v>
      </c>
      <c r="BM37" s="691">
        <f>'JSO (t)'!G52</f>
        <v>0</v>
      </c>
      <c r="BN37" s="773">
        <f>'JSO (t)'!H52</f>
        <v>5.1999999999999998E-3</v>
      </c>
      <c r="BO37" s="691"/>
      <c r="BP37" s="691"/>
      <c r="BQ37" s="692"/>
      <c r="BR37" s="773"/>
      <c r="BS37" s="691"/>
      <c r="BT37" s="773"/>
      <c r="BU37" s="691">
        <f>'JSO (t)'!Q52</f>
        <v>0</v>
      </c>
      <c r="BV37" s="692">
        <f>'JSO (t)'!R52</f>
        <v>0</v>
      </c>
      <c r="BW37" s="691"/>
      <c r="BX37" s="691"/>
      <c r="BY37" s="773"/>
      <c r="BZ37" s="698"/>
      <c r="CA37" s="698"/>
      <c r="CB37" s="700"/>
    </row>
    <row r="38" spans="2:80" ht="15" customHeight="1" x14ac:dyDescent="0.2">
      <c r="B38" s="771" t="s">
        <v>682</v>
      </c>
      <c r="C38" s="785" t="s">
        <v>689</v>
      </c>
      <c r="D38" s="783" t="s">
        <v>99</v>
      </c>
      <c r="E38" s="691">
        <f>'NUoS (t)'!G53</f>
        <v>6.7949999999999999</v>
      </c>
      <c r="F38" s="697"/>
      <c r="G38" s="698"/>
      <c r="H38" s="698"/>
      <c r="I38" s="699"/>
      <c r="J38" s="697">
        <f>'NUoS (t)'!S53</f>
        <v>0.25990000000000002</v>
      </c>
      <c r="K38" s="698">
        <f>'NUoS (t)'!T53</f>
        <v>0.1028</v>
      </c>
      <c r="L38" s="697"/>
      <c r="M38" s="698"/>
      <c r="N38" s="699"/>
      <c r="O38" s="691"/>
      <c r="P38" s="691"/>
      <c r="Q38" s="697"/>
      <c r="R38" s="698"/>
      <c r="S38" s="698"/>
      <c r="T38" s="700"/>
      <c r="V38" s="771" t="s">
        <v>682</v>
      </c>
      <c r="W38" s="785" t="s">
        <v>689</v>
      </c>
      <c r="X38" s="783" t="s">
        <v>99</v>
      </c>
      <c r="Y38" s="691">
        <f>'DUoS (t)'!G53</f>
        <v>6.7949999999999999</v>
      </c>
      <c r="Z38" s="697"/>
      <c r="AA38" s="698"/>
      <c r="AB38" s="698"/>
      <c r="AC38" s="699"/>
      <c r="AD38" s="697">
        <f>'DUoS (t)'!S53</f>
        <v>0.14380000000000001</v>
      </c>
      <c r="AE38" s="698">
        <f>'DUoS (t)'!T53</f>
        <v>0.1028</v>
      </c>
      <c r="AF38" s="697"/>
      <c r="AG38" s="698"/>
      <c r="AH38" s="699"/>
      <c r="AI38" s="691"/>
      <c r="AJ38" s="691"/>
      <c r="AK38" s="697"/>
      <c r="AL38" s="698"/>
      <c r="AM38" s="698"/>
      <c r="AN38" s="700"/>
      <c r="AP38" s="771" t="s">
        <v>682</v>
      </c>
      <c r="AQ38" s="785" t="s">
        <v>689</v>
      </c>
      <c r="AR38" s="783" t="s">
        <v>99</v>
      </c>
      <c r="AS38" s="691">
        <f>'TUoS (t)'!G53</f>
        <v>0</v>
      </c>
      <c r="AT38" s="697"/>
      <c r="AU38" s="698"/>
      <c r="AV38" s="698"/>
      <c r="AW38" s="699"/>
      <c r="AX38" s="773">
        <f>'TUoS (t)'!S53</f>
        <v>0.11609999999999999</v>
      </c>
      <c r="AY38" s="691">
        <f>'TUoS (t)'!T53</f>
        <v>0</v>
      </c>
      <c r="AZ38" s="697"/>
      <c r="BA38" s="698"/>
      <c r="BB38" s="699"/>
      <c r="BC38" s="691"/>
      <c r="BD38" s="691"/>
      <c r="BE38" s="697"/>
      <c r="BF38" s="698"/>
      <c r="BG38" s="698"/>
      <c r="BH38" s="700"/>
      <c r="BJ38" s="771" t="s">
        <v>682</v>
      </c>
      <c r="BK38" s="785" t="s">
        <v>689</v>
      </c>
      <c r="BL38" s="783" t="s">
        <v>99</v>
      </c>
      <c r="BM38" s="691">
        <f>'JSO (t)'!G53</f>
        <v>0</v>
      </c>
      <c r="BN38" s="697"/>
      <c r="BO38" s="698"/>
      <c r="BP38" s="698"/>
      <c r="BQ38" s="699"/>
      <c r="BR38" s="773">
        <f>'JSO (t)'!S53</f>
        <v>0</v>
      </c>
      <c r="BS38" s="691">
        <f>'JSO (t)'!T53</f>
        <v>0</v>
      </c>
      <c r="BT38" s="697"/>
      <c r="BU38" s="698"/>
      <c r="BV38" s="699"/>
      <c r="BW38" s="691"/>
      <c r="BX38" s="691"/>
      <c r="BY38" s="697"/>
      <c r="BZ38" s="698"/>
      <c r="CA38" s="698"/>
      <c r="CB38" s="700"/>
    </row>
    <row r="39" spans="2:80" ht="15" customHeight="1" x14ac:dyDescent="0.2">
      <c r="B39" s="650" t="str">
        <f>'Q (t)'!C55</f>
        <v>LBAD087</v>
      </c>
      <c r="C39" s="661"/>
      <c r="D39" s="653" t="str">
        <f>'Q (t)'!E55</f>
        <v>Large Business Annual Demand</v>
      </c>
      <c r="E39" s="684">
        <f>'NUoS (t)'!G55</f>
        <v>128.43799999999999</v>
      </c>
      <c r="F39" s="695"/>
      <c r="G39" s="684">
        <f>'NUoS (t)'!I55</f>
        <v>6.7299999999999999E-2</v>
      </c>
      <c r="H39" s="684"/>
      <c r="I39" s="686">
        <f>'NUoS (t)'!K55</f>
        <v>4.2000000000000003E-2</v>
      </c>
      <c r="J39" s="685">
        <f>'NUoS (t)'!S55</f>
        <v>0.25990000000000002</v>
      </c>
      <c r="K39" s="686">
        <f>'NUoS (t)'!T55</f>
        <v>0</v>
      </c>
      <c r="L39" s="695"/>
      <c r="M39" s="693"/>
      <c r="N39" s="694"/>
      <c r="O39" s="684"/>
      <c r="P39" s="684"/>
      <c r="Q39" s="695"/>
      <c r="R39" s="693"/>
      <c r="S39" s="693"/>
      <c r="T39" s="696"/>
      <c r="V39" s="650" t="str">
        <f>'Q (t)'!C55</f>
        <v>LBAD087</v>
      </c>
      <c r="W39" s="661"/>
      <c r="X39" s="653" t="str">
        <f>'Q (t)'!E55</f>
        <v>Large Business Annual Demand</v>
      </c>
      <c r="Y39" s="684">
        <f>'DUoS (t)'!G55</f>
        <v>128.43799999999999</v>
      </c>
      <c r="Z39" s="695"/>
      <c r="AA39" s="684">
        <f>'DUoS (t)'!I55</f>
        <v>4.1799999999999997E-2</v>
      </c>
      <c r="AB39" s="684"/>
      <c r="AC39" s="686">
        <f>'DUoS (t)'!K55</f>
        <v>2.6100000000000002E-2</v>
      </c>
      <c r="AD39" s="685">
        <f>'DUoS (t)'!S55</f>
        <v>0.14380000000000001</v>
      </c>
      <c r="AE39" s="686">
        <f>'DUoS (t)'!T55</f>
        <v>0</v>
      </c>
      <c r="AF39" s="695"/>
      <c r="AG39" s="693"/>
      <c r="AH39" s="694"/>
      <c r="AI39" s="684"/>
      <c r="AJ39" s="684"/>
      <c r="AK39" s="695"/>
      <c r="AL39" s="693"/>
      <c r="AM39" s="693"/>
      <c r="AN39" s="696"/>
      <c r="AP39" s="650" t="str">
        <f>'Q (t)'!C55</f>
        <v>LBAD087</v>
      </c>
      <c r="AQ39" s="661"/>
      <c r="AR39" s="653" t="str">
        <f>'Q (t)'!E55</f>
        <v>Large Business Annual Demand</v>
      </c>
      <c r="AS39" s="684">
        <f>'TUoS (t)'!G55</f>
        <v>0</v>
      </c>
      <c r="AT39" s="695"/>
      <c r="AU39" s="684">
        <f>'TUoS (t)'!I55</f>
        <v>1.89E-2</v>
      </c>
      <c r="AV39" s="684"/>
      <c r="AW39" s="686">
        <f>'TUoS (t)'!K55</f>
        <v>1.18E-2</v>
      </c>
      <c r="AX39" s="685">
        <f>'TUoS (t)'!S55</f>
        <v>0.11609999999999999</v>
      </c>
      <c r="AY39" s="684">
        <f>'TUoS (t)'!T55</f>
        <v>0</v>
      </c>
      <c r="AZ39" s="695"/>
      <c r="BA39" s="693"/>
      <c r="BB39" s="694"/>
      <c r="BC39" s="684"/>
      <c r="BD39" s="684"/>
      <c r="BE39" s="695"/>
      <c r="BF39" s="693"/>
      <c r="BG39" s="693"/>
      <c r="BH39" s="696"/>
      <c r="BJ39" s="650" t="str">
        <f>'Q (t)'!C55</f>
        <v>LBAD087</v>
      </c>
      <c r="BK39" s="661"/>
      <c r="BL39" s="653" t="str">
        <f>'Q (t)'!E55</f>
        <v>Large Business Annual Demand</v>
      </c>
      <c r="BM39" s="684">
        <f>'JSO (t)'!G55</f>
        <v>0</v>
      </c>
      <c r="BN39" s="695"/>
      <c r="BO39" s="684">
        <f>'JSO (t)'!I55</f>
        <v>6.6E-3</v>
      </c>
      <c r="BP39" s="684"/>
      <c r="BQ39" s="686">
        <f>'JSO (t)'!K55</f>
        <v>4.1000000000000003E-3</v>
      </c>
      <c r="BR39" s="685">
        <f>'JSO (t)'!S55</f>
        <v>0</v>
      </c>
      <c r="BS39" s="684">
        <f>'JSO (t)'!T55</f>
        <v>0</v>
      </c>
      <c r="BT39" s="695"/>
      <c r="BU39" s="693"/>
      <c r="BV39" s="694"/>
      <c r="BW39" s="684"/>
      <c r="BX39" s="684"/>
      <c r="BY39" s="695"/>
      <c r="BZ39" s="693"/>
      <c r="CA39" s="693"/>
      <c r="CB39" s="696"/>
    </row>
    <row r="40" spans="2:80" ht="15" customHeight="1" x14ac:dyDescent="0.2">
      <c r="B40" s="650" t="str">
        <f>'Q (t)'!C56</f>
        <v>LBAD201</v>
      </c>
      <c r="C40" s="661"/>
      <c r="D40" s="653" t="str">
        <f>'Q (t)'!E56</f>
        <v>Large Business Annual Demand</v>
      </c>
      <c r="E40" s="684">
        <f>'NUoS (t)'!G56</f>
        <v>133.9068</v>
      </c>
      <c r="F40" s="695"/>
      <c r="G40" s="684">
        <f>'NUoS (t)'!I56</f>
        <v>6.7299999999999999E-2</v>
      </c>
      <c r="H40" s="684"/>
      <c r="I40" s="686">
        <f>'NUoS (t)'!K56</f>
        <v>4.2000000000000003E-2</v>
      </c>
      <c r="J40" s="685">
        <f>'NUoS (t)'!S56</f>
        <v>0.25990000000000002</v>
      </c>
      <c r="K40" s="686">
        <f>'NUoS (t)'!T56</f>
        <v>0</v>
      </c>
      <c r="L40" s="695"/>
      <c r="M40" s="693"/>
      <c r="N40" s="694"/>
      <c r="O40" s="684"/>
      <c r="P40" s="684"/>
      <c r="Q40" s="695"/>
      <c r="R40" s="693"/>
      <c r="S40" s="693"/>
      <c r="T40" s="696"/>
      <c r="V40" s="650" t="str">
        <f>'Q (t)'!C56</f>
        <v>LBAD201</v>
      </c>
      <c r="W40" s="661"/>
      <c r="X40" s="653" t="str">
        <f>'Q (t)'!E56</f>
        <v>Large Business Annual Demand</v>
      </c>
      <c r="Y40" s="684">
        <f>'DUoS (t)'!G56</f>
        <v>133.9068</v>
      </c>
      <c r="Z40" s="695"/>
      <c r="AA40" s="684">
        <f>'DUoS (t)'!I56</f>
        <v>4.1799999999999997E-2</v>
      </c>
      <c r="AB40" s="684"/>
      <c r="AC40" s="686">
        <f>'DUoS (t)'!K56</f>
        <v>2.6100000000000002E-2</v>
      </c>
      <c r="AD40" s="685">
        <f>'DUoS (t)'!S56</f>
        <v>0.14380000000000001</v>
      </c>
      <c r="AE40" s="686">
        <f>'DUoS (t)'!T56</f>
        <v>0</v>
      </c>
      <c r="AF40" s="695"/>
      <c r="AG40" s="693"/>
      <c r="AH40" s="694"/>
      <c r="AI40" s="684"/>
      <c r="AJ40" s="684"/>
      <c r="AK40" s="695"/>
      <c r="AL40" s="693"/>
      <c r="AM40" s="693"/>
      <c r="AN40" s="696"/>
      <c r="AP40" s="650" t="str">
        <f>'Q (t)'!C56</f>
        <v>LBAD201</v>
      </c>
      <c r="AQ40" s="661"/>
      <c r="AR40" s="653" t="str">
        <f>'Q (t)'!E56</f>
        <v>Large Business Annual Demand</v>
      </c>
      <c r="AS40" s="684">
        <f>'TUoS (t)'!G56</f>
        <v>0</v>
      </c>
      <c r="AT40" s="695"/>
      <c r="AU40" s="684">
        <f>'TUoS (t)'!I56</f>
        <v>1.89E-2</v>
      </c>
      <c r="AV40" s="684"/>
      <c r="AW40" s="686">
        <f>'TUoS (t)'!K56</f>
        <v>1.18E-2</v>
      </c>
      <c r="AX40" s="685">
        <f>'TUoS (t)'!S56</f>
        <v>0.11609999999999999</v>
      </c>
      <c r="AY40" s="684">
        <f>'TUoS (t)'!T56</f>
        <v>0</v>
      </c>
      <c r="AZ40" s="695"/>
      <c r="BA40" s="693"/>
      <c r="BB40" s="694"/>
      <c r="BC40" s="684"/>
      <c r="BD40" s="684"/>
      <c r="BE40" s="695"/>
      <c r="BF40" s="693"/>
      <c r="BG40" s="693"/>
      <c r="BH40" s="696"/>
      <c r="BJ40" s="650" t="str">
        <f>'Q (t)'!C56</f>
        <v>LBAD201</v>
      </c>
      <c r="BK40" s="661"/>
      <c r="BL40" s="653" t="str">
        <f>'Q (t)'!E56</f>
        <v>Large Business Annual Demand</v>
      </c>
      <c r="BM40" s="684">
        <f>'JSO (t)'!G56</f>
        <v>0</v>
      </c>
      <c r="BN40" s="695"/>
      <c r="BO40" s="684">
        <f>'JSO (t)'!I56</f>
        <v>6.6E-3</v>
      </c>
      <c r="BP40" s="684"/>
      <c r="BQ40" s="686">
        <f>'JSO (t)'!K56</f>
        <v>4.1000000000000003E-3</v>
      </c>
      <c r="BR40" s="685">
        <f>'JSO (t)'!S56</f>
        <v>0</v>
      </c>
      <c r="BS40" s="684">
        <f>'JSO (t)'!T56</f>
        <v>0</v>
      </c>
      <c r="BT40" s="695"/>
      <c r="BU40" s="693"/>
      <c r="BV40" s="694"/>
      <c r="BW40" s="684"/>
      <c r="BX40" s="684"/>
      <c r="BY40" s="695"/>
      <c r="BZ40" s="693"/>
      <c r="CA40" s="693"/>
      <c r="CB40" s="696"/>
    </row>
    <row r="41" spans="2:80" ht="15" customHeight="1" x14ac:dyDescent="0.2">
      <c r="B41" s="771" t="str">
        <f>'Q (t)'!C58</f>
        <v>LBAD292</v>
      </c>
      <c r="C41" s="785"/>
      <c r="D41" s="783" t="str">
        <f>'Q (t)'!E58</f>
        <v>Large Business Annual Demand</v>
      </c>
      <c r="E41" s="691">
        <f>'NUoS (t)'!G58</f>
        <v>130.07259999999999</v>
      </c>
      <c r="F41" s="697"/>
      <c r="G41" s="691">
        <f>'NUoS (t)'!I58</f>
        <v>6.7299999999999999E-2</v>
      </c>
      <c r="H41" s="691"/>
      <c r="I41" s="692">
        <f>'NUoS (t)'!K58</f>
        <v>4.2000000000000003E-2</v>
      </c>
      <c r="J41" s="773">
        <f>'NUoS (t)'!S58</f>
        <v>0.25990000000000002</v>
      </c>
      <c r="K41" s="692">
        <f>'NUoS (t)'!T58</f>
        <v>0</v>
      </c>
      <c r="L41" s="697"/>
      <c r="M41" s="698"/>
      <c r="N41" s="699"/>
      <c r="O41" s="691"/>
      <c r="P41" s="691"/>
      <c r="Q41" s="697"/>
      <c r="R41" s="698"/>
      <c r="S41" s="698"/>
      <c r="T41" s="700"/>
      <c r="V41" s="771" t="str">
        <f>'Q (t)'!C58</f>
        <v>LBAD292</v>
      </c>
      <c r="W41" s="785"/>
      <c r="X41" s="783" t="str">
        <f>'Q (t)'!E58</f>
        <v>Large Business Annual Demand</v>
      </c>
      <c r="Y41" s="691">
        <f>'DUoS (t)'!G58</f>
        <v>130.07259999999999</v>
      </c>
      <c r="Z41" s="697"/>
      <c r="AA41" s="691">
        <f>'DUoS (t)'!I58</f>
        <v>4.1799999999999997E-2</v>
      </c>
      <c r="AB41" s="691"/>
      <c r="AC41" s="692">
        <f>'DUoS (t)'!K58</f>
        <v>2.6100000000000002E-2</v>
      </c>
      <c r="AD41" s="773">
        <f>'DUoS (t)'!S58</f>
        <v>0.14380000000000001</v>
      </c>
      <c r="AE41" s="692">
        <f>'DUoS (t)'!T58</f>
        <v>0</v>
      </c>
      <c r="AF41" s="697"/>
      <c r="AG41" s="698"/>
      <c r="AH41" s="699"/>
      <c r="AI41" s="691"/>
      <c r="AJ41" s="691"/>
      <c r="AK41" s="697"/>
      <c r="AL41" s="698"/>
      <c r="AM41" s="698"/>
      <c r="AN41" s="700"/>
      <c r="AP41" s="771" t="str">
        <f>'Q (t)'!C58</f>
        <v>LBAD292</v>
      </c>
      <c r="AQ41" s="785"/>
      <c r="AR41" s="783" t="str">
        <f>'Q (t)'!E58</f>
        <v>Large Business Annual Demand</v>
      </c>
      <c r="AS41" s="691">
        <f>'TUoS (t)'!G58</f>
        <v>0</v>
      </c>
      <c r="AT41" s="697"/>
      <c r="AU41" s="691">
        <f>'TUoS (t)'!I58</f>
        <v>1.89E-2</v>
      </c>
      <c r="AV41" s="691"/>
      <c r="AW41" s="692">
        <f>'TUoS (t)'!K58</f>
        <v>1.18E-2</v>
      </c>
      <c r="AX41" s="773">
        <f>'TUoS (t)'!S58</f>
        <v>0.11609999999999999</v>
      </c>
      <c r="AY41" s="691">
        <f>'TUoS (t)'!T58</f>
        <v>0</v>
      </c>
      <c r="AZ41" s="697"/>
      <c r="BA41" s="698"/>
      <c r="BB41" s="699"/>
      <c r="BC41" s="691"/>
      <c r="BD41" s="691"/>
      <c r="BE41" s="697"/>
      <c r="BF41" s="698"/>
      <c r="BG41" s="698"/>
      <c r="BH41" s="700"/>
      <c r="BJ41" s="771" t="str">
        <f>'Q (t)'!C58</f>
        <v>LBAD292</v>
      </c>
      <c r="BK41" s="785"/>
      <c r="BL41" s="783" t="str">
        <f>'Q (t)'!E58</f>
        <v>Large Business Annual Demand</v>
      </c>
      <c r="BM41" s="691">
        <f>'JSO (t)'!G58</f>
        <v>0</v>
      </c>
      <c r="BN41" s="697"/>
      <c r="BO41" s="691">
        <f>'JSO (t)'!I58</f>
        <v>6.6E-3</v>
      </c>
      <c r="BP41" s="691"/>
      <c r="BQ41" s="692">
        <f>'JSO (t)'!K58</f>
        <v>4.1000000000000003E-3</v>
      </c>
      <c r="BR41" s="773">
        <f>'JSO (t)'!S58</f>
        <v>0</v>
      </c>
      <c r="BS41" s="691">
        <f>'JSO (t)'!T58</f>
        <v>0</v>
      </c>
      <c r="BT41" s="697"/>
      <c r="BU41" s="698"/>
      <c r="BV41" s="699"/>
      <c r="BW41" s="691"/>
      <c r="BX41" s="691"/>
      <c r="BY41" s="697"/>
      <c r="BZ41" s="698"/>
      <c r="CA41" s="698"/>
      <c r="CB41" s="700"/>
    </row>
    <row r="42" spans="2:80" ht="15" customHeight="1" x14ac:dyDescent="0.2">
      <c r="B42" s="771" t="str">
        <f>'Q (t)'!C59</f>
        <v>LBAD322</v>
      </c>
      <c r="C42" s="785"/>
      <c r="D42" s="783" t="str">
        <f>'Q (t)'!E59</f>
        <v>Large Business Annual Demand</v>
      </c>
      <c r="E42" s="691">
        <f>'NUoS (t)'!G59</f>
        <v>99.633600000000001</v>
      </c>
      <c r="F42" s="697"/>
      <c r="G42" s="691">
        <f>'NUoS (t)'!I59</f>
        <v>6.7299999999999999E-2</v>
      </c>
      <c r="H42" s="691"/>
      <c r="I42" s="692">
        <f>'NUoS (t)'!K59</f>
        <v>4.2000000000000003E-2</v>
      </c>
      <c r="J42" s="773">
        <f>'NUoS (t)'!S59</f>
        <v>0.25990000000000002</v>
      </c>
      <c r="K42" s="692">
        <f>'NUoS (t)'!T59</f>
        <v>0</v>
      </c>
      <c r="L42" s="697"/>
      <c r="M42" s="698"/>
      <c r="N42" s="699"/>
      <c r="O42" s="691"/>
      <c r="P42" s="691"/>
      <c r="Q42" s="697"/>
      <c r="R42" s="698"/>
      <c r="S42" s="698"/>
      <c r="T42" s="700"/>
      <c r="V42" s="771" t="str">
        <f>'Q (t)'!C59</f>
        <v>LBAD322</v>
      </c>
      <c r="W42" s="785"/>
      <c r="X42" s="783" t="str">
        <f>'Q (t)'!E59</f>
        <v>Large Business Annual Demand</v>
      </c>
      <c r="Y42" s="691">
        <f>'DUoS (t)'!G59</f>
        <v>99.633600000000001</v>
      </c>
      <c r="Z42" s="697"/>
      <c r="AA42" s="691">
        <f>'DUoS (t)'!I59</f>
        <v>4.1799999999999997E-2</v>
      </c>
      <c r="AB42" s="691"/>
      <c r="AC42" s="692">
        <f>'DUoS (t)'!K59</f>
        <v>2.6100000000000002E-2</v>
      </c>
      <c r="AD42" s="773">
        <f>'DUoS (t)'!S59</f>
        <v>0.14380000000000001</v>
      </c>
      <c r="AE42" s="692">
        <f>'DUoS (t)'!T59</f>
        <v>0</v>
      </c>
      <c r="AF42" s="697"/>
      <c r="AG42" s="698"/>
      <c r="AH42" s="699"/>
      <c r="AI42" s="691"/>
      <c r="AJ42" s="691"/>
      <c r="AK42" s="697"/>
      <c r="AL42" s="698"/>
      <c r="AM42" s="698"/>
      <c r="AN42" s="700"/>
      <c r="AP42" s="771" t="str">
        <f>'Q (t)'!C59</f>
        <v>LBAD322</v>
      </c>
      <c r="AQ42" s="785"/>
      <c r="AR42" s="783" t="str">
        <f>'Q (t)'!E59</f>
        <v>Large Business Annual Demand</v>
      </c>
      <c r="AS42" s="691">
        <f>'TUoS (t)'!G59</f>
        <v>0</v>
      </c>
      <c r="AT42" s="697"/>
      <c r="AU42" s="691">
        <f>'TUoS (t)'!I59</f>
        <v>1.89E-2</v>
      </c>
      <c r="AV42" s="691"/>
      <c r="AW42" s="692">
        <f>'TUoS (t)'!K59</f>
        <v>1.18E-2</v>
      </c>
      <c r="AX42" s="773">
        <f>'TUoS (t)'!S59</f>
        <v>0.11609999999999999</v>
      </c>
      <c r="AY42" s="691">
        <f>'TUoS (t)'!T59</f>
        <v>0</v>
      </c>
      <c r="AZ42" s="697"/>
      <c r="BA42" s="698"/>
      <c r="BB42" s="699"/>
      <c r="BC42" s="691"/>
      <c r="BD42" s="691"/>
      <c r="BE42" s="697"/>
      <c r="BF42" s="698"/>
      <c r="BG42" s="698"/>
      <c r="BH42" s="700"/>
      <c r="BJ42" s="771" t="str">
        <f>'Q (t)'!C59</f>
        <v>LBAD322</v>
      </c>
      <c r="BK42" s="785"/>
      <c r="BL42" s="783" t="str">
        <f>'Q (t)'!E59</f>
        <v>Large Business Annual Demand</v>
      </c>
      <c r="BM42" s="691">
        <f>'JSO (t)'!G59</f>
        <v>0</v>
      </c>
      <c r="BN42" s="697"/>
      <c r="BO42" s="691">
        <f>'JSO (t)'!I59</f>
        <v>6.6E-3</v>
      </c>
      <c r="BP42" s="691"/>
      <c r="BQ42" s="692">
        <f>'JSO (t)'!K59</f>
        <v>4.1000000000000003E-3</v>
      </c>
      <c r="BR42" s="773">
        <f>'JSO (t)'!S59</f>
        <v>0</v>
      </c>
      <c r="BS42" s="691">
        <f>'JSO (t)'!T59</f>
        <v>0</v>
      </c>
      <c r="BT42" s="697"/>
      <c r="BU42" s="698"/>
      <c r="BV42" s="699"/>
      <c r="BW42" s="691"/>
      <c r="BX42" s="691"/>
      <c r="BY42" s="697"/>
      <c r="BZ42" s="698"/>
      <c r="CA42" s="698"/>
      <c r="CB42" s="700"/>
    </row>
    <row r="43" spans="2:80" ht="15" customHeight="1" x14ac:dyDescent="0.2">
      <c r="B43" s="650" t="str">
        <f>'Q (t)'!C60</f>
        <v>LBAD342</v>
      </c>
      <c r="C43" s="661"/>
      <c r="D43" s="653" t="str">
        <f>'Q (t)'!E60</f>
        <v>Large Business Annual Demand</v>
      </c>
      <c r="E43" s="684">
        <f>'NUoS (t)'!G60</f>
        <v>271.72080000000005</v>
      </c>
      <c r="F43" s="695"/>
      <c r="G43" s="684">
        <f>'NUoS (t)'!I60</f>
        <v>6.7299999999999999E-2</v>
      </c>
      <c r="H43" s="684"/>
      <c r="I43" s="686">
        <f>'NUoS (t)'!K60</f>
        <v>4.2000000000000003E-2</v>
      </c>
      <c r="J43" s="685">
        <f>'NUoS (t)'!S60</f>
        <v>0.25990000000000002</v>
      </c>
      <c r="K43" s="686">
        <f>'NUoS (t)'!T60</f>
        <v>0</v>
      </c>
      <c r="L43" s="695"/>
      <c r="M43" s="693"/>
      <c r="N43" s="694"/>
      <c r="O43" s="684"/>
      <c r="P43" s="684"/>
      <c r="Q43" s="695"/>
      <c r="R43" s="693"/>
      <c r="S43" s="693"/>
      <c r="T43" s="696"/>
      <c r="V43" s="650" t="str">
        <f>'Q (t)'!C60</f>
        <v>LBAD342</v>
      </c>
      <c r="W43" s="661"/>
      <c r="X43" s="653" t="str">
        <f>'Q (t)'!E60</f>
        <v>Large Business Annual Demand</v>
      </c>
      <c r="Y43" s="684">
        <f>'DUoS (t)'!G60</f>
        <v>271.72080000000005</v>
      </c>
      <c r="Z43" s="695"/>
      <c r="AA43" s="684">
        <f>'DUoS (t)'!I60</f>
        <v>4.1799999999999997E-2</v>
      </c>
      <c r="AB43" s="684"/>
      <c r="AC43" s="686">
        <f>'DUoS (t)'!K60</f>
        <v>2.6100000000000002E-2</v>
      </c>
      <c r="AD43" s="685">
        <f>'DUoS (t)'!S60</f>
        <v>0.14380000000000001</v>
      </c>
      <c r="AE43" s="686">
        <f>'DUoS (t)'!T60</f>
        <v>0</v>
      </c>
      <c r="AF43" s="695"/>
      <c r="AG43" s="693"/>
      <c r="AH43" s="694"/>
      <c r="AI43" s="684"/>
      <c r="AJ43" s="684"/>
      <c r="AK43" s="695"/>
      <c r="AL43" s="693"/>
      <c r="AM43" s="693"/>
      <c r="AN43" s="696"/>
      <c r="AP43" s="650" t="str">
        <f>'Q (t)'!C60</f>
        <v>LBAD342</v>
      </c>
      <c r="AQ43" s="661"/>
      <c r="AR43" s="653" t="str">
        <f>'Q (t)'!E60</f>
        <v>Large Business Annual Demand</v>
      </c>
      <c r="AS43" s="684">
        <f>'TUoS (t)'!G60</f>
        <v>0</v>
      </c>
      <c r="AT43" s="695"/>
      <c r="AU43" s="684">
        <f>'TUoS (t)'!I60</f>
        <v>1.89E-2</v>
      </c>
      <c r="AV43" s="684"/>
      <c r="AW43" s="686">
        <f>'TUoS (t)'!K60</f>
        <v>1.18E-2</v>
      </c>
      <c r="AX43" s="685">
        <f>'TUoS (t)'!S60</f>
        <v>0.11609999999999999</v>
      </c>
      <c r="AY43" s="684">
        <f>'TUoS (t)'!T60</f>
        <v>0</v>
      </c>
      <c r="AZ43" s="695"/>
      <c r="BA43" s="693"/>
      <c r="BB43" s="694"/>
      <c r="BC43" s="684"/>
      <c r="BD43" s="684"/>
      <c r="BE43" s="695"/>
      <c r="BF43" s="693"/>
      <c r="BG43" s="693"/>
      <c r="BH43" s="696"/>
      <c r="BJ43" s="650" t="str">
        <f>'Q (t)'!C60</f>
        <v>LBAD342</v>
      </c>
      <c r="BK43" s="661"/>
      <c r="BL43" s="653" t="str">
        <f>'Q (t)'!E60</f>
        <v>Large Business Annual Demand</v>
      </c>
      <c r="BM43" s="684">
        <f>'JSO (t)'!G60</f>
        <v>0</v>
      </c>
      <c r="BN43" s="695"/>
      <c r="BO43" s="684">
        <f>'JSO (t)'!I60</f>
        <v>6.6E-3</v>
      </c>
      <c r="BP43" s="684"/>
      <c r="BQ43" s="686">
        <f>'JSO (t)'!K60</f>
        <v>4.1000000000000003E-3</v>
      </c>
      <c r="BR43" s="685">
        <f>'JSO (t)'!S60</f>
        <v>0</v>
      </c>
      <c r="BS43" s="684">
        <f>'JSO (t)'!T60</f>
        <v>0</v>
      </c>
      <c r="BT43" s="695"/>
      <c r="BU43" s="693"/>
      <c r="BV43" s="694"/>
      <c r="BW43" s="684"/>
      <c r="BX43" s="684"/>
      <c r="BY43" s="695"/>
      <c r="BZ43" s="693"/>
      <c r="CA43" s="693"/>
      <c r="CB43" s="696"/>
    </row>
    <row r="44" spans="2:80" ht="15" customHeight="1" x14ac:dyDescent="0.2">
      <c r="B44" s="650" t="str">
        <f>'Q (t)'!C61</f>
        <v>LBAD422</v>
      </c>
      <c r="C44" s="661"/>
      <c r="D44" s="653" t="str">
        <f>'Q (t)'!E61</f>
        <v>Large Business Annual Demand</v>
      </c>
      <c r="E44" s="684">
        <f>'NUoS (t)'!G61</f>
        <v>203.821</v>
      </c>
      <c r="F44" s="695"/>
      <c r="G44" s="684">
        <f>'NUoS (t)'!I61</f>
        <v>6.7299999999999999E-2</v>
      </c>
      <c r="H44" s="684"/>
      <c r="I44" s="686">
        <f>'NUoS (t)'!K61</f>
        <v>4.2000000000000003E-2</v>
      </c>
      <c r="J44" s="685">
        <f>'NUoS (t)'!S61</f>
        <v>0.25990000000000002</v>
      </c>
      <c r="K44" s="686">
        <f>'NUoS (t)'!T61</f>
        <v>0</v>
      </c>
      <c r="L44" s="695"/>
      <c r="M44" s="693"/>
      <c r="N44" s="694"/>
      <c r="O44" s="684"/>
      <c r="P44" s="684"/>
      <c r="Q44" s="695"/>
      <c r="R44" s="693"/>
      <c r="S44" s="693"/>
      <c r="T44" s="696"/>
      <c r="V44" s="650" t="str">
        <f>'Q (t)'!C61</f>
        <v>LBAD422</v>
      </c>
      <c r="W44" s="661"/>
      <c r="X44" s="653" t="str">
        <f>'Q (t)'!E61</f>
        <v>Large Business Annual Demand</v>
      </c>
      <c r="Y44" s="684">
        <f>'DUoS (t)'!G61</f>
        <v>203.821</v>
      </c>
      <c r="Z44" s="695"/>
      <c r="AA44" s="684">
        <f>'DUoS (t)'!I61</f>
        <v>4.1799999999999997E-2</v>
      </c>
      <c r="AB44" s="684"/>
      <c r="AC44" s="686">
        <f>'DUoS (t)'!K61</f>
        <v>2.6100000000000002E-2</v>
      </c>
      <c r="AD44" s="685">
        <f>'DUoS (t)'!S61</f>
        <v>0.14380000000000001</v>
      </c>
      <c r="AE44" s="686">
        <f>'DUoS (t)'!T61</f>
        <v>0</v>
      </c>
      <c r="AF44" s="695"/>
      <c r="AG44" s="693"/>
      <c r="AH44" s="694"/>
      <c r="AI44" s="684"/>
      <c r="AJ44" s="684"/>
      <c r="AK44" s="695"/>
      <c r="AL44" s="693"/>
      <c r="AM44" s="693"/>
      <c r="AN44" s="696"/>
      <c r="AP44" s="650" t="str">
        <f>'Q (t)'!C61</f>
        <v>LBAD422</v>
      </c>
      <c r="AQ44" s="661"/>
      <c r="AR44" s="653" t="str">
        <f>'Q (t)'!E61</f>
        <v>Large Business Annual Demand</v>
      </c>
      <c r="AS44" s="684">
        <f>'TUoS (t)'!G61</f>
        <v>0</v>
      </c>
      <c r="AT44" s="695"/>
      <c r="AU44" s="684">
        <f>'TUoS (t)'!I61</f>
        <v>1.89E-2</v>
      </c>
      <c r="AV44" s="684"/>
      <c r="AW44" s="686">
        <f>'TUoS (t)'!K61</f>
        <v>1.18E-2</v>
      </c>
      <c r="AX44" s="685">
        <f>'TUoS (t)'!S61</f>
        <v>0.11609999999999999</v>
      </c>
      <c r="AY44" s="684">
        <f>'TUoS (t)'!T61</f>
        <v>0</v>
      </c>
      <c r="AZ44" s="695"/>
      <c r="BA44" s="693"/>
      <c r="BB44" s="694"/>
      <c r="BC44" s="684"/>
      <c r="BD44" s="684"/>
      <c r="BE44" s="695"/>
      <c r="BF44" s="693"/>
      <c r="BG44" s="693"/>
      <c r="BH44" s="696"/>
      <c r="BJ44" s="650" t="str">
        <f>'Q (t)'!C61</f>
        <v>LBAD422</v>
      </c>
      <c r="BK44" s="661"/>
      <c r="BL44" s="653" t="str">
        <f>'Q (t)'!E61</f>
        <v>Large Business Annual Demand</v>
      </c>
      <c r="BM44" s="684">
        <f>'JSO (t)'!G61</f>
        <v>0</v>
      </c>
      <c r="BN44" s="695"/>
      <c r="BO44" s="684">
        <f>'JSO (t)'!I61</f>
        <v>6.6E-3</v>
      </c>
      <c r="BP44" s="684"/>
      <c r="BQ44" s="686">
        <f>'JSO (t)'!K61</f>
        <v>4.1000000000000003E-3</v>
      </c>
      <c r="BR44" s="685">
        <f>'JSO (t)'!S61</f>
        <v>0</v>
      </c>
      <c r="BS44" s="684">
        <f>'JSO (t)'!T61</f>
        <v>0</v>
      </c>
      <c r="BT44" s="695"/>
      <c r="BU44" s="693"/>
      <c r="BV44" s="694"/>
      <c r="BW44" s="684"/>
      <c r="BX44" s="684"/>
      <c r="BY44" s="695"/>
      <c r="BZ44" s="693"/>
      <c r="CA44" s="693"/>
      <c r="CB44" s="696"/>
    </row>
    <row r="45" spans="2:80" ht="15" customHeight="1" x14ac:dyDescent="0.2">
      <c r="B45" s="771" t="str">
        <f>'Q (t)'!C62</f>
        <v>LBAD432</v>
      </c>
      <c r="C45" s="785"/>
      <c r="D45" s="783" t="str">
        <f>'Q (t)'!E62</f>
        <v>Large Business Annual Demand</v>
      </c>
      <c r="E45" s="691">
        <f>'NUoS (t)'!G62</f>
        <v>265.73720000000003</v>
      </c>
      <c r="F45" s="697"/>
      <c r="G45" s="691">
        <f>'NUoS (t)'!I62</f>
        <v>6.7299999999999999E-2</v>
      </c>
      <c r="H45" s="691"/>
      <c r="I45" s="692">
        <f>'NUoS (t)'!K62</f>
        <v>4.2000000000000003E-2</v>
      </c>
      <c r="J45" s="773">
        <f>'NUoS (t)'!S62</f>
        <v>0.25990000000000002</v>
      </c>
      <c r="K45" s="692">
        <f>'NUoS (t)'!T62</f>
        <v>0</v>
      </c>
      <c r="L45" s="697"/>
      <c r="M45" s="698"/>
      <c r="N45" s="699"/>
      <c r="O45" s="691"/>
      <c r="P45" s="691"/>
      <c r="Q45" s="697"/>
      <c r="R45" s="698"/>
      <c r="S45" s="698"/>
      <c r="T45" s="700"/>
      <c r="V45" s="771" t="str">
        <f>'Q (t)'!C62</f>
        <v>LBAD432</v>
      </c>
      <c r="W45" s="785"/>
      <c r="X45" s="783" t="str">
        <f>'Q (t)'!E62</f>
        <v>Large Business Annual Demand</v>
      </c>
      <c r="Y45" s="691">
        <f>'DUoS (t)'!G62</f>
        <v>265.73720000000003</v>
      </c>
      <c r="Z45" s="697"/>
      <c r="AA45" s="691">
        <f>'DUoS (t)'!I62</f>
        <v>4.1799999999999997E-2</v>
      </c>
      <c r="AB45" s="691"/>
      <c r="AC45" s="692">
        <f>'DUoS (t)'!K62</f>
        <v>2.6100000000000002E-2</v>
      </c>
      <c r="AD45" s="773">
        <f>'DUoS (t)'!S62</f>
        <v>0.14380000000000001</v>
      </c>
      <c r="AE45" s="692">
        <f>'DUoS (t)'!T62</f>
        <v>0</v>
      </c>
      <c r="AF45" s="697"/>
      <c r="AG45" s="698"/>
      <c r="AH45" s="699"/>
      <c r="AI45" s="691"/>
      <c r="AJ45" s="691"/>
      <c r="AK45" s="697"/>
      <c r="AL45" s="698"/>
      <c r="AM45" s="698"/>
      <c r="AN45" s="700"/>
      <c r="AP45" s="771" t="str">
        <f>'Q (t)'!C62</f>
        <v>LBAD432</v>
      </c>
      <c r="AQ45" s="785"/>
      <c r="AR45" s="783" t="str">
        <f>'Q (t)'!E62</f>
        <v>Large Business Annual Demand</v>
      </c>
      <c r="AS45" s="691">
        <f>'TUoS (t)'!G62</f>
        <v>0</v>
      </c>
      <c r="AT45" s="697"/>
      <c r="AU45" s="691">
        <f>'TUoS (t)'!I62</f>
        <v>1.89E-2</v>
      </c>
      <c r="AV45" s="691"/>
      <c r="AW45" s="692">
        <f>'TUoS (t)'!K62</f>
        <v>1.18E-2</v>
      </c>
      <c r="AX45" s="773">
        <f>'TUoS (t)'!S62</f>
        <v>0.11609999999999999</v>
      </c>
      <c r="AY45" s="691">
        <f>'TUoS (t)'!T62</f>
        <v>0</v>
      </c>
      <c r="AZ45" s="697"/>
      <c r="BA45" s="698"/>
      <c r="BB45" s="699"/>
      <c r="BC45" s="691"/>
      <c r="BD45" s="691"/>
      <c r="BE45" s="697"/>
      <c r="BF45" s="698"/>
      <c r="BG45" s="698"/>
      <c r="BH45" s="700"/>
      <c r="BJ45" s="771" t="str">
        <f>'Q (t)'!C62</f>
        <v>LBAD432</v>
      </c>
      <c r="BK45" s="785"/>
      <c r="BL45" s="783" t="str">
        <f>'Q (t)'!E62</f>
        <v>Large Business Annual Demand</v>
      </c>
      <c r="BM45" s="691">
        <f>'JSO (t)'!G62</f>
        <v>0</v>
      </c>
      <c r="BN45" s="697"/>
      <c r="BO45" s="691">
        <f>'JSO (t)'!I62</f>
        <v>6.6E-3</v>
      </c>
      <c r="BP45" s="691"/>
      <c r="BQ45" s="692">
        <f>'JSO (t)'!K62</f>
        <v>4.1000000000000003E-3</v>
      </c>
      <c r="BR45" s="773">
        <f>'JSO (t)'!S62</f>
        <v>0</v>
      </c>
      <c r="BS45" s="691">
        <f>'JSO (t)'!T62</f>
        <v>0</v>
      </c>
      <c r="BT45" s="697"/>
      <c r="BU45" s="698"/>
      <c r="BV45" s="699"/>
      <c r="BW45" s="691"/>
      <c r="BX45" s="691"/>
      <c r="BY45" s="697"/>
      <c r="BZ45" s="698"/>
      <c r="CA45" s="698"/>
      <c r="CB45" s="700"/>
    </row>
    <row r="46" spans="2:80" ht="15" customHeight="1" x14ac:dyDescent="0.2">
      <c r="B46" s="771" t="str">
        <f>'Q (t)'!C63</f>
        <v>LBAD517</v>
      </c>
      <c r="C46" s="785"/>
      <c r="D46" s="783" t="str">
        <f>'Q (t)'!E63</f>
        <v>Large Business Annual Demand</v>
      </c>
      <c r="E46" s="691">
        <f>'NUoS (t)'!G63</f>
        <v>49.570000000000007</v>
      </c>
      <c r="F46" s="697"/>
      <c r="G46" s="691">
        <f>'NUoS (t)'!I63</f>
        <v>6.7299999999999999E-2</v>
      </c>
      <c r="H46" s="691"/>
      <c r="I46" s="692">
        <f>'NUoS (t)'!K63</f>
        <v>4.2000000000000003E-2</v>
      </c>
      <c r="J46" s="773">
        <f>'NUoS (t)'!S63</f>
        <v>0.25990000000000002</v>
      </c>
      <c r="K46" s="692">
        <f>'NUoS (t)'!T63</f>
        <v>0</v>
      </c>
      <c r="L46" s="697"/>
      <c r="M46" s="698"/>
      <c r="N46" s="699"/>
      <c r="O46" s="691"/>
      <c r="P46" s="691"/>
      <c r="Q46" s="697"/>
      <c r="R46" s="698"/>
      <c r="S46" s="698"/>
      <c r="T46" s="700"/>
      <c r="V46" s="771" t="str">
        <f>'Q (t)'!C63</f>
        <v>LBAD517</v>
      </c>
      <c r="W46" s="785"/>
      <c r="X46" s="783" t="str">
        <f>'Q (t)'!E63</f>
        <v>Large Business Annual Demand</v>
      </c>
      <c r="Y46" s="691">
        <f>'DUoS (t)'!G63</f>
        <v>49.570000000000007</v>
      </c>
      <c r="Z46" s="697"/>
      <c r="AA46" s="691">
        <f>'DUoS (t)'!I63</f>
        <v>4.1799999999999997E-2</v>
      </c>
      <c r="AB46" s="691"/>
      <c r="AC46" s="692">
        <f>'DUoS (t)'!K63</f>
        <v>2.6100000000000002E-2</v>
      </c>
      <c r="AD46" s="773">
        <f>'DUoS (t)'!S63</f>
        <v>0.14380000000000001</v>
      </c>
      <c r="AE46" s="692">
        <f>'DUoS (t)'!T63</f>
        <v>0</v>
      </c>
      <c r="AF46" s="697"/>
      <c r="AG46" s="698"/>
      <c r="AH46" s="699"/>
      <c r="AI46" s="691"/>
      <c r="AJ46" s="691"/>
      <c r="AK46" s="697"/>
      <c r="AL46" s="698"/>
      <c r="AM46" s="698"/>
      <c r="AN46" s="700"/>
      <c r="AP46" s="771" t="str">
        <f>'Q (t)'!C63</f>
        <v>LBAD517</v>
      </c>
      <c r="AQ46" s="785"/>
      <c r="AR46" s="783" t="str">
        <f>'Q (t)'!E63</f>
        <v>Large Business Annual Demand</v>
      </c>
      <c r="AS46" s="691">
        <f>'TUoS (t)'!G63</f>
        <v>0</v>
      </c>
      <c r="AT46" s="697"/>
      <c r="AU46" s="691">
        <f>'TUoS (t)'!I63</f>
        <v>1.89E-2</v>
      </c>
      <c r="AV46" s="691"/>
      <c r="AW46" s="692">
        <f>'TUoS (t)'!K63</f>
        <v>1.18E-2</v>
      </c>
      <c r="AX46" s="773">
        <f>'TUoS (t)'!S63</f>
        <v>0.11609999999999999</v>
      </c>
      <c r="AY46" s="691">
        <f>'TUoS (t)'!T63</f>
        <v>0</v>
      </c>
      <c r="AZ46" s="697"/>
      <c r="BA46" s="698"/>
      <c r="BB46" s="699"/>
      <c r="BC46" s="691"/>
      <c r="BD46" s="691"/>
      <c r="BE46" s="697"/>
      <c r="BF46" s="698"/>
      <c r="BG46" s="698"/>
      <c r="BH46" s="700"/>
      <c r="BJ46" s="771" t="str">
        <f>'Q (t)'!C63</f>
        <v>LBAD517</v>
      </c>
      <c r="BK46" s="785"/>
      <c r="BL46" s="783" t="str">
        <f>'Q (t)'!E63</f>
        <v>Large Business Annual Demand</v>
      </c>
      <c r="BM46" s="691">
        <f>'JSO (t)'!G63</f>
        <v>0</v>
      </c>
      <c r="BN46" s="697"/>
      <c r="BO46" s="691">
        <f>'JSO (t)'!I63</f>
        <v>6.6E-3</v>
      </c>
      <c r="BP46" s="691"/>
      <c r="BQ46" s="692">
        <f>'JSO (t)'!K63</f>
        <v>4.1000000000000003E-3</v>
      </c>
      <c r="BR46" s="773">
        <f>'JSO (t)'!S63</f>
        <v>0</v>
      </c>
      <c r="BS46" s="691">
        <f>'JSO (t)'!T63</f>
        <v>0</v>
      </c>
      <c r="BT46" s="697"/>
      <c r="BU46" s="698"/>
      <c r="BV46" s="699"/>
      <c r="BW46" s="691"/>
      <c r="BX46" s="691"/>
      <c r="BY46" s="697"/>
      <c r="BZ46" s="698"/>
      <c r="CA46" s="698"/>
      <c r="CB46" s="700"/>
    </row>
    <row r="47" spans="2:80" ht="15" customHeight="1" x14ac:dyDescent="0.2">
      <c r="B47" s="650" t="str">
        <f>'Q (t)'!C64</f>
        <v>LBAD583</v>
      </c>
      <c r="C47" s="661"/>
      <c r="D47" s="653" t="str">
        <f>'Q (t)'!E64</f>
        <v>Large Business Annual Demand</v>
      </c>
      <c r="E47" s="684">
        <f>'NUoS (t)'!G64</f>
        <v>54.710000000000008</v>
      </c>
      <c r="F47" s="695"/>
      <c r="G47" s="684">
        <f>'NUoS (t)'!I64</f>
        <v>6.7299999999999999E-2</v>
      </c>
      <c r="H47" s="684"/>
      <c r="I47" s="686">
        <f>'NUoS (t)'!K64</f>
        <v>4.2000000000000003E-2</v>
      </c>
      <c r="J47" s="685">
        <f>'NUoS (t)'!S64</f>
        <v>0.25990000000000002</v>
      </c>
      <c r="K47" s="686">
        <f>'NUoS (t)'!T64</f>
        <v>0</v>
      </c>
      <c r="L47" s="695"/>
      <c r="M47" s="693"/>
      <c r="N47" s="694"/>
      <c r="O47" s="684"/>
      <c r="P47" s="684"/>
      <c r="Q47" s="695"/>
      <c r="R47" s="693"/>
      <c r="S47" s="693"/>
      <c r="T47" s="696"/>
      <c r="V47" s="650" t="str">
        <f>'Q (t)'!C64</f>
        <v>LBAD583</v>
      </c>
      <c r="W47" s="661"/>
      <c r="X47" s="653" t="str">
        <f>'Q (t)'!E64</f>
        <v>Large Business Annual Demand</v>
      </c>
      <c r="Y47" s="684">
        <f>'DUoS (t)'!G64</f>
        <v>54.710000000000008</v>
      </c>
      <c r="Z47" s="695"/>
      <c r="AA47" s="684">
        <f>'DUoS (t)'!I64</f>
        <v>4.1799999999999997E-2</v>
      </c>
      <c r="AB47" s="684"/>
      <c r="AC47" s="686">
        <f>'DUoS (t)'!K64</f>
        <v>2.6100000000000002E-2</v>
      </c>
      <c r="AD47" s="685">
        <f>'DUoS (t)'!S64</f>
        <v>0.14380000000000001</v>
      </c>
      <c r="AE47" s="686">
        <f>'DUoS (t)'!T64</f>
        <v>0</v>
      </c>
      <c r="AF47" s="695"/>
      <c r="AG47" s="693"/>
      <c r="AH47" s="694"/>
      <c r="AI47" s="684"/>
      <c r="AJ47" s="684"/>
      <c r="AK47" s="695"/>
      <c r="AL47" s="693"/>
      <c r="AM47" s="693"/>
      <c r="AN47" s="696"/>
      <c r="AP47" s="650" t="str">
        <f>'Q (t)'!C64</f>
        <v>LBAD583</v>
      </c>
      <c r="AQ47" s="661"/>
      <c r="AR47" s="653" t="str">
        <f>'Q (t)'!E64</f>
        <v>Large Business Annual Demand</v>
      </c>
      <c r="AS47" s="684">
        <f>'TUoS (t)'!G64</f>
        <v>0</v>
      </c>
      <c r="AT47" s="695"/>
      <c r="AU47" s="684">
        <f>'TUoS (t)'!I64</f>
        <v>1.89E-2</v>
      </c>
      <c r="AV47" s="684"/>
      <c r="AW47" s="686">
        <f>'TUoS (t)'!K64</f>
        <v>1.18E-2</v>
      </c>
      <c r="AX47" s="685">
        <f>'TUoS (t)'!S64</f>
        <v>0.11609999999999999</v>
      </c>
      <c r="AY47" s="684">
        <f>'TUoS (t)'!T64</f>
        <v>0</v>
      </c>
      <c r="AZ47" s="695"/>
      <c r="BA47" s="693"/>
      <c r="BB47" s="694"/>
      <c r="BC47" s="684"/>
      <c r="BD47" s="684"/>
      <c r="BE47" s="695"/>
      <c r="BF47" s="693"/>
      <c r="BG47" s="693"/>
      <c r="BH47" s="696"/>
      <c r="BJ47" s="650" t="str">
        <f>'Q (t)'!C64</f>
        <v>LBAD583</v>
      </c>
      <c r="BK47" s="661"/>
      <c r="BL47" s="653" t="str">
        <f>'Q (t)'!E64</f>
        <v>Large Business Annual Demand</v>
      </c>
      <c r="BM47" s="684">
        <f>'JSO (t)'!G64</f>
        <v>0</v>
      </c>
      <c r="BN47" s="695"/>
      <c r="BO47" s="684">
        <f>'JSO (t)'!I64</f>
        <v>6.6E-3</v>
      </c>
      <c r="BP47" s="684"/>
      <c r="BQ47" s="686">
        <f>'JSO (t)'!K64</f>
        <v>4.1000000000000003E-3</v>
      </c>
      <c r="BR47" s="685">
        <f>'JSO (t)'!S64</f>
        <v>0</v>
      </c>
      <c r="BS47" s="684">
        <f>'JSO (t)'!T64</f>
        <v>0</v>
      </c>
      <c r="BT47" s="695"/>
      <c r="BU47" s="693"/>
      <c r="BV47" s="694"/>
      <c r="BW47" s="684"/>
      <c r="BX47" s="684"/>
      <c r="BY47" s="695"/>
      <c r="BZ47" s="693"/>
      <c r="CA47" s="693"/>
      <c r="CB47" s="696"/>
    </row>
    <row r="48" spans="2:80" ht="15" customHeight="1" x14ac:dyDescent="0.2">
      <c r="B48" s="650" t="str">
        <f>'Q (t)'!C66</f>
        <v>LBAD627</v>
      </c>
      <c r="C48" s="661"/>
      <c r="D48" s="653" t="str">
        <f>'Q (t)'!E66</f>
        <v>Large Business Annual Demand</v>
      </c>
      <c r="E48" s="684">
        <f>'NUoS (t)'!G66</f>
        <v>485.18459999999999</v>
      </c>
      <c r="F48" s="695"/>
      <c r="G48" s="684">
        <f>'NUoS (t)'!I66</f>
        <v>6.7299999999999999E-2</v>
      </c>
      <c r="H48" s="684"/>
      <c r="I48" s="686">
        <f>'NUoS (t)'!K66</f>
        <v>4.2000000000000003E-2</v>
      </c>
      <c r="J48" s="685">
        <f>'NUoS (t)'!S66</f>
        <v>0.25990000000000002</v>
      </c>
      <c r="K48" s="686">
        <f>'NUoS (t)'!T66</f>
        <v>0</v>
      </c>
      <c r="L48" s="695"/>
      <c r="M48" s="693"/>
      <c r="N48" s="694"/>
      <c r="O48" s="684"/>
      <c r="P48" s="684"/>
      <c r="Q48" s="695"/>
      <c r="R48" s="693"/>
      <c r="S48" s="693"/>
      <c r="T48" s="696"/>
      <c r="V48" s="650" t="str">
        <f>'Q (t)'!C66</f>
        <v>LBAD627</v>
      </c>
      <c r="W48" s="661"/>
      <c r="X48" s="653" t="str">
        <f>'Q (t)'!E66</f>
        <v>Large Business Annual Demand</v>
      </c>
      <c r="Y48" s="684">
        <f>'DUoS (t)'!G66</f>
        <v>485.18459999999999</v>
      </c>
      <c r="Z48" s="695"/>
      <c r="AA48" s="684">
        <f>'DUoS (t)'!I66</f>
        <v>4.1799999999999997E-2</v>
      </c>
      <c r="AB48" s="684"/>
      <c r="AC48" s="686">
        <f>'DUoS (t)'!K66</f>
        <v>2.6100000000000002E-2</v>
      </c>
      <c r="AD48" s="685">
        <f>'DUoS (t)'!S66</f>
        <v>0.14380000000000001</v>
      </c>
      <c r="AE48" s="686">
        <f>'DUoS (t)'!T66</f>
        <v>0</v>
      </c>
      <c r="AF48" s="695"/>
      <c r="AG48" s="693"/>
      <c r="AH48" s="694"/>
      <c r="AI48" s="684"/>
      <c r="AJ48" s="684"/>
      <c r="AK48" s="695"/>
      <c r="AL48" s="693"/>
      <c r="AM48" s="693"/>
      <c r="AN48" s="696"/>
      <c r="AP48" s="650" t="str">
        <f>'Q (t)'!C66</f>
        <v>LBAD627</v>
      </c>
      <c r="AQ48" s="661"/>
      <c r="AR48" s="653" t="str">
        <f>'Q (t)'!E66</f>
        <v>Large Business Annual Demand</v>
      </c>
      <c r="AS48" s="684">
        <f>'TUoS (t)'!G66</f>
        <v>0</v>
      </c>
      <c r="AT48" s="695"/>
      <c r="AU48" s="684">
        <f>'TUoS (t)'!I66</f>
        <v>1.89E-2</v>
      </c>
      <c r="AV48" s="684"/>
      <c r="AW48" s="686">
        <f>'TUoS (t)'!K66</f>
        <v>1.18E-2</v>
      </c>
      <c r="AX48" s="685">
        <f>'TUoS (t)'!S66</f>
        <v>0.11609999999999999</v>
      </c>
      <c r="AY48" s="684">
        <f>'TUoS (t)'!T66</f>
        <v>0</v>
      </c>
      <c r="AZ48" s="695"/>
      <c r="BA48" s="693"/>
      <c r="BB48" s="694"/>
      <c r="BC48" s="684"/>
      <c r="BD48" s="684"/>
      <c r="BE48" s="695"/>
      <c r="BF48" s="693"/>
      <c r="BG48" s="693"/>
      <c r="BH48" s="696"/>
      <c r="BJ48" s="650" t="str">
        <f>'Q (t)'!C66</f>
        <v>LBAD627</v>
      </c>
      <c r="BK48" s="661"/>
      <c r="BL48" s="653" t="str">
        <f>'Q (t)'!E66</f>
        <v>Large Business Annual Demand</v>
      </c>
      <c r="BM48" s="684">
        <f>'JSO (t)'!G66</f>
        <v>0</v>
      </c>
      <c r="BN48" s="695"/>
      <c r="BO48" s="684">
        <f>'JSO (t)'!I66</f>
        <v>6.6E-3</v>
      </c>
      <c r="BP48" s="684"/>
      <c r="BQ48" s="686">
        <f>'JSO (t)'!K66</f>
        <v>4.1000000000000003E-3</v>
      </c>
      <c r="BR48" s="685">
        <f>'JSO (t)'!S66</f>
        <v>0</v>
      </c>
      <c r="BS48" s="684">
        <f>'JSO (t)'!T66</f>
        <v>0</v>
      </c>
      <c r="BT48" s="695"/>
      <c r="BU48" s="693"/>
      <c r="BV48" s="694"/>
      <c r="BW48" s="684"/>
      <c r="BX48" s="684"/>
      <c r="BY48" s="695"/>
      <c r="BZ48" s="693"/>
      <c r="CA48" s="693"/>
      <c r="CB48" s="696"/>
    </row>
    <row r="49" spans="2:80" s="824" customFormat="1" ht="15" customHeight="1" x14ac:dyDescent="0.2">
      <c r="B49" s="771" t="str">
        <f>'Q (t)'!C67</f>
        <v>LBAD711</v>
      </c>
      <c r="C49" s="785"/>
      <c r="D49" s="783" t="str">
        <f>'Q (t)'!E67</f>
        <v>Large Business Annual Demand</v>
      </c>
      <c r="E49" s="691">
        <f>'NUoS (t)'!G67</f>
        <v>50.299800000000005</v>
      </c>
      <c r="F49" s="697"/>
      <c r="G49" s="691">
        <f>'NUoS (t)'!I67</f>
        <v>6.7299999999999999E-2</v>
      </c>
      <c r="H49" s="691"/>
      <c r="I49" s="692">
        <f>'NUoS (t)'!K67</f>
        <v>4.2000000000000003E-2</v>
      </c>
      <c r="J49" s="773">
        <f>'NUoS (t)'!S67</f>
        <v>0.25990000000000002</v>
      </c>
      <c r="K49" s="692">
        <f>'NUoS (t)'!T67</f>
        <v>0</v>
      </c>
      <c r="L49" s="697"/>
      <c r="M49" s="698"/>
      <c r="N49" s="699"/>
      <c r="O49" s="691"/>
      <c r="P49" s="691"/>
      <c r="Q49" s="697"/>
      <c r="R49" s="698"/>
      <c r="S49" s="698"/>
      <c r="T49" s="700"/>
      <c r="V49" s="771" t="str">
        <f>'Q (t)'!C67</f>
        <v>LBAD711</v>
      </c>
      <c r="W49" s="785"/>
      <c r="X49" s="783" t="str">
        <f>'Q (t)'!E67</f>
        <v>Large Business Annual Demand</v>
      </c>
      <c r="Y49" s="691">
        <f>'DUoS (t)'!G67</f>
        <v>50.299800000000005</v>
      </c>
      <c r="Z49" s="697"/>
      <c r="AA49" s="691">
        <f>'DUoS (t)'!I67</f>
        <v>4.1799999999999997E-2</v>
      </c>
      <c r="AB49" s="691"/>
      <c r="AC49" s="692">
        <f>'DUoS (t)'!K67</f>
        <v>2.6100000000000002E-2</v>
      </c>
      <c r="AD49" s="773">
        <f>'DUoS (t)'!S67</f>
        <v>0.14380000000000001</v>
      </c>
      <c r="AE49" s="692">
        <f>'DUoS (t)'!T67</f>
        <v>0</v>
      </c>
      <c r="AF49" s="697"/>
      <c r="AG49" s="698"/>
      <c r="AH49" s="699"/>
      <c r="AI49" s="691"/>
      <c r="AJ49" s="691"/>
      <c r="AK49" s="697"/>
      <c r="AL49" s="698"/>
      <c r="AM49" s="698"/>
      <c r="AN49" s="700"/>
      <c r="AP49" s="771" t="str">
        <f>'Q (t)'!C67</f>
        <v>LBAD711</v>
      </c>
      <c r="AQ49" s="785"/>
      <c r="AR49" s="783" t="str">
        <f>'Q (t)'!E67</f>
        <v>Large Business Annual Demand</v>
      </c>
      <c r="AS49" s="691">
        <f>'TUoS (t)'!G67</f>
        <v>0</v>
      </c>
      <c r="AT49" s="697"/>
      <c r="AU49" s="691">
        <f>'TUoS (t)'!I67</f>
        <v>1.89E-2</v>
      </c>
      <c r="AV49" s="691"/>
      <c r="AW49" s="692">
        <f>'TUoS (t)'!K67</f>
        <v>1.18E-2</v>
      </c>
      <c r="AX49" s="773">
        <f>'TUoS (t)'!S67</f>
        <v>0.11609999999999999</v>
      </c>
      <c r="AY49" s="691">
        <f>'TUoS (t)'!T67</f>
        <v>0</v>
      </c>
      <c r="AZ49" s="697"/>
      <c r="BA49" s="698"/>
      <c r="BB49" s="699"/>
      <c r="BC49" s="691"/>
      <c r="BD49" s="691"/>
      <c r="BE49" s="697"/>
      <c r="BF49" s="698"/>
      <c r="BG49" s="698"/>
      <c r="BH49" s="700"/>
      <c r="BJ49" s="771" t="str">
        <f>'Q (t)'!C67</f>
        <v>LBAD711</v>
      </c>
      <c r="BK49" s="785"/>
      <c r="BL49" s="783" t="str">
        <f>'Q (t)'!E67</f>
        <v>Large Business Annual Demand</v>
      </c>
      <c r="BM49" s="691">
        <f>'JSO (t)'!G67</f>
        <v>0</v>
      </c>
      <c r="BN49" s="697"/>
      <c r="BO49" s="691">
        <f>'JSO (t)'!I67</f>
        <v>6.6E-3</v>
      </c>
      <c r="BP49" s="691"/>
      <c r="BQ49" s="692">
        <f>'JSO (t)'!K67</f>
        <v>4.1000000000000003E-3</v>
      </c>
      <c r="BR49" s="773">
        <f>'JSO (t)'!S67</f>
        <v>0</v>
      </c>
      <c r="BS49" s="691">
        <f>'JSO (t)'!T67</f>
        <v>0</v>
      </c>
      <c r="BT49" s="697"/>
      <c r="BU49" s="698"/>
      <c r="BV49" s="699"/>
      <c r="BW49" s="691"/>
      <c r="BX49" s="691"/>
      <c r="BY49" s="697"/>
      <c r="BZ49" s="698"/>
      <c r="CA49" s="698"/>
      <c r="CB49" s="700"/>
    </row>
    <row r="50" spans="2:80" s="824" customFormat="1" ht="15" customHeight="1" x14ac:dyDescent="0.2">
      <c r="B50" s="771" t="str">
        <f>'Q (t)'!C68</f>
        <v>LBAD977</v>
      </c>
      <c r="C50" s="785"/>
      <c r="D50" s="783" t="str">
        <f>'Q (t)'!E68</f>
        <v>Large Business Annual Demand</v>
      </c>
      <c r="E50" s="691">
        <f>'NUoS (t)'!G68</f>
        <v>581.45639999999992</v>
      </c>
      <c r="F50" s="697"/>
      <c r="G50" s="691">
        <f>'NUoS (t)'!I68</f>
        <v>6.7299999999999999E-2</v>
      </c>
      <c r="H50" s="691"/>
      <c r="I50" s="692">
        <f>'NUoS (t)'!K68</f>
        <v>4.2000000000000003E-2</v>
      </c>
      <c r="J50" s="773">
        <f>'NUoS (t)'!S68</f>
        <v>0.25990000000000002</v>
      </c>
      <c r="K50" s="692">
        <f>'NUoS (t)'!T68</f>
        <v>0</v>
      </c>
      <c r="L50" s="697"/>
      <c r="M50" s="698"/>
      <c r="N50" s="699"/>
      <c r="O50" s="691"/>
      <c r="P50" s="691"/>
      <c r="Q50" s="697"/>
      <c r="R50" s="698"/>
      <c r="S50" s="698"/>
      <c r="T50" s="700"/>
      <c r="V50" s="771" t="str">
        <f>'Q (t)'!C68</f>
        <v>LBAD977</v>
      </c>
      <c r="W50" s="785"/>
      <c r="X50" s="783" t="str">
        <f>'Q (t)'!E68</f>
        <v>Large Business Annual Demand</v>
      </c>
      <c r="Y50" s="691">
        <f>'DUoS (t)'!G68</f>
        <v>581.45639999999992</v>
      </c>
      <c r="Z50" s="697"/>
      <c r="AA50" s="691">
        <f>'DUoS (t)'!I68</f>
        <v>4.1799999999999997E-2</v>
      </c>
      <c r="AB50" s="691"/>
      <c r="AC50" s="692">
        <f>'DUoS (t)'!K68</f>
        <v>2.6100000000000002E-2</v>
      </c>
      <c r="AD50" s="773">
        <f>'DUoS (t)'!S68</f>
        <v>0.14380000000000001</v>
      </c>
      <c r="AE50" s="692">
        <f>'DUoS (t)'!T68</f>
        <v>0</v>
      </c>
      <c r="AF50" s="697"/>
      <c r="AG50" s="698"/>
      <c r="AH50" s="699"/>
      <c r="AI50" s="691"/>
      <c r="AJ50" s="691"/>
      <c r="AK50" s="697"/>
      <c r="AL50" s="698"/>
      <c r="AM50" s="698"/>
      <c r="AN50" s="700"/>
      <c r="AP50" s="771" t="str">
        <f>'Q (t)'!C68</f>
        <v>LBAD977</v>
      </c>
      <c r="AQ50" s="785"/>
      <c r="AR50" s="783" t="str">
        <f>'Q (t)'!E68</f>
        <v>Large Business Annual Demand</v>
      </c>
      <c r="AS50" s="691">
        <f>'TUoS (t)'!G68</f>
        <v>0</v>
      </c>
      <c r="AT50" s="697"/>
      <c r="AU50" s="691">
        <f>'TUoS (t)'!I68</f>
        <v>1.89E-2</v>
      </c>
      <c r="AV50" s="691"/>
      <c r="AW50" s="692">
        <f>'TUoS (t)'!K68</f>
        <v>1.18E-2</v>
      </c>
      <c r="AX50" s="773">
        <f>'TUoS (t)'!S68</f>
        <v>0.11609999999999999</v>
      </c>
      <c r="AY50" s="691">
        <f>'TUoS (t)'!T68</f>
        <v>0</v>
      </c>
      <c r="AZ50" s="697"/>
      <c r="BA50" s="698"/>
      <c r="BB50" s="699"/>
      <c r="BC50" s="691"/>
      <c r="BD50" s="691"/>
      <c r="BE50" s="697"/>
      <c r="BF50" s="698"/>
      <c r="BG50" s="698"/>
      <c r="BH50" s="700"/>
      <c r="BJ50" s="771" t="str">
        <f>'Q (t)'!C68</f>
        <v>LBAD977</v>
      </c>
      <c r="BK50" s="785"/>
      <c r="BL50" s="783" t="str">
        <f>'Q (t)'!E68</f>
        <v>Large Business Annual Demand</v>
      </c>
      <c r="BM50" s="691">
        <f>'JSO (t)'!G68</f>
        <v>0</v>
      </c>
      <c r="BN50" s="697"/>
      <c r="BO50" s="691">
        <f>'JSO (t)'!I68</f>
        <v>6.6E-3</v>
      </c>
      <c r="BP50" s="691"/>
      <c r="BQ50" s="692">
        <f>'JSO (t)'!K68</f>
        <v>4.1000000000000003E-3</v>
      </c>
      <c r="BR50" s="773">
        <f>'JSO (t)'!S68</f>
        <v>0</v>
      </c>
      <c r="BS50" s="691">
        <f>'JSO (t)'!T68</f>
        <v>0</v>
      </c>
      <c r="BT50" s="697"/>
      <c r="BU50" s="698"/>
      <c r="BV50" s="699"/>
      <c r="BW50" s="691"/>
      <c r="BX50" s="691"/>
      <c r="BY50" s="697"/>
      <c r="BZ50" s="698"/>
      <c r="CA50" s="698"/>
      <c r="CB50" s="700"/>
    </row>
    <row r="51" spans="2:80" ht="15" customHeight="1" thickBot="1" x14ac:dyDescent="0.25">
      <c r="B51" s="654" t="str">
        <f>'Q (t)'!C69</f>
        <v>LBMD979</v>
      </c>
      <c r="C51" s="880"/>
      <c r="D51" s="656" t="str">
        <f>'Q (t)'!E69</f>
        <v>Large Business Monthly Demand</v>
      </c>
      <c r="E51" s="793">
        <f>'NUoS (t)'!G69</f>
        <v>213.65919999999997</v>
      </c>
      <c r="F51" s="711"/>
      <c r="G51" s="793">
        <f>'NUoS (t)'!I69</f>
        <v>6.7299999999999999E-2</v>
      </c>
      <c r="H51" s="793"/>
      <c r="I51" s="881">
        <f>'NUoS (t)'!K69</f>
        <v>4.2000000000000003E-2</v>
      </c>
      <c r="J51" s="708"/>
      <c r="K51" s="881">
        <f>'NUoS (t)'!T69</f>
        <v>0</v>
      </c>
      <c r="L51" s="711">
        <f>'NUoS (t)'!P69</f>
        <v>0.94229999999999992</v>
      </c>
      <c r="M51" s="709"/>
      <c r="N51" s="710"/>
      <c r="O51" s="793"/>
      <c r="P51" s="793"/>
      <c r="Q51" s="711"/>
      <c r="R51" s="709"/>
      <c r="S51" s="709"/>
      <c r="T51" s="712"/>
      <c r="V51" s="654" t="str">
        <f>'Q (t)'!C69</f>
        <v>LBMD979</v>
      </c>
      <c r="W51" s="880"/>
      <c r="X51" s="656" t="str">
        <f>'Q (t)'!E69</f>
        <v>Large Business Monthly Demand</v>
      </c>
      <c r="Y51" s="793">
        <f>'DUoS (t)'!G69</f>
        <v>213.65919999999997</v>
      </c>
      <c r="Z51" s="711"/>
      <c r="AA51" s="793">
        <f>'DUoS (t)'!I69</f>
        <v>4.1799999999999997E-2</v>
      </c>
      <c r="AB51" s="793"/>
      <c r="AC51" s="881">
        <f>'DUoS (t)'!K69</f>
        <v>2.6100000000000002E-2</v>
      </c>
      <c r="AD51" s="708"/>
      <c r="AE51" s="881">
        <f>'DUoS (t)'!T69</f>
        <v>0</v>
      </c>
      <c r="AF51" s="711">
        <f>'DUoS (t)'!P69</f>
        <v>0.52149999999999996</v>
      </c>
      <c r="AG51" s="709"/>
      <c r="AH51" s="710"/>
      <c r="AI51" s="793"/>
      <c r="AJ51" s="793"/>
      <c r="AK51" s="711"/>
      <c r="AL51" s="709"/>
      <c r="AM51" s="709"/>
      <c r="AN51" s="712"/>
      <c r="AP51" s="654" t="str">
        <f>'Q (t)'!C69</f>
        <v>LBMD979</v>
      </c>
      <c r="AQ51" s="880"/>
      <c r="AR51" s="656" t="str">
        <f>'Q (t)'!E69</f>
        <v>Large Business Monthly Demand</v>
      </c>
      <c r="AS51" s="793">
        <f>'TUoS (t)'!G69</f>
        <v>0</v>
      </c>
      <c r="AT51" s="711"/>
      <c r="AU51" s="793">
        <f>'TUoS (t)'!I69</f>
        <v>1.89E-2</v>
      </c>
      <c r="AV51" s="793"/>
      <c r="AW51" s="881">
        <f>'TUoS (t)'!K69</f>
        <v>1.18E-2</v>
      </c>
      <c r="AX51" s="708"/>
      <c r="AY51" s="793">
        <f>'TUoS (t)'!T69</f>
        <v>0</v>
      </c>
      <c r="AZ51" s="711">
        <f>'TUoS (t)'!P69</f>
        <v>0.42080000000000001</v>
      </c>
      <c r="BA51" s="709"/>
      <c r="BB51" s="710"/>
      <c r="BC51" s="793"/>
      <c r="BD51" s="793"/>
      <c r="BE51" s="711"/>
      <c r="BF51" s="709"/>
      <c r="BG51" s="709"/>
      <c r="BH51" s="712"/>
      <c r="BJ51" s="654" t="str">
        <f>'Q (t)'!C69</f>
        <v>LBMD979</v>
      </c>
      <c r="BK51" s="880"/>
      <c r="BL51" s="656" t="str">
        <f>'Q (t)'!E69</f>
        <v>Large Business Monthly Demand</v>
      </c>
      <c r="BM51" s="793">
        <f>'JSO (t)'!G69</f>
        <v>0</v>
      </c>
      <c r="BN51" s="711"/>
      <c r="BO51" s="793">
        <f>'JSO (t)'!I69</f>
        <v>6.6E-3</v>
      </c>
      <c r="BP51" s="793"/>
      <c r="BQ51" s="881">
        <f>'JSO (t)'!K69</f>
        <v>4.1000000000000003E-3</v>
      </c>
      <c r="BR51" s="708"/>
      <c r="BS51" s="793">
        <f>'JSO (t)'!T69</f>
        <v>0</v>
      </c>
      <c r="BT51" s="711">
        <f>'JSO (t)'!P69</f>
        <v>0</v>
      </c>
      <c r="BU51" s="709"/>
      <c r="BV51" s="710"/>
      <c r="BW51" s="793"/>
      <c r="BX51" s="793"/>
      <c r="BY51" s="711"/>
      <c r="BZ51" s="709"/>
      <c r="CA51" s="709"/>
      <c r="CB51" s="712"/>
    </row>
    <row r="52" spans="2:80" ht="15" customHeight="1" x14ac:dyDescent="0.2">
      <c r="B52" s="640"/>
      <c r="C52" s="641"/>
      <c r="D52" s="642"/>
      <c r="E52" s="668" t="s">
        <v>530</v>
      </c>
      <c r="F52" s="928" t="s">
        <v>531</v>
      </c>
      <c r="G52" s="929"/>
      <c r="H52" s="929"/>
      <c r="I52" s="930"/>
      <c r="J52" s="928" t="s">
        <v>633</v>
      </c>
      <c r="K52" s="930"/>
      <c r="L52" s="928" t="s">
        <v>532</v>
      </c>
      <c r="M52" s="929"/>
      <c r="N52" s="930"/>
      <c r="O52" s="928" t="s">
        <v>533</v>
      </c>
      <c r="P52" s="929"/>
      <c r="Q52" s="928" t="s">
        <v>531</v>
      </c>
      <c r="R52" s="929"/>
      <c r="S52" s="929"/>
      <c r="T52" s="931"/>
      <c r="V52" s="640"/>
      <c r="W52" s="641"/>
      <c r="X52" s="642"/>
      <c r="Y52" s="668" t="s">
        <v>530</v>
      </c>
      <c r="Z52" s="928" t="s">
        <v>531</v>
      </c>
      <c r="AA52" s="929"/>
      <c r="AB52" s="929"/>
      <c r="AC52" s="930"/>
      <c r="AD52" s="928" t="s">
        <v>633</v>
      </c>
      <c r="AE52" s="930"/>
      <c r="AF52" s="928" t="s">
        <v>532</v>
      </c>
      <c r="AG52" s="929"/>
      <c r="AH52" s="930"/>
      <c r="AI52" s="928" t="s">
        <v>533</v>
      </c>
      <c r="AJ52" s="929"/>
      <c r="AK52" s="928" t="s">
        <v>531</v>
      </c>
      <c r="AL52" s="929"/>
      <c r="AM52" s="929"/>
      <c r="AN52" s="931"/>
      <c r="AP52" s="640"/>
      <c r="AQ52" s="641"/>
      <c r="AR52" s="642"/>
      <c r="AS52" s="668" t="s">
        <v>530</v>
      </c>
      <c r="AT52" s="928" t="s">
        <v>531</v>
      </c>
      <c r="AU52" s="929"/>
      <c r="AV52" s="929"/>
      <c r="AW52" s="930"/>
      <c r="AX52" s="928" t="s">
        <v>633</v>
      </c>
      <c r="AY52" s="930"/>
      <c r="AZ52" s="928" t="s">
        <v>532</v>
      </c>
      <c r="BA52" s="929"/>
      <c r="BB52" s="930"/>
      <c r="BC52" s="928" t="s">
        <v>533</v>
      </c>
      <c r="BD52" s="929"/>
      <c r="BE52" s="928" t="s">
        <v>531</v>
      </c>
      <c r="BF52" s="929"/>
      <c r="BG52" s="929"/>
      <c r="BH52" s="931"/>
      <c r="BJ52" s="640"/>
      <c r="BK52" s="641"/>
      <c r="BL52" s="642"/>
      <c r="BM52" s="668" t="s">
        <v>530</v>
      </c>
      <c r="BN52" s="928" t="s">
        <v>531</v>
      </c>
      <c r="BO52" s="929"/>
      <c r="BP52" s="929"/>
      <c r="BQ52" s="930"/>
      <c r="BR52" s="928" t="s">
        <v>633</v>
      </c>
      <c r="BS52" s="930"/>
      <c r="BT52" s="928" t="s">
        <v>532</v>
      </c>
      <c r="BU52" s="929"/>
      <c r="BV52" s="930"/>
      <c r="BW52" s="928" t="s">
        <v>533</v>
      </c>
      <c r="BX52" s="929"/>
      <c r="BY52" s="928" t="s">
        <v>531</v>
      </c>
      <c r="BZ52" s="929"/>
      <c r="CA52" s="929"/>
      <c r="CB52" s="931"/>
    </row>
    <row r="53" spans="2:80" ht="15" customHeight="1" x14ac:dyDescent="0.3">
      <c r="B53" s="649" t="str">
        <f>"SA Power Networks' Tariffs "&amp;'Model Update'!$D$9</f>
        <v>SA Power Networks' Tariffs 2021/22</v>
      </c>
      <c r="C53" s="639"/>
      <c r="D53" s="10"/>
      <c r="E53" s="669" t="s">
        <v>527</v>
      </c>
      <c r="F53" s="904" t="s">
        <v>19</v>
      </c>
      <c r="G53" s="905"/>
      <c r="H53" s="905"/>
      <c r="I53" s="906"/>
      <c r="J53" s="907" t="s">
        <v>634</v>
      </c>
      <c r="K53" s="908"/>
      <c r="L53" s="904" t="s">
        <v>21</v>
      </c>
      <c r="M53" s="905"/>
      <c r="N53" s="906"/>
      <c r="O53" s="904" t="s">
        <v>635</v>
      </c>
      <c r="P53" s="905"/>
      <c r="Q53" s="904" t="s">
        <v>20</v>
      </c>
      <c r="R53" s="905"/>
      <c r="S53" s="905"/>
      <c r="T53" s="927"/>
      <c r="V53" s="649" t="str">
        <f>"SA Power Networks' Tariffs "&amp;'Model Update'!$D$9</f>
        <v>SA Power Networks' Tariffs 2021/22</v>
      </c>
      <c r="W53" s="639"/>
      <c r="X53" s="10"/>
      <c r="Y53" s="669" t="s">
        <v>527</v>
      </c>
      <c r="Z53" s="904" t="s">
        <v>19</v>
      </c>
      <c r="AA53" s="905"/>
      <c r="AB53" s="905"/>
      <c r="AC53" s="906"/>
      <c r="AD53" s="907" t="s">
        <v>634</v>
      </c>
      <c r="AE53" s="908"/>
      <c r="AF53" s="904" t="s">
        <v>21</v>
      </c>
      <c r="AG53" s="905"/>
      <c r="AH53" s="906"/>
      <c r="AI53" s="904" t="s">
        <v>635</v>
      </c>
      <c r="AJ53" s="905"/>
      <c r="AK53" s="904" t="s">
        <v>20</v>
      </c>
      <c r="AL53" s="905"/>
      <c r="AM53" s="905"/>
      <c r="AN53" s="927"/>
      <c r="AP53" s="649" t="str">
        <f>"SA Power Networks' Tariffs "&amp;'Model Update'!AR44</f>
        <v xml:space="preserve">SA Power Networks' Tariffs </v>
      </c>
      <c r="AQ53" s="639"/>
      <c r="AR53" s="10"/>
      <c r="AS53" s="669" t="s">
        <v>527</v>
      </c>
      <c r="AT53" s="904" t="s">
        <v>19</v>
      </c>
      <c r="AU53" s="905"/>
      <c r="AV53" s="905"/>
      <c r="AW53" s="906"/>
      <c r="AX53" s="907" t="s">
        <v>634</v>
      </c>
      <c r="AY53" s="908"/>
      <c r="AZ53" s="904" t="s">
        <v>21</v>
      </c>
      <c r="BA53" s="905"/>
      <c r="BB53" s="906"/>
      <c r="BC53" s="904" t="s">
        <v>635</v>
      </c>
      <c r="BD53" s="905"/>
      <c r="BE53" s="904" t="s">
        <v>20</v>
      </c>
      <c r="BF53" s="905"/>
      <c r="BG53" s="905"/>
      <c r="BH53" s="927"/>
      <c r="BJ53" s="649" t="str">
        <f>"SA Power Networks' Tariffs "&amp;'Model Update'!$D$9</f>
        <v>SA Power Networks' Tariffs 2021/22</v>
      </c>
      <c r="BK53" s="639"/>
      <c r="BL53" s="10"/>
      <c r="BM53" s="669" t="s">
        <v>527</v>
      </c>
      <c r="BN53" s="904" t="s">
        <v>19</v>
      </c>
      <c r="BO53" s="905"/>
      <c r="BP53" s="905"/>
      <c r="BQ53" s="906"/>
      <c r="BR53" s="907" t="s">
        <v>634</v>
      </c>
      <c r="BS53" s="908"/>
      <c r="BT53" s="904" t="s">
        <v>21</v>
      </c>
      <c r="BU53" s="905"/>
      <c r="BV53" s="906"/>
      <c r="BW53" s="904" t="s">
        <v>635</v>
      </c>
      <c r="BX53" s="905"/>
      <c r="BY53" s="904" t="s">
        <v>20</v>
      </c>
      <c r="BZ53" s="905"/>
      <c r="CA53" s="905"/>
      <c r="CB53" s="927"/>
    </row>
    <row r="54" spans="2:80" ht="15" customHeight="1" x14ac:dyDescent="0.3">
      <c r="B54" s="649" t="str">
        <f>"Price Schedule - " &amp;B4</f>
        <v xml:space="preserve">Price Schedule - Network Use of Service (NUoS) </v>
      </c>
      <c r="C54" s="639"/>
      <c r="D54" s="10"/>
      <c r="E54" s="669" t="s">
        <v>528</v>
      </c>
      <c r="F54" s="752" t="s">
        <v>288</v>
      </c>
      <c r="G54" s="753" t="s">
        <v>288</v>
      </c>
      <c r="H54" s="753" t="s">
        <v>288</v>
      </c>
      <c r="I54" s="754" t="s">
        <v>288</v>
      </c>
      <c r="J54" s="753" t="s">
        <v>529</v>
      </c>
      <c r="K54" s="673" t="s">
        <v>529</v>
      </c>
      <c r="L54" s="753" t="s">
        <v>529</v>
      </c>
      <c r="M54" s="753" t="s">
        <v>529</v>
      </c>
      <c r="N54" s="754" t="s">
        <v>529</v>
      </c>
      <c r="O54" s="753" t="s">
        <v>537</v>
      </c>
      <c r="P54" s="765" t="s">
        <v>537</v>
      </c>
      <c r="Q54" s="764" t="s">
        <v>288</v>
      </c>
      <c r="R54" s="765" t="s">
        <v>288</v>
      </c>
      <c r="S54" s="765" t="s">
        <v>288</v>
      </c>
      <c r="T54" s="767" t="s">
        <v>288</v>
      </c>
      <c r="V54" s="649" t="str">
        <f>"Price Schedule - " &amp;V4</f>
        <v xml:space="preserve">Price Schedule - Distribution Use of Service (DUoS) </v>
      </c>
      <c r="W54" s="639"/>
      <c r="X54" s="10"/>
      <c r="Y54" s="669" t="s">
        <v>528</v>
      </c>
      <c r="Z54" s="764" t="s">
        <v>288</v>
      </c>
      <c r="AA54" s="765" t="s">
        <v>288</v>
      </c>
      <c r="AB54" s="765" t="s">
        <v>288</v>
      </c>
      <c r="AC54" s="766" t="s">
        <v>288</v>
      </c>
      <c r="AD54" s="765" t="s">
        <v>529</v>
      </c>
      <c r="AE54" s="673" t="s">
        <v>529</v>
      </c>
      <c r="AF54" s="765" t="s">
        <v>529</v>
      </c>
      <c r="AG54" s="765" t="s">
        <v>529</v>
      </c>
      <c r="AH54" s="766" t="s">
        <v>529</v>
      </c>
      <c r="AI54" s="765" t="s">
        <v>537</v>
      </c>
      <c r="AJ54" s="765" t="s">
        <v>537</v>
      </c>
      <c r="AK54" s="764" t="s">
        <v>288</v>
      </c>
      <c r="AL54" s="765" t="s">
        <v>288</v>
      </c>
      <c r="AM54" s="765" t="s">
        <v>288</v>
      </c>
      <c r="AN54" s="767" t="s">
        <v>288</v>
      </c>
      <c r="AP54" s="649" t="str">
        <f>"Price Schedule - " &amp;AP4</f>
        <v xml:space="preserve">Price Schedule - Transmission Use of Service (TUoS) </v>
      </c>
      <c r="AQ54" s="639"/>
      <c r="AR54" s="10"/>
      <c r="AS54" s="669" t="s">
        <v>528</v>
      </c>
      <c r="AT54" s="764" t="s">
        <v>288</v>
      </c>
      <c r="AU54" s="765" t="s">
        <v>288</v>
      </c>
      <c r="AV54" s="765" t="s">
        <v>288</v>
      </c>
      <c r="AW54" s="766" t="s">
        <v>288</v>
      </c>
      <c r="AX54" s="765" t="s">
        <v>529</v>
      </c>
      <c r="AY54" s="673" t="s">
        <v>529</v>
      </c>
      <c r="AZ54" s="765" t="s">
        <v>529</v>
      </c>
      <c r="BA54" s="765" t="s">
        <v>529</v>
      </c>
      <c r="BB54" s="766" t="s">
        <v>529</v>
      </c>
      <c r="BC54" s="765" t="s">
        <v>537</v>
      </c>
      <c r="BD54" s="765" t="s">
        <v>537</v>
      </c>
      <c r="BE54" s="764" t="s">
        <v>288</v>
      </c>
      <c r="BF54" s="765" t="s">
        <v>288</v>
      </c>
      <c r="BG54" s="765" t="s">
        <v>288</v>
      </c>
      <c r="BH54" s="767" t="s">
        <v>288</v>
      </c>
      <c r="BJ54" s="649" t="str">
        <f>"Price Schedule - " &amp;BJ4</f>
        <v xml:space="preserve">Price Schedule - Jurisdication Obligation Scheme (JSO) </v>
      </c>
      <c r="BK54" s="639"/>
      <c r="BL54" s="10"/>
      <c r="BM54" s="669" t="s">
        <v>528</v>
      </c>
      <c r="BN54" s="764" t="s">
        <v>288</v>
      </c>
      <c r="BO54" s="765" t="s">
        <v>288</v>
      </c>
      <c r="BP54" s="765" t="s">
        <v>288</v>
      </c>
      <c r="BQ54" s="766" t="s">
        <v>288</v>
      </c>
      <c r="BR54" s="765" t="s">
        <v>529</v>
      </c>
      <c r="BS54" s="673" t="s">
        <v>529</v>
      </c>
      <c r="BT54" s="765" t="s">
        <v>529</v>
      </c>
      <c r="BU54" s="765" t="s">
        <v>529</v>
      </c>
      <c r="BV54" s="766" t="s">
        <v>529</v>
      </c>
      <c r="BW54" s="765" t="s">
        <v>537</v>
      </c>
      <c r="BX54" s="765" t="s">
        <v>537</v>
      </c>
      <c r="BY54" s="764" t="s">
        <v>288</v>
      </c>
      <c r="BZ54" s="765" t="s">
        <v>288</v>
      </c>
      <c r="CA54" s="765" t="s">
        <v>288</v>
      </c>
      <c r="CB54" s="767" t="s">
        <v>288</v>
      </c>
    </row>
    <row r="55" spans="2:80" s="21" customFormat="1" ht="15" customHeight="1" x14ac:dyDescent="0.2">
      <c r="B55" s="643" t="s">
        <v>27</v>
      </c>
      <c r="C55" s="638" t="s">
        <v>27</v>
      </c>
      <c r="D55" s="637" t="s">
        <v>28</v>
      </c>
      <c r="E55" s="669"/>
      <c r="F55" s="752" t="s">
        <v>30</v>
      </c>
      <c r="G55" s="753" t="s">
        <v>31</v>
      </c>
      <c r="H55" s="753" t="s">
        <v>32</v>
      </c>
      <c r="I55" s="754" t="s">
        <v>33</v>
      </c>
      <c r="J55" s="752"/>
      <c r="K55" s="754"/>
      <c r="L55" s="752"/>
      <c r="M55" s="753"/>
      <c r="N55" s="753"/>
      <c r="O55" s="753" t="s">
        <v>34</v>
      </c>
      <c r="P55" s="765"/>
      <c r="Q55" s="764" t="s">
        <v>30</v>
      </c>
      <c r="R55" s="765" t="s">
        <v>31</v>
      </c>
      <c r="S55" s="765" t="s">
        <v>32</v>
      </c>
      <c r="T55" s="767" t="s">
        <v>33</v>
      </c>
      <c r="V55" s="643" t="s">
        <v>27</v>
      </c>
      <c r="W55" s="638" t="s">
        <v>27</v>
      </c>
      <c r="X55" s="637" t="s">
        <v>28</v>
      </c>
      <c r="Y55" s="669"/>
      <c r="Z55" s="764" t="s">
        <v>30</v>
      </c>
      <c r="AA55" s="765" t="s">
        <v>31</v>
      </c>
      <c r="AB55" s="765" t="s">
        <v>32</v>
      </c>
      <c r="AC55" s="766" t="s">
        <v>33</v>
      </c>
      <c r="AD55" s="764"/>
      <c r="AE55" s="766"/>
      <c r="AF55" s="764"/>
      <c r="AG55" s="765"/>
      <c r="AH55" s="765"/>
      <c r="AI55" s="765" t="s">
        <v>34</v>
      </c>
      <c r="AJ55" s="765"/>
      <c r="AK55" s="764" t="s">
        <v>30</v>
      </c>
      <c r="AL55" s="765" t="s">
        <v>31</v>
      </c>
      <c r="AM55" s="765" t="s">
        <v>32</v>
      </c>
      <c r="AN55" s="767" t="s">
        <v>33</v>
      </c>
      <c r="AP55" s="643" t="s">
        <v>27</v>
      </c>
      <c r="AQ55" s="638" t="s">
        <v>27</v>
      </c>
      <c r="AR55" s="637" t="s">
        <v>28</v>
      </c>
      <c r="AS55" s="669"/>
      <c r="AT55" s="764" t="s">
        <v>30</v>
      </c>
      <c r="AU55" s="765" t="s">
        <v>31</v>
      </c>
      <c r="AV55" s="765" t="s">
        <v>32</v>
      </c>
      <c r="AW55" s="766" t="s">
        <v>33</v>
      </c>
      <c r="AX55" s="764"/>
      <c r="AY55" s="766"/>
      <c r="AZ55" s="764"/>
      <c r="BA55" s="765"/>
      <c r="BB55" s="765"/>
      <c r="BC55" s="765" t="s">
        <v>34</v>
      </c>
      <c r="BD55" s="765"/>
      <c r="BE55" s="764" t="s">
        <v>30</v>
      </c>
      <c r="BF55" s="765" t="s">
        <v>31</v>
      </c>
      <c r="BG55" s="765" t="s">
        <v>32</v>
      </c>
      <c r="BH55" s="767" t="s">
        <v>33</v>
      </c>
      <c r="BJ55" s="643" t="s">
        <v>27</v>
      </c>
      <c r="BK55" s="638" t="s">
        <v>27</v>
      </c>
      <c r="BL55" s="637" t="s">
        <v>28</v>
      </c>
      <c r="BM55" s="669"/>
      <c r="BN55" s="764" t="s">
        <v>30</v>
      </c>
      <c r="BO55" s="765" t="s">
        <v>31</v>
      </c>
      <c r="BP55" s="765" t="s">
        <v>32</v>
      </c>
      <c r="BQ55" s="766" t="s">
        <v>33</v>
      </c>
      <c r="BR55" s="764"/>
      <c r="BS55" s="766"/>
      <c r="BT55" s="764"/>
      <c r="BU55" s="765"/>
      <c r="BV55" s="765"/>
      <c r="BW55" s="765" t="s">
        <v>34</v>
      </c>
      <c r="BX55" s="765"/>
      <c r="BY55" s="764" t="s">
        <v>30</v>
      </c>
      <c r="BZ55" s="765" t="s">
        <v>31</v>
      </c>
      <c r="CA55" s="765" t="s">
        <v>32</v>
      </c>
      <c r="CB55" s="767" t="s">
        <v>33</v>
      </c>
    </row>
    <row r="56" spans="2:80" s="21" customFormat="1" ht="15" customHeight="1" x14ac:dyDescent="0.2">
      <c r="B56" s="644" t="s">
        <v>36</v>
      </c>
      <c r="C56" s="27" t="s">
        <v>37</v>
      </c>
      <c r="D56" s="28" t="s">
        <v>38</v>
      </c>
      <c r="E56" s="674"/>
      <c r="F56" s="675" t="s">
        <v>30</v>
      </c>
      <c r="G56" s="676" t="s">
        <v>31</v>
      </c>
      <c r="H56" s="676" t="s">
        <v>39</v>
      </c>
      <c r="I56" s="677" t="s">
        <v>32</v>
      </c>
      <c r="J56" s="675" t="s">
        <v>637</v>
      </c>
      <c r="K56" s="677" t="s">
        <v>636</v>
      </c>
      <c r="L56" s="675" t="s">
        <v>40</v>
      </c>
      <c r="M56" s="676" t="s">
        <v>638</v>
      </c>
      <c r="N56" s="676" t="s">
        <v>639</v>
      </c>
      <c r="O56" s="676" t="s">
        <v>34</v>
      </c>
      <c r="P56" s="676" t="s">
        <v>636</v>
      </c>
      <c r="Q56" s="764" t="s">
        <v>30</v>
      </c>
      <c r="R56" s="765"/>
      <c r="S56" s="765"/>
      <c r="T56" s="767"/>
      <c r="V56" s="644" t="s">
        <v>36</v>
      </c>
      <c r="W56" s="27" t="s">
        <v>37</v>
      </c>
      <c r="X56" s="28" t="s">
        <v>38</v>
      </c>
      <c r="Y56" s="674"/>
      <c r="Z56" s="675" t="s">
        <v>30</v>
      </c>
      <c r="AA56" s="676" t="s">
        <v>31</v>
      </c>
      <c r="AB56" s="676" t="s">
        <v>39</v>
      </c>
      <c r="AC56" s="677" t="s">
        <v>32</v>
      </c>
      <c r="AD56" s="675" t="s">
        <v>637</v>
      </c>
      <c r="AE56" s="677" t="s">
        <v>636</v>
      </c>
      <c r="AF56" s="675" t="s">
        <v>40</v>
      </c>
      <c r="AG56" s="676" t="s">
        <v>638</v>
      </c>
      <c r="AH56" s="676" t="s">
        <v>639</v>
      </c>
      <c r="AI56" s="676" t="s">
        <v>34</v>
      </c>
      <c r="AJ56" s="676" t="s">
        <v>636</v>
      </c>
      <c r="AK56" s="764" t="s">
        <v>30</v>
      </c>
      <c r="AL56" s="765"/>
      <c r="AM56" s="765"/>
      <c r="AN56" s="767"/>
      <c r="AP56" s="644" t="s">
        <v>36</v>
      </c>
      <c r="AQ56" s="27" t="s">
        <v>37</v>
      </c>
      <c r="AR56" s="28" t="s">
        <v>38</v>
      </c>
      <c r="AS56" s="674"/>
      <c r="AT56" s="675" t="s">
        <v>30</v>
      </c>
      <c r="AU56" s="676" t="s">
        <v>31</v>
      </c>
      <c r="AV56" s="676" t="s">
        <v>39</v>
      </c>
      <c r="AW56" s="677" t="s">
        <v>32</v>
      </c>
      <c r="AX56" s="675" t="s">
        <v>637</v>
      </c>
      <c r="AY56" s="677" t="s">
        <v>636</v>
      </c>
      <c r="AZ56" s="675" t="s">
        <v>40</v>
      </c>
      <c r="BA56" s="676" t="s">
        <v>638</v>
      </c>
      <c r="BB56" s="676" t="s">
        <v>639</v>
      </c>
      <c r="BC56" s="676" t="s">
        <v>34</v>
      </c>
      <c r="BD56" s="676" t="s">
        <v>636</v>
      </c>
      <c r="BE56" s="764" t="s">
        <v>30</v>
      </c>
      <c r="BF56" s="765"/>
      <c r="BG56" s="765"/>
      <c r="BH56" s="767"/>
      <c r="BJ56" s="644" t="s">
        <v>36</v>
      </c>
      <c r="BK56" s="27" t="s">
        <v>37</v>
      </c>
      <c r="BL56" s="28" t="s">
        <v>38</v>
      </c>
      <c r="BM56" s="674"/>
      <c r="BN56" s="675" t="s">
        <v>30</v>
      </c>
      <c r="BO56" s="676" t="s">
        <v>31</v>
      </c>
      <c r="BP56" s="676" t="s">
        <v>39</v>
      </c>
      <c r="BQ56" s="677" t="s">
        <v>32</v>
      </c>
      <c r="BR56" s="675" t="s">
        <v>637</v>
      </c>
      <c r="BS56" s="677" t="s">
        <v>636</v>
      </c>
      <c r="BT56" s="675" t="s">
        <v>40</v>
      </c>
      <c r="BU56" s="676" t="s">
        <v>638</v>
      </c>
      <c r="BV56" s="676" t="s">
        <v>639</v>
      </c>
      <c r="BW56" s="676" t="s">
        <v>34</v>
      </c>
      <c r="BX56" s="676" t="s">
        <v>636</v>
      </c>
      <c r="BY56" s="764" t="s">
        <v>30</v>
      </c>
      <c r="BZ56" s="765"/>
      <c r="CA56" s="765"/>
      <c r="CB56" s="767"/>
    </row>
    <row r="57" spans="2:80" ht="15" customHeight="1" x14ac:dyDescent="0.2">
      <c r="B57" s="645" t="s">
        <v>102</v>
      </c>
      <c r="C57" s="15"/>
      <c r="D57" s="99"/>
      <c r="E57" s="701"/>
      <c r="F57" s="702"/>
      <c r="G57" s="703"/>
      <c r="H57" s="703"/>
      <c r="I57" s="704"/>
      <c r="J57" s="702"/>
      <c r="K57" s="703"/>
      <c r="L57" s="702"/>
      <c r="M57" s="703"/>
      <c r="N57" s="704"/>
      <c r="O57" s="702"/>
      <c r="P57" s="703"/>
      <c r="Q57" s="702"/>
      <c r="R57" s="703"/>
      <c r="S57" s="703"/>
      <c r="T57" s="705"/>
      <c r="V57" s="645" t="s">
        <v>102</v>
      </c>
      <c r="W57" s="15"/>
      <c r="X57" s="99"/>
      <c r="Y57" s="701"/>
      <c r="Z57" s="702"/>
      <c r="AA57" s="703"/>
      <c r="AB57" s="703"/>
      <c r="AC57" s="704"/>
      <c r="AD57" s="702"/>
      <c r="AE57" s="703"/>
      <c r="AF57" s="702"/>
      <c r="AG57" s="703"/>
      <c r="AH57" s="704"/>
      <c r="AI57" s="702"/>
      <c r="AJ57" s="703"/>
      <c r="AK57" s="702"/>
      <c r="AL57" s="703"/>
      <c r="AM57" s="703"/>
      <c r="AN57" s="705"/>
      <c r="AP57" s="645" t="s">
        <v>102</v>
      </c>
      <c r="AQ57" s="15"/>
      <c r="AR57" s="99"/>
      <c r="AS57" s="701"/>
      <c r="AT57" s="702"/>
      <c r="AU57" s="703"/>
      <c r="AV57" s="703"/>
      <c r="AW57" s="704"/>
      <c r="AX57" s="702"/>
      <c r="AY57" s="703"/>
      <c r="AZ57" s="702"/>
      <c r="BA57" s="703"/>
      <c r="BB57" s="704"/>
      <c r="BC57" s="702"/>
      <c r="BD57" s="703"/>
      <c r="BE57" s="702"/>
      <c r="BF57" s="703"/>
      <c r="BG57" s="703"/>
      <c r="BH57" s="705"/>
      <c r="BJ57" s="645" t="s">
        <v>102</v>
      </c>
      <c r="BK57" s="15"/>
      <c r="BL57" s="99"/>
      <c r="BM57" s="701"/>
      <c r="BN57" s="702"/>
      <c r="BO57" s="703"/>
      <c r="BP57" s="703"/>
      <c r="BQ57" s="704"/>
      <c r="BR57" s="702"/>
      <c r="BS57" s="703"/>
      <c r="BT57" s="702"/>
      <c r="BU57" s="703"/>
      <c r="BV57" s="704"/>
      <c r="BW57" s="702"/>
      <c r="BX57" s="703"/>
      <c r="BY57" s="702"/>
      <c r="BZ57" s="703"/>
      <c r="CA57" s="703"/>
      <c r="CB57" s="705"/>
    </row>
    <row r="58" spans="2:80" ht="15" customHeight="1" x14ac:dyDescent="0.2">
      <c r="B58" s="646" t="s">
        <v>103</v>
      </c>
      <c r="C58" s="85"/>
      <c r="D58" s="85"/>
      <c r="E58" s="706"/>
      <c r="F58" s="697"/>
      <c r="G58" s="698"/>
      <c r="H58" s="698"/>
      <c r="I58" s="699"/>
      <c r="J58" s="697"/>
      <c r="K58" s="698"/>
      <c r="L58" s="773"/>
      <c r="M58" s="691"/>
      <c r="N58" s="692"/>
      <c r="O58" s="697"/>
      <c r="P58" s="698"/>
      <c r="Q58" s="697"/>
      <c r="R58" s="698"/>
      <c r="S58" s="698"/>
      <c r="T58" s="700"/>
      <c r="V58" s="646" t="s">
        <v>103</v>
      </c>
      <c r="W58" s="85"/>
      <c r="X58" s="85"/>
      <c r="Y58" s="706"/>
      <c r="Z58" s="697"/>
      <c r="AA58" s="698"/>
      <c r="AB58" s="698"/>
      <c r="AC58" s="699"/>
      <c r="AD58" s="697"/>
      <c r="AE58" s="698"/>
      <c r="AF58" s="773"/>
      <c r="AG58" s="691"/>
      <c r="AH58" s="692"/>
      <c r="AI58" s="697"/>
      <c r="AJ58" s="698"/>
      <c r="AK58" s="697"/>
      <c r="AL58" s="698"/>
      <c r="AM58" s="698"/>
      <c r="AN58" s="700"/>
      <c r="AP58" s="646" t="s">
        <v>103</v>
      </c>
      <c r="AQ58" s="85"/>
      <c r="AR58" s="85"/>
      <c r="AS58" s="706"/>
      <c r="AT58" s="697"/>
      <c r="AU58" s="698"/>
      <c r="AV58" s="698"/>
      <c r="AW58" s="699"/>
      <c r="AX58" s="697"/>
      <c r="AY58" s="698"/>
      <c r="AZ58" s="773"/>
      <c r="BA58" s="691"/>
      <c r="BB58" s="692"/>
      <c r="BC58" s="697"/>
      <c r="BD58" s="698"/>
      <c r="BE58" s="697"/>
      <c r="BF58" s="698"/>
      <c r="BG58" s="698"/>
      <c r="BH58" s="700"/>
      <c r="BJ58" s="646" t="s">
        <v>103</v>
      </c>
      <c r="BK58" s="85"/>
      <c r="BL58" s="85"/>
      <c r="BM58" s="706"/>
      <c r="BN58" s="697"/>
      <c r="BO58" s="698"/>
      <c r="BP58" s="698"/>
      <c r="BQ58" s="699"/>
      <c r="BR58" s="697"/>
      <c r="BS58" s="698"/>
      <c r="BT58" s="773"/>
      <c r="BU58" s="691"/>
      <c r="BV58" s="692"/>
      <c r="BW58" s="697"/>
      <c r="BX58" s="698"/>
      <c r="BY58" s="697"/>
      <c r="BZ58" s="698"/>
      <c r="CA58" s="698"/>
      <c r="CB58" s="700"/>
    </row>
    <row r="59" spans="2:80" ht="15" customHeight="1" x14ac:dyDescent="0.2">
      <c r="B59" s="650" t="s">
        <v>683</v>
      </c>
      <c r="C59" s="651" t="s">
        <v>690</v>
      </c>
      <c r="D59" s="653" t="s">
        <v>104</v>
      </c>
      <c r="E59" s="684">
        <f>'NUoS (t)'!G72</f>
        <v>39.962600000000002</v>
      </c>
      <c r="F59" s="685"/>
      <c r="G59" s="684">
        <f>'NUoS (t)'!I72</f>
        <v>4.1700000000000001E-2</v>
      </c>
      <c r="H59" s="684"/>
      <c r="I59" s="686">
        <f>'NUoS (t)'!K72</f>
        <v>2.6100000000000002E-2</v>
      </c>
      <c r="J59" s="685">
        <f>'NUoS (t)'!S72</f>
        <v>0.2198</v>
      </c>
      <c r="K59" s="684">
        <f>'NUoS (t)'!T72</f>
        <v>0.1007</v>
      </c>
      <c r="L59" s="685"/>
      <c r="M59" s="684"/>
      <c r="N59" s="686"/>
      <c r="O59" s="685"/>
      <c r="P59" s="684"/>
      <c r="Q59" s="695"/>
      <c r="R59" s="693"/>
      <c r="S59" s="693"/>
      <c r="T59" s="696"/>
      <c r="V59" s="650" t="s">
        <v>683</v>
      </c>
      <c r="W59" s="651" t="s">
        <v>690</v>
      </c>
      <c r="X59" s="653" t="s">
        <v>104</v>
      </c>
      <c r="Y59" s="684">
        <f>'DUoS (t)'!G72</f>
        <v>39.962600000000002</v>
      </c>
      <c r="Z59" s="685"/>
      <c r="AA59" s="684">
        <f>'DUoS (t)'!I72</f>
        <v>2.3199999999999998E-2</v>
      </c>
      <c r="AB59" s="684"/>
      <c r="AC59" s="686">
        <f>'DUoS (t)'!K72</f>
        <v>1.4500000000000001E-2</v>
      </c>
      <c r="AD59" s="685">
        <f>'DUoS (t)'!S72</f>
        <v>0.1036</v>
      </c>
      <c r="AE59" s="684">
        <f>'DUoS (t)'!T72</f>
        <v>0.1007</v>
      </c>
      <c r="AF59" s="685"/>
      <c r="AG59" s="684"/>
      <c r="AH59" s="686"/>
      <c r="AI59" s="685"/>
      <c r="AJ59" s="684"/>
      <c r="AK59" s="695"/>
      <c r="AL59" s="693"/>
      <c r="AM59" s="693"/>
      <c r="AN59" s="696"/>
      <c r="AP59" s="650" t="s">
        <v>683</v>
      </c>
      <c r="AQ59" s="651" t="s">
        <v>690</v>
      </c>
      <c r="AR59" s="653" t="s">
        <v>104</v>
      </c>
      <c r="AS59" s="684">
        <f>'TUoS (t)'!G72</f>
        <v>0</v>
      </c>
      <c r="AT59" s="685"/>
      <c r="AU59" s="684">
        <f>'TUoS (t)'!I72</f>
        <v>1.41E-2</v>
      </c>
      <c r="AV59" s="684"/>
      <c r="AW59" s="686">
        <f>'TUoS (t)'!K72</f>
        <v>8.8000000000000005E-3</v>
      </c>
      <c r="AX59" s="685">
        <f>'TUoS (t)'!S72</f>
        <v>0.1162</v>
      </c>
      <c r="AY59" s="684">
        <f>'TUoS (t)'!T72</f>
        <v>0</v>
      </c>
      <c r="AZ59" s="685"/>
      <c r="BA59" s="684"/>
      <c r="BB59" s="686"/>
      <c r="BC59" s="685"/>
      <c r="BD59" s="684"/>
      <c r="BE59" s="695"/>
      <c r="BF59" s="693"/>
      <c r="BG59" s="693"/>
      <c r="BH59" s="696"/>
      <c r="BJ59" s="650" t="s">
        <v>683</v>
      </c>
      <c r="BK59" s="651" t="s">
        <v>690</v>
      </c>
      <c r="BL59" s="653" t="s">
        <v>104</v>
      </c>
      <c r="BM59" s="684">
        <f>'JSO (t)'!G72</f>
        <v>0</v>
      </c>
      <c r="BN59" s="685"/>
      <c r="BO59" s="684">
        <f>'JSO (t)'!I72</f>
        <v>4.4000000000000003E-3</v>
      </c>
      <c r="BP59" s="684"/>
      <c r="BQ59" s="686">
        <f>'JSO (t)'!K72</f>
        <v>2.8E-3</v>
      </c>
      <c r="BR59" s="685">
        <f>'JSO (t)'!S72</f>
        <v>0</v>
      </c>
      <c r="BS59" s="684">
        <f>'JSO (t)'!T72</f>
        <v>0</v>
      </c>
      <c r="BT59" s="685"/>
      <c r="BU59" s="684"/>
      <c r="BV59" s="686"/>
      <c r="BW59" s="685"/>
      <c r="BX59" s="684"/>
      <c r="BY59" s="695"/>
      <c r="BZ59" s="693"/>
      <c r="CA59" s="693"/>
      <c r="CB59" s="696"/>
    </row>
    <row r="60" spans="2:80" ht="15" customHeight="1" x14ac:dyDescent="0.2">
      <c r="B60" s="650" t="s">
        <v>684</v>
      </c>
      <c r="C60" s="651" t="s">
        <v>691</v>
      </c>
      <c r="D60" s="653" t="s">
        <v>105</v>
      </c>
      <c r="E60" s="684">
        <f>'NUoS (t)'!G73</f>
        <v>39.962600000000002</v>
      </c>
      <c r="F60" s="685"/>
      <c r="G60" s="684">
        <f>'NUoS (t)'!I73</f>
        <v>4.1700000000000001E-2</v>
      </c>
      <c r="H60" s="684"/>
      <c r="I60" s="686">
        <f>'NUoS (t)'!K73</f>
        <v>2.6100000000000002E-2</v>
      </c>
      <c r="J60" s="685"/>
      <c r="K60" s="684">
        <f>'NUoS (t)'!T73</f>
        <v>0.1007</v>
      </c>
      <c r="L60" s="685">
        <f>'NUoS (t)'!P73</f>
        <v>0.79679999999999995</v>
      </c>
      <c r="M60" s="684"/>
      <c r="N60" s="686"/>
      <c r="O60" s="685"/>
      <c r="P60" s="684"/>
      <c r="Q60" s="695"/>
      <c r="R60" s="693"/>
      <c r="S60" s="693"/>
      <c r="T60" s="696"/>
      <c r="V60" s="650" t="s">
        <v>684</v>
      </c>
      <c r="W60" s="651" t="s">
        <v>691</v>
      </c>
      <c r="X60" s="653" t="s">
        <v>105</v>
      </c>
      <c r="Y60" s="684">
        <f>'DUoS (t)'!G73</f>
        <v>39.962600000000002</v>
      </c>
      <c r="Z60" s="685"/>
      <c r="AA60" s="684">
        <f>'DUoS (t)'!I73</f>
        <v>2.3199999999999998E-2</v>
      </c>
      <c r="AB60" s="684"/>
      <c r="AC60" s="686">
        <f>'DUoS (t)'!K73</f>
        <v>1.4500000000000001E-2</v>
      </c>
      <c r="AD60" s="685"/>
      <c r="AE60" s="684">
        <f>'DUoS (t)'!T73</f>
        <v>0.1007</v>
      </c>
      <c r="AF60" s="685">
        <f>'DUoS (t)'!P73</f>
        <v>0.3755</v>
      </c>
      <c r="AG60" s="684"/>
      <c r="AH60" s="686"/>
      <c r="AI60" s="685"/>
      <c r="AJ60" s="684"/>
      <c r="AK60" s="695"/>
      <c r="AL60" s="693"/>
      <c r="AM60" s="693"/>
      <c r="AN60" s="696"/>
      <c r="AP60" s="650" t="s">
        <v>684</v>
      </c>
      <c r="AQ60" s="651" t="s">
        <v>691</v>
      </c>
      <c r="AR60" s="653" t="s">
        <v>105</v>
      </c>
      <c r="AS60" s="684">
        <f>'TUoS (t)'!G73</f>
        <v>0</v>
      </c>
      <c r="AT60" s="685"/>
      <c r="AU60" s="684">
        <f>'TUoS (t)'!I73</f>
        <v>1.41E-2</v>
      </c>
      <c r="AV60" s="684"/>
      <c r="AW60" s="686">
        <f>'TUoS (t)'!K73</f>
        <v>8.8000000000000005E-3</v>
      </c>
      <c r="AX60" s="685"/>
      <c r="AY60" s="684">
        <f>'TUoS (t)'!T73</f>
        <v>0</v>
      </c>
      <c r="AZ60" s="685">
        <f>'TUoS (t)'!P73</f>
        <v>0.42130000000000001</v>
      </c>
      <c r="BA60" s="684"/>
      <c r="BB60" s="686"/>
      <c r="BC60" s="685"/>
      <c r="BD60" s="684"/>
      <c r="BE60" s="695"/>
      <c r="BF60" s="693"/>
      <c r="BG60" s="693"/>
      <c r="BH60" s="696"/>
      <c r="BJ60" s="650" t="s">
        <v>684</v>
      </c>
      <c r="BK60" s="651" t="s">
        <v>691</v>
      </c>
      <c r="BL60" s="653" t="s">
        <v>105</v>
      </c>
      <c r="BM60" s="684">
        <f>'JSO (t)'!G73</f>
        <v>0</v>
      </c>
      <c r="BN60" s="685"/>
      <c r="BO60" s="684">
        <f>'JSO (t)'!I73</f>
        <v>4.4000000000000003E-3</v>
      </c>
      <c r="BP60" s="684"/>
      <c r="BQ60" s="686">
        <f>'JSO (t)'!K73</f>
        <v>2.8E-3</v>
      </c>
      <c r="BR60" s="685"/>
      <c r="BS60" s="684">
        <f>'JSO (t)'!T73</f>
        <v>0</v>
      </c>
      <c r="BT60" s="685">
        <f>'JSO (t)'!P73</f>
        <v>0</v>
      </c>
      <c r="BU60" s="684"/>
      <c r="BV60" s="686"/>
      <c r="BW60" s="685"/>
      <c r="BX60" s="684"/>
      <c r="BY60" s="695"/>
      <c r="BZ60" s="693"/>
      <c r="CA60" s="693"/>
      <c r="CB60" s="696"/>
    </row>
    <row r="61" spans="2:80" s="824" customFormat="1" ht="15" customHeight="1" x14ac:dyDescent="0.2">
      <c r="B61" s="771" t="s">
        <v>107</v>
      </c>
      <c r="C61" s="785" t="s">
        <v>107</v>
      </c>
      <c r="D61" s="783" t="s">
        <v>108</v>
      </c>
      <c r="E61" s="691">
        <f>'NUoS (t)'!G75</f>
        <v>5.4794</v>
      </c>
      <c r="F61" s="773">
        <f>'NUoS (t)'!H75</f>
        <v>8.5400000000000004E-2</v>
      </c>
      <c r="G61" s="691"/>
      <c r="H61" s="691"/>
      <c r="I61" s="692"/>
      <c r="J61" s="773"/>
      <c r="K61" s="691"/>
      <c r="L61" s="773"/>
      <c r="M61" s="691">
        <f>'NUoS (t)'!Q75</f>
        <v>0.3962</v>
      </c>
      <c r="N61" s="692">
        <f>'NUoS (t)'!R75</f>
        <v>0.19600000000000001</v>
      </c>
      <c r="O61" s="773"/>
      <c r="P61" s="691"/>
      <c r="Q61" s="697"/>
      <c r="R61" s="698"/>
      <c r="S61" s="698"/>
      <c r="T61" s="700"/>
      <c r="V61" s="771" t="s">
        <v>107</v>
      </c>
      <c r="W61" s="785" t="s">
        <v>107</v>
      </c>
      <c r="X61" s="783" t="s">
        <v>108</v>
      </c>
      <c r="Y61" s="691">
        <f>'DUoS (t)'!G75</f>
        <v>5.4794</v>
      </c>
      <c r="Z61" s="773">
        <f>'DUoS (t)'!H75</f>
        <v>5.8699999999999995E-2</v>
      </c>
      <c r="AA61" s="691"/>
      <c r="AB61" s="691"/>
      <c r="AC61" s="692"/>
      <c r="AD61" s="773"/>
      <c r="AE61" s="691"/>
      <c r="AF61" s="773"/>
      <c r="AG61" s="691">
        <f>'DUoS (t)'!Q75</f>
        <v>0.30940000000000001</v>
      </c>
      <c r="AH61" s="692">
        <f>'DUoS (t)'!R75</f>
        <v>0.15310000000000001</v>
      </c>
      <c r="AI61" s="773"/>
      <c r="AJ61" s="691"/>
      <c r="AK61" s="697"/>
      <c r="AL61" s="698"/>
      <c r="AM61" s="698"/>
      <c r="AN61" s="700"/>
      <c r="AP61" s="771" t="s">
        <v>107</v>
      </c>
      <c r="AQ61" s="785" t="s">
        <v>107</v>
      </c>
      <c r="AR61" s="783" t="s">
        <v>108</v>
      </c>
      <c r="AS61" s="691">
        <f>'TUoS (t)'!G75</f>
        <v>0</v>
      </c>
      <c r="AT61" s="773">
        <f>'TUoS (t)'!H75</f>
        <v>2.3100000000000002E-2</v>
      </c>
      <c r="AU61" s="691"/>
      <c r="AV61" s="691"/>
      <c r="AW61" s="692"/>
      <c r="AX61" s="773"/>
      <c r="AY61" s="691"/>
      <c r="AZ61" s="773"/>
      <c r="BA61" s="691">
        <f>'TUoS (t)'!Q75</f>
        <v>8.6800000000000002E-2</v>
      </c>
      <c r="BB61" s="692">
        <f>'TUoS (t)'!R75</f>
        <v>4.2900000000000001E-2</v>
      </c>
      <c r="BC61" s="773"/>
      <c r="BD61" s="691"/>
      <c r="BE61" s="697"/>
      <c r="BF61" s="698"/>
      <c r="BG61" s="698"/>
      <c r="BH61" s="700"/>
      <c r="BJ61" s="771" t="s">
        <v>107</v>
      </c>
      <c r="BK61" s="785" t="s">
        <v>107</v>
      </c>
      <c r="BL61" s="783" t="s">
        <v>108</v>
      </c>
      <c r="BM61" s="691">
        <f>'JSO (t)'!G75</f>
        <v>0</v>
      </c>
      <c r="BN61" s="773">
        <f>'JSO (t)'!H75</f>
        <v>3.5999999999999999E-3</v>
      </c>
      <c r="BO61" s="691"/>
      <c r="BP61" s="691"/>
      <c r="BQ61" s="692"/>
      <c r="BR61" s="773"/>
      <c r="BS61" s="691"/>
      <c r="BT61" s="773"/>
      <c r="BU61" s="691">
        <f>'JSO (t)'!Q75</f>
        <v>0</v>
      </c>
      <c r="BV61" s="692">
        <f>'JSO (t)'!R75</f>
        <v>0</v>
      </c>
      <c r="BW61" s="773"/>
      <c r="BX61" s="691"/>
      <c r="BY61" s="697"/>
      <c r="BZ61" s="698"/>
      <c r="CA61" s="698"/>
      <c r="CB61" s="700"/>
    </row>
    <row r="62" spans="2:80" s="824" customFormat="1" ht="15" customHeight="1" x14ac:dyDescent="0.2">
      <c r="B62" s="771" t="s">
        <v>685</v>
      </c>
      <c r="C62" s="785" t="s">
        <v>692</v>
      </c>
      <c r="D62" s="783" t="s">
        <v>109</v>
      </c>
      <c r="E62" s="691">
        <f>'NUoS (t)'!G76</f>
        <v>6.7949999999999999</v>
      </c>
      <c r="F62" s="773"/>
      <c r="G62" s="691">
        <f>'NUoS (t)'!I76</f>
        <v>6.5099999999999991E-2</v>
      </c>
      <c r="H62" s="691"/>
      <c r="I62" s="692">
        <f>'NUoS (t)'!K76</f>
        <v>4.07E-2</v>
      </c>
      <c r="J62" s="773">
        <f>'NUoS (t)'!S76</f>
        <v>0.25990000000000002</v>
      </c>
      <c r="K62" s="691">
        <f>'NUoS (t)'!T76</f>
        <v>0.1028</v>
      </c>
      <c r="L62" s="773"/>
      <c r="M62" s="691"/>
      <c r="N62" s="692"/>
      <c r="O62" s="773"/>
      <c r="P62" s="691"/>
      <c r="Q62" s="697"/>
      <c r="R62" s="698"/>
      <c r="S62" s="698"/>
      <c r="T62" s="700"/>
      <c r="V62" s="771" t="s">
        <v>685</v>
      </c>
      <c r="W62" s="785" t="s">
        <v>692</v>
      </c>
      <c r="X62" s="783" t="s">
        <v>109</v>
      </c>
      <c r="Y62" s="691">
        <f>'DUoS (t)'!G76</f>
        <v>6.7949999999999999</v>
      </c>
      <c r="Z62" s="773"/>
      <c r="AA62" s="691">
        <f>'DUoS (t)'!I76</f>
        <v>4.1799999999999997E-2</v>
      </c>
      <c r="AB62" s="691"/>
      <c r="AC62" s="692">
        <f>'DUoS (t)'!K76</f>
        <v>2.6100000000000002E-2</v>
      </c>
      <c r="AD62" s="773">
        <f>'DUoS (t)'!S76</f>
        <v>0.14380000000000001</v>
      </c>
      <c r="AE62" s="691">
        <f>'DUoS (t)'!T76</f>
        <v>0.1028</v>
      </c>
      <c r="AF62" s="773"/>
      <c r="AG62" s="691"/>
      <c r="AH62" s="692"/>
      <c r="AI62" s="773"/>
      <c r="AJ62" s="691"/>
      <c r="AK62" s="697"/>
      <c r="AL62" s="698"/>
      <c r="AM62" s="698"/>
      <c r="AN62" s="700"/>
      <c r="AP62" s="771" t="s">
        <v>685</v>
      </c>
      <c r="AQ62" s="785" t="s">
        <v>692</v>
      </c>
      <c r="AR62" s="783" t="s">
        <v>109</v>
      </c>
      <c r="AS62" s="691">
        <f>'TUoS (t)'!G76</f>
        <v>0</v>
      </c>
      <c r="AT62" s="773"/>
      <c r="AU62" s="691">
        <f>'TUoS (t)'!I76</f>
        <v>1.89E-2</v>
      </c>
      <c r="AV62" s="691"/>
      <c r="AW62" s="692">
        <f>'TUoS (t)'!K76</f>
        <v>1.18E-2</v>
      </c>
      <c r="AX62" s="773">
        <f>'TUoS (t)'!S76</f>
        <v>0.11609999999999999</v>
      </c>
      <c r="AY62" s="691">
        <f>'TUoS (t)'!T76</f>
        <v>0</v>
      </c>
      <c r="AZ62" s="773"/>
      <c r="BA62" s="691"/>
      <c r="BB62" s="692"/>
      <c r="BC62" s="773"/>
      <c r="BD62" s="691"/>
      <c r="BE62" s="697"/>
      <c r="BF62" s="698"/>
      <c r="BG62" s="698"/>
      <c r="BH62" s="700"/>
      <c r="BJ62" s="771" t="s">
        <v>685</v>
      </c>
      <c r="BK62" s="785" t="s">
        <v>692</v>
      </c>
      <c r="BL62" s="783" t="s">
        <v>109</v>
      </c>
      <c r="BM62" s="691">
        <f>'JSO (t)'!G76</f>
        <v>0</v>
      </c>
      <c r="BN62" s="773"/>
      <c r="BO62" s="691">
        <f>'JSO (t)'!I76</f>
        <v>4.4000000000000003E-3</v>
      </c>
      <c r="BP62" s="691"/>
      <c r="BQ62" s="692">
        <f>'JSO (t)'!K76</f>
        <v>2.8E-3</v>
      </c>
      <c r="BR62" s="773">
        <f>'JSO (t)'!S76</f>
        <v>0</v>
      </c>
      <c r="BS62" s="691">
        <f>'JSO (t)'!T76</f>
        <v>0</v>
      </c>
      <c r="BT62" s="773"/>
      <c r="BU62" s="691"/>
      <c r="BV62" s="692"/>
      <c r="BW62" s="773"/>
      <c r="BX62" s="691"/>
      <c r="BY62" s="697"/>
      <c r="BZ62" s="698"/>
      <c r="CA62" s="698"/>
      <c r="CB62" s="700"/>
    </row>
    <row r="63" spans="2:80" ht="15" customHeight="1" x14ac:dyDescent="0.2">
      <c r="B63" s="650" t="s">
        <v>686</v>
      </c>
      <c r="C63" s="651" t="s">
        <v>693</v>
      </c>
      <c r="D63" s="653" t="s">
        <v>110</v>
      </c>
      <c r="E63" s="684">
        <f>'NUoS (t)'!G77</f>
        <v>0</v>
      </c>
      <c r="F63" s="685"/>
      <c r="G63" s="684"/>
      <c r="H63" s="684"/>
      <c r="I63" s="686"/>
      <c r="J63" s="685">
        <f>'NUoS (t)'!S77</f>
        <v>0.2198</v>
      </c>
      <c r="K63" s="684">
        <f>'NUoS (t)'!T77</f>
        <v>0.1007</v>
      </c>
      <c r="L63" s="685"/>
      <c r="M63" s="684"/>
      <c r="N63" s="686"/>
      <c r="O63" s="685"/>
      <c r="P63" s="684"/>
      <c r="Q63" s="695"/>
      <c r="R63" s="693"/>
      <c r="S63" s="693"/>
      <c r="T63" s="696"/>
      <c r="V63" s="650" t="s">
        <v>686</v>
      </c>
      <c r="W63" s="651" t="s">
        <v>693</v>
      </c>
      <c r="X63" s="653" t="s">
        <v>110</v>
      </c>
      <c r="Y63" s="684">
        <f>'DUoS (t)'!G77</f>
        <v>0</v>
      </c>
      <c r="Z63" s="685"/>
      <c r="AA63" s="684"/>
      <c r="AB63" s="684"/>
      <c r="AC63" s="686"/>
      <c r="AD63" s="685">
        <f>'DUoS (t)'!S77</f>
        <v>0.1036</v>
      </c>
      <c r="AE63" s="684">
        <f>'DUoS (t)'!T77</f>
        <v>0.1007</v>
      </c>
      <c r="AF63" s="685"/>
      <c r="AG63" s="684"/>
      <c r="AH63" s="686"/>
      <c r="AI63" s="685"/>
      <c r="AJ63" s="684"/>
      <c r="AK63" s="695"/>
      <c r="AL63" s="693"/>
      <c r="AM63" s="693"/>
      <c r="AN63" s="696"/>
      <c r="AP63" s="650" t="s">
        <v>686</v>
      </c>
      <c r="AQ63" s="651" t="s">
        <v>693</v>
      </c>
      <c r="AR63" s="653" t="s">
        <v>110</v>
      </c>
      <c r="AS63" s="684">
        <f>'TUoS (t)'!G77</f>
        <v>0</v>
      </c>
      <c r="AT63" s="685"/>
      <c r="AU63" s="684"/>
      <c r="AV63" s="684"/>
      <c r="AW63" s="686"/>
      <c r="AX63" s="685">
        <f>'TUoS (t)'!S77</f>
        <v>0.1162</v>
      </c>
      <c r="AY63" s="684">
        <f>'TUoS (t)'!T77</f>
        <v>0</v>
      </c>
      <c r="AZ63" s="685"/>
      <c r="BA63" s="684"/>
      <c r="BB63" s="686"/>
      <c r="BC63" s="685"/>
      <c r="BD63" s="684"/>
      <c r="BE63" s="695"/>
      <c r="BF63" s="693"/>
      <c r="BG63" s="693"/>
      <c r="BH63" s="696"/>
      <c r="BJ63" s="650" t="s">
        <v>686</v>
      </c>
      <c r="BK63" s="651" t="s">
        <v>693</v>
      </c>
      <c r="BL63" s="653" t="s">
        <v>110</v>
      </c>
      <c r="BM63" s="684">
        <f>'JSO (t)'!G77</f>
        <v>0</v>
      </c>
      <c r="BN63" s="685"/>
      <c r="BO63" s="684"/>
      <c r="BP63" s="684"/>
      <c r="BQ63" s="686"/>
      <c r="BR63" s="685">
        <f>'JSO (t)'!S77</f>
        <v>0</v>
      </c>
      <c r="BS63" s="684">
        <f>'JSO (t)'!T77</f>
        <v>0</v>
      </c>
      <c r="BT63" s="685"/>
      <c r="BU63" s="684"/>
      <c r="BV63" s="686"/>
      <c r="BW63" s="685"/>
      <c r="BX63" s="684"/>
      <c r="BY63" s="695"/>
      <c r="BZ63" s="693"/>
      <c r="CA63" s="693"/>
      <c r="CB63" s="696"/>
    </row>
    <row r="64" spans="2:80" ht="15" customHeight="1" x14ac:dyDescent="0.2">
      <c r="B64" s="650" t="s">
        <v>566</v>
      </c>
      <c r="C64" s="651"/>
      <c r="D64" s="653" t="s">
        <v>104</v>
      </c>
      <c r="E64" s="684">
        <f>'NUoS (t)'!G81</f>
        <v>704.14919999999995</v>
      </c>
      <c r="F64" s="685"/>
      <c r="G64" s="684">
        <f>'NUoS (t)'!I81</f>
        <v>4.1700000000000001E-2</v>
      </c>
      <c r="H64" s="684"/>
      <c r="I64" s="686">
        <f>'NUoS (t)'!K81</f>
        <v>2.6100000000000002E-2</v>
      </c>
      <c r="J64" s="685">
        <f>'NUoS (t)'!S81</f>
        <v>0.2198</v>
      </c>
      <c r="K64" s="684">
        <f>'NUoS (t)'!T81</f>
        <v>0</v>
      </c>
      <c r="L64" s="685"/>
      <c r="M64" s="684"/>
      <c r="N64" s="686"/>
      <c r="O64" s="685"/>
      <c r="P64" s="684"/>
      <c r="Q64" s="695"/>
      <c r="R64" s="693"/>
      <c r="S64" s="693"/>
      <c r="T64" s="696"/>
      <c r="V64" s="650" t="s">
        <v>566</v>
      </c>
      <c r="W64" s="651"/>
      <c r="X64" s="653" t="s">
        <v>104</v>
      </c>
      <c r="Y64" s="684">
        <f>'DUoS (t)'!G81</f>
        <v>704.14919999999995</v>
      </c>
      <c r="Z64" s="685"/>
      <c r="AA64" s="684">
        <f>'DUoS (t)'!I81</f>
        <v>2.3199999999999998E-2</v>
      </c>
      <c r="AB64" s="684"/>
      <c r="AC64" s="686">
        <f>'DUoS (t)'!K81</f>
        <v>1.4500000000000001E-2</v>
      </c>
      <c r="AD64" s="685">
        <f>'DUoS (t)'!S81</f>
        <v>0.1036</v>
      </c>
      <c r="AE64" s="684">
        <f>'DUoS (t)'!T81</f>
        <v>0</v>
      </c>
      <c r="AF64" s="685"/>
      <c r="AG64" s="684"/>
      <c r="AH64" s="686"/>
      <c r="AI64" s="685"/>
      <c r="AJ64" s="684"/>
      <c r="AK64" s="695"/>
      <c r="AL64" s="693"/>
      <c r="AM64" s="693"/>
      <c r="AN64" s="696"/>
      <c r="AP64" s="650" t="s">
        <v>566</v>
      </c>
      <c r="AQ64" s="651"/>
      <c r="AR64" s="653" t="s">
        <v>104</v>
      </c>
      <c r="AS64" s="684">
        <f>'TUoS (t)'!G81</f>
        <v>0</v>
      </c>
      <c r="AT64" s="685"/>
      <c r="AU64" s="684">
        <f>'TUoS (t)'!I81</f>
        <v>1.41E-2</v>
      </c>
      <c r="AV64" s="684"/>
      <c r="AW64" s="686">
        <f>'TUoS (t)'!K81</f>
        <v>8.8000000000000005E-3</v>
      </c>
      <c r="AX64" s="685">
        <f>'TUoS (t)'!S81</f>
        <v>0.1162</v>
      </c>
      <c r="AY64" s="684">
        <f>'TUoS (t)'!T81</f>
        <v>0</v>
      </c>
      <c r="AZ64" s="685"/>
      <c r="BA64" s="684"/>
      <c r="BB64" s="686"/>
      <c r="BC64" s="685"/>
      <c r="BD64" s="684"/>
      <c r="BE64" s="695"/>
      <c r="BF64" s="693"/>
      <c r="BG64" s="693"/>
      <c r="BH64" s="696"/>
      <c r="BJ64" s="650" t="s">
        <v>566</v>
      </c>
      <c r="BK64" s="651"/>
      <c r="BL64" s="653" t="s">
        <v>104</v>
      </c>
      <c r="BM64" s="684">
        <f>'JSO (t)'!G81</f>
        <v>0</v>
      </c>
      <c r="BN64" s="685"/>
      <c r="BO64" s="684">
        <f>'JSO (t)'!I81</f>
        <v>4.4000000000000003E-3</v>
      </c>
      <c r="BP64" s="684"/>
      <c r="BQ64" s="686">
        <f>'JSO (t)'!K81</f>
        <v>2.8E-3</v>
      </c>
      <c r="BR64" s="685">
        <f>'JSO (t)'!S81</f>
        <v>0</v>
      </c>
      <c r="BS64" s="684">
        <f>'JSO (t)'!T81</f>
        <v>0</v>
      </c>
      <c r="BT64" s="685"/>
      <c r="BU64" s="684"/>
      <c r="BV64" s="686"/>
      <c r="BW64" s="685"/>
      <c r="BX64" s="684"/>
      <c r="BY64" s="695"/>
      <c r="BZ64" s="693"/>
      <c r="CA64" s="693"/>
      <c r="CB64" s="696"/>
    </row>
    <row r="65" spans="2:80" s="824" customFormat="1" ht="15" customHeight="1" x14ac:dyDescent="0.2">
      <c r="B65" s="771" t="s">
        <v>558</v>
      </c>
      <c r="C65" s="785"/>
      <c r="D65" s="783" t="s">
        <v>104</v>
      </c>
      <c r="E65" s="691">
        <f>'NUoS (t)'!G85</f>
        <v>140.43110000000001</v>
      </c>
      <c r="F65" s="773"/>
      <c r="G65" s="691">
        <f>'NUoS (t)'!I85</f>
        <v>2.76E-2</v>
      </c>
      <c r="H65" s="691"/>
      <c r="I65" s="692">
        <f>'NUoS (t)'!K85</f>
        <v>1.7299999999999999E-2</v>
      </c>
      <c r="J65" s="773">
        <f>'NUoS (t)'!S85</f>
        <v>0.27710000000000001</v>
      </c>
      <c r="K65" s="691">
        <f>'NUoS (t)'!T85</f>
        <v>0.1007</v>
      </c>
      <c r="L65" s="773"/>
      <c r="M65" s="691"/>
      <c r="N65" s="692"/>
      <c r="O65" s="773"/>
      <c r="P65" s="691"/>
      <c r="Q65" s="697"/>
      <c r="R65" s="698"/>
      <c r="S65" s="698"/>
      <c r="T65" s="700"/>
      <c r="V65" s="771" t="s">
        <v>558</v>
      </c>
      <c r="W65" s="785"/>
      <c r="X65" s="783" t="s">
        <v>104</v>
      </c>
      <c r="Y65" s="691">
        <f>'DUoS (t)'!G85</f>
        <v>39.962600000000002</v>
      </c>
      <c r="Z65" s="773"/>
      <c r="AA65" s="691">
        <f>'DUoS (t)'!I85</f>
        <v>2.3199999999999998E-2</v>
      </c>
      <c r="AB65" s="691"/>
      <c r="AC65" s="692">
        <f>'DUoS (t)'!K85</f>
        <v>1.4500000000000001E-2</v>
      </c>
      <c r="AD65" s="773">
        <f>'DUoS (t)'!S85</f>
        <v>0.1036</v>
      </c>
      <c r="AE65" s="691">
        <f>'DUoS (t)'!T85</f>
        <v>0.1007</v>
      </c>
      <c r="AF65" s="773"/>
      <c r="AG65" s="691"/>
      <c r="AH65" s="692"/>
      <c r="AI65" s="773"/>
      <c r="AJ65" s="691"/>
      <c r="AK65" s="697"/>
      <c r="AL65" s="698"/>
      <c r="AM65" s="698"/>
      <c r="AN65" s="700"/>
      <c r="AP65" s="771" t="s">
        <v>558</v>
      </c>
      <c r="AQ65" s="785"/>
      <c r="AR65" s="783" t="s">
        <v>104</v>
      </c>
      <c r="AS65" s="691">
        <f>'TUoS (t)'!G85</f>
        <v>100.46850000000001</v>
      </c>
      <c r="AT65" s="773"/>
      <c r="AU65" s="691">
        <f>'TUoS (t)'!I85</f>
        <v>0</v>
      </c>
      <c r="AV65" s="691"/>
      <c r="AW65" s="692">
        <f>'TUoS (t)'!K85</f>
        <v>0</v>
      </c>
      <c r="AX65" s="773">
        <f>'TUoS (t)'!S85</f>
        <v>0.17349999999999999</v>
      </c>
      <c r="AY65" s="691">
        <f>'TUoS (t)'!T85</f>
        <v>0</v>
      </c>
      <c r="AZ65" s="773"/>
      <c r="BA65" s="691"/>
      <c r="BB65" s="692"/>
      <c r="BC65" s="773"/>
      <c r="BD65" s="691"/>
      <c r="BE65" s="697"/>
      <c r="BF65" s="698"/>
      <c r="BG65" s="698"/>
      <c r="BH65" s="700"/>
      <c r="BJ65" s="771" t="s">
        <v>558</v>
      </c>
      <c r="BK65" s="785"/>
      <c r="BL65" s="783" t="s">
        <v>104</v>
      </c>
      <c r="BM65" s="691">
        <f>'JSO (t)'!G85</f>
        <v>0</v>
      </c>
      <c r="BN65" s="773"/>
      <c r="BO65" s="691">
        <f>'JSO (t)'!I85</f>
        <v>4.4000000000000003E-3</v>
      </c>
      <c r="BP65" s="691"/>
      <c r="BQ65" s="692">
        <f>'JSO (t)'!K85</f>
        <v>2.8E-3</v>
      </c>
      <c r="BR65" s="773">
        <f>'JSO (t)'!S85</f>
        <v>0</v>
      </c>
      <c r="BS65" s="691">
        <f>'JSO (t)'!T85</f>
        <v>0</v>
      </c>
      <c r="BT65" s="773"/>
      <c r="BU65" s="691"/>
      <c r="BV65" s="692"/>
      <c r="BW65" s="773"/>
      <c r="BX65" s="691"/>
      <c r="BY65" s="697"/>
      <c r="BZ65" s="698"/>
      <c r="CA65" s="698"/>
      <c r="CB65" s="700"/>
    </row>
    <row r="66" spans="2:80" s="824" customFormat="1" ht="15" customHeight="1" x14ac:dyDescent="0.2">
      <c r="B66" s="771" t="s">
        <v>631</v>
      </c>
      <c r="C66" s="785"/>
      <c r="D66" s="783" t="s">
        <v>104</v>
      </c>
      <c r="E66" s="691">
        <f>'NUoS (t)'!G86</f>
        <v>393.20920000000001</v>
      </c>
      <c r="F66" s="773"/>
      <c r="G66" s="691">
        <f>'NUoS (t)'!I86</f>
        <v>4.1700000000000001E-2</v>
      </c>
      <c r="H66" s="691"/>
      <c r="I66" s="692">
        <f>'NUoS (t)'!K86</f>
        <v>2.6100000000000002E-2</v>
      </c>
      <c r="J66" s="773">
        <f>'NUoS (t)'!S86</f>
        <v>0.2198</v>
      </c>
      <c r="K66" s="691">
        <f>'NUoS (t)'!T86</f>
        <v>0.1007</v>
      </c>
      <c r="L66" s="773"/>
      <c r="M66" s="691"/>
      <c r="N66" s="692"/>
      <c r="O66" s="773"/>
      <c r="P66" s="691"/>
      <c r="Q66" s="697"/>
      <c r="R66" s="698"/>
      <c r="S66" s="698"/>
      <c r="T66" s="700"/>
      <c r="V66" s="771" t="s">
        <v>631</v>
      </c>
      <c r="W66" s="785"/>
      <c r="X66" s="783" t="s">
        <v>104</v>
      </c>
      <c r="Y66" s="691">
        <f>'DUoS (t)'!G86</f>
        <v>393.20920000000001</v>
      </c>
      <c r="Z66" s="773"/>
      <c r="AA66" s="691">
        <f>'DUoS (t)'!I86</f>
        <v>2.3199999999999998E-2</v>
      </c>
      <c r="AB66" s="691"/>
      <c r="AC66" s="692">
        <f>'DUoS (t)'!K86</f>
        <v>1.4500000000000001E-2</v>
      </c>
      <c r="AD66" s="773">
        <f>'DUoS (t)'!S86</f>
        <v>0.1036</v>
      </c>
      <c r="AE66" s="691">
        <f>'DUoS (t)'!T86</f>
        <v>0.1007</v>
      </c>
      <c r="AF66" s="773"/>
      <c r="AG66" s="691"/>
      <c r="AH66" s="692"/>
      <c r="AI66" s="773"/>
      <c r="AJ66" s="691"/>
      <c r="AK66" s="697"/>
      <c r="AL66" s="698"/>
      <c r="AM66" s="698"/>
      <c r="AN66" s="700"/>
      <c r="AP66" s="771" t="s">
        <v>631</v>
      </c>
      <c r="AQ66" s="785"/>
      <c r="AR66" s="783" t="s">
        <v>104</v>
      </c>
      <c r="AS66" s="691">
        <f>'TUoS (t)'!G86</f>
        <v>0</v>
      </c>
      <c r="AT66" s="773"/>
      <c r="AU66" s="691">
        <f>'TUoS (t)'!I86</f>
        <v>1.41E-2</v>
      </c>
      <c r="AV66" s="691"/>
      <c r="AW66" s="692">
        <f>'TUoS (t)'!K86</f>
        <v>8.8000000000000005E-3</v>
      </c>
      <c r="AX66" s="773">
        <f>'TUoS (t)'!S86</f>
        <v>0.1162</v>
      </c>
      <c r="AY66" s="691">
        <f>'TUoS (t)'!T86</f>
        <v>0</v>
      </c>
      <c r="AZ66" s="773"/>
      <c r="BA66" s="691"/>
      <c r="BB66" s="692"/>
      <c r="BC66" s="773"/>
      <c r="BD66" s="691"/>
      <c r="BE66" s="697"/>
      <c r="BF66" s="698"/>
      <c r="BG66" s="698"/>
      <c r="BH66" s="700"/>
      <c r="BJ66" s="771" t="s">
        <v>631</v>
      </c>
      <c r="BK66" s="785"/>
      <c r="BL66" s="783" t="s">
        <v>104</v>
      </c>
      <c r="BM66" s="691">
        <f>'JSO (t)'!G86</f>
        <v>0</v>
      </c>
      <c r="BN66" s="773"/>
      <c r="BO66" s="691">
        <f>'JSO (t)'!I86</f>
        <v>4.4000000000000003E-3</v>
      </c>
      <c r="BP66" s="691"/>
      <c r="BQ66" s="692">
        <f>'JSO (t)'!K86</f>
        <v>2.8E-3</v>
      </c>
      <c r="BR66" s="773">
        <f>'JSO (t)'!S86</f>
        <v>0</v>
      </c>
      <c r="BS66" s="691">
        <f>'JSO (t)'!T86</f>
        <v>0</v>
      </c>
      <c r="BT66" s="773"/>
      <c r="BU66" s="691"/>
      <c r="BV66" s="692"/>
      <c r="BW66" s="773"/>
      <c r="BX66" s="691"/>
      <c r="BY66" s="697"/>
      <c r="BZ66" s="698"/>
      <c r="CA66" s="698"/>
      <c r="CB66" s="700"/>
    </row>
    <row r="67" spans="2:80" ht="15" customHeight="1" x14ac:dyDescent="0.2">
      <c r="B67" s="646" t="s">
        <v>113</v>
      </c>
      <c r="C67" s="37"/>
      <c r="D67" s="107"/>
      <c r="E67" s="706"/>
      <c r="F67" s="697"/>
      <c r="G67" s="698"/>
      <c r="H67" s="698"/>
      <c r="I67" s="699"/>
      <c r="J67" s="697"/>
      <c r="K67" s="698"/>
      <c r="L67" s="697"/>
      <c r="M67" s="698"/>
      <c r="N67" s="699"/>
      <c r="O67" s="697"/>
      <c r="P67" s="698"/>
      <c r="Q67" s="697"/>
      <c r="R67" s="698"/>
      <c r="S67" s="698"/>
      <c r="T67" s="700"/>
      <c r="V67" s="646" t="s">
        <v>113</v>
      </c>
      <c r="W67" s="37"/>
      <c r="X67" s="107"/>
      <c r="Y67" s="706"/>
      <c r="Z67" s="697"/>
      <c r="AA67" s="698"/>
      <c r="AB67" s="698"/>
      <c r="AC67" s="699"/>
      <c r="AD67" s="697"/>
      <c r="AE67" s="698"/>
      <c r="AF67" s="697"/>
      <c r="AG67" s="698"/>
      <c r="AH67" s="699"/>
      <c r="AI67" s="697"/>
      <c r="AJ67" s="698"/>
      <c r="AK67" s="697"/>
      <c r="AL67" s="698"/>
      <c r="AM67" s="698"/>
      <c r="AN67" s="700"/>
      <c r="AP67" s="646" t="s">
        <v>113</v>
      </c>
      <c r="AQ67" s="37"/>
      <c r="AR67" s="107"/>
      <c r="AS67" s="706"/>
      <c r="AT67" s="697"/>
      <c r="AU67" s="698"/>
      <c r="AV67" s="698"/>
      <c r="AW67" s="699"/>
      <c r="AX67" s="697"/>
      <c r="AY67" s="698"/>
      <c r="AZ67" s="697"/>
      <c r="BA67" s="698"/>
      <c r="BB67" s="699"/>
      <c r="BC67" s="697"/>
      <c r="BD67" s="698"/>
      <c r="BE67" s="697"/>
      <c r="BF67" s="698"/>
      <c r="BG67" s="698"/>
      <c r="BH67" s="700"/>
      <c r="BJ67" s="646" t="s">
        <v>113</v>
      </c>
      <c r="BK67" s="37"/>
      <c r="BL67" s="107"/>
      <c r="BM67" s="706"/>
      <c r="BN67" s="697"/>
      <c r="BO67" s="698"/>
      <c r="BP67" s="698"/>
      <c r="BQ67" s="699"/>
      <c r="BR67" s="697"/>
      <c r="BS67" s="698"/>
      <c r="BT67" s="697"/>
      <c r="BU67" s="698"/>
      <c r="BV67" s="699"/>
      <c r="BW67" s="697"/>
      <c r="BX67" s="698"/>
      <c r="BY67" s="697"/>
      <c r="BZ67" s="698"/>
      <c r="CA67" s="698"/>
      <c r="CB67" s="700"/>
    </row>
    <row r="68" spans="2:80" ht="15" customHeight="1" x14ac:dyDescent="0.2">
      <c r="B68" s="646" t="s">
        <v>114</v>
      </c>
      <c r="C68" s="85"/>
      <c r="D68" s="85"/>
      <c r="E68" s="706"/>
      <c r="F68" s="697"/>
      <c r="G68" s="698"/>
      <c r="H68" s="698"/>
      <c r="I68" s="699"/>
      <c r="J68" s="697"/>
      <c r="K68" s="698"/>
      <c r="L68" s="697"/>
      <c r="M68" s="698"/>
      <c r="N68" s="699"/>
      <c r="O68" s="697"/>
      <c r="P68" s="698"/>
      <c r="Q68" s="697"/>
      <c r="R68" s="698"/>
      <c r="S68" s="698"/>
      <c r="T68" s="700"/>
      <c r="V68" s="646" t="s">
        <v>114</v>
      </c>
      <c r="W68" s="85"/>
      <c r="X68" s="85"/>
      <c r="Y68" s="706"/>
      <c r="Z68" s="697"/>
      <c r="AA68" s="698"/>
      <c r="AB68" s="698"/>
      <c r="AC68" s="699"/>
      <c r="AD68" s="697"/>
      <c r="AE68" s="698"/>
      <c r="AF68" s="697"/>
      <c r="AG68" s="698"/>
      <c r="AH68" s="699"/>
      <c r="AI68" s="697"/>
      <c r="AJ68" s="698"/>
      <c r="AK68" s="697"/>
      <c r="AL68" s="698"/>
      <c r="AM68" s="698"/>
      <c r="AN68" s="700"/>
      <c r="AP68" s="646" t="s">
        <v>114</v>
      </c>
      <c r="AQ68" s="85"/>
      <c r="AR68" s="85"/>
      <c r="AS68" s="706"/>
      <c r="AT68" s="697"/>
      <c r="AU68" s="698"/>
      <c r="AV68" s="698"/>
      <c r="AW68" s="699"/>
      <c r="AX68" s="697"/>
      <c r="AY68" s="698"/>
      <c r="AZ68" s="697"/>
      <c r="BA68" s="698"/>
      <c r="BB68" s="699"/>
      <c r="BC68" s="697"/>
      <c r="BD68" s="698"/>
      <c r="BE68" s="697"/>
      <c r="BF68" s="698"/>
      <c r="BG68" s="698"/>
      <c r="BH68" s="700"/>
      <c r="BJ68" s="646" t="s">
        <v>114</v>
      </c>
      <c r="BK68" s="85"/>
      <c r="BL68" s="85"/>
      <c r="BM68" s="706"/>
      <c r="BN68" s="697"/>
      <c r="BO68" s="698"/>
      <c r="BP68" s="698"/>
      <c r="BQ68" s="699"/>
      <c r="BR68" s="697"/>
      <c r="BS68" s="698"/>
      <c r="BT68" s="697"/>
      <c r="BU68" s="698"/>
      <c r="BV68" s="699"/>
      <c r="BW68" s="697"/>
      <c r="BX68" s="698"/>
      <c r="BY68" s="697"/>
      <c r="BZ68" s="698"/>
      <c r="CA68" s="698"/>
      <c r="CB68" s="700"/>
    </row>
    <row r="69" spans="2:80" ht="15" customHeight="1" x14ac:dyDescent="0.2">
      <c r="B69" s="650" t="str">
        <f>'Q (t)'!C96</f>
        <v>ZSN</v>
      </c>
      <c r="C69" s="661"/>
      <c r="D69" s="653" t="str">
        <f>'Q (t)'!E96</f>
        <v>Zone Substation kVA</v>
      </c>
      <c r="E69" s="684">
        <f>'NUoS (t)'!G96</f>
        <v>0</v>
      </c>
      <c r="F69" s="685">
        <f>'NUoS (t)'!H96</f>
        <v>1.4E-2</v>
      </c>
      <c r="G69" s="684"/>
      <c r="H69" s="684"/>
      <c r="I69" s="686"/>
      <c r="J69" s="685">
        <f>'NUoS (t)'!S96</f>
        <v>0.15689999999999998</v>
      </c>
      <c r="K69" s="684">
        <f>'NUoS (t)'!T96</f>
        <v>7.2700000000000001E-2</v>
      </c>
      <c r="L69" s="685"/>
      <c r="M69" s="684"/>
      <c r="N69" s="686"/>
      <c r="O69" s="685"/>
      <c r="P69" s="684"/>
      <c r="Q69" s="695"/>
      <c r="R69" s="693"/>
      <c r="S69" s="693"/>
      <c r="T69" s="696"/>
      <c r="V69" s="650" t="str">
        <f>'Q (t)'!C96</f>
        <v>ZSN</v>
      </c>
      <c r="W69" s="661"/>
      <c r="X69" s="653" t="str">
        <f>'Q (t)'!E96</f>
        <v>Zone Substation kVA</v>
      </c>
      <c r="Y69" s="684">
        <f>'DUoS (t)'!G96</f>
        <v>0</v>
      </c>
      <c r="Z69" s="685">
        <f>'DUoS (t)'!H96</f>
        <v>4.3E-3</v>
      </c>
      <c r="AA69" s="684"/>
      <c r="AB69" s="684"/>
      <c r="AC69" s="686"/>
      <c r="AD69" s="685">
        <f>'DUoS (t)'!S96</f>
        <v>4.07E-2</v>
      </c>
      <c r="AE69" s="684">
        <f>'DUoS (t)'!T96</f>
        <v>7.2700000000000001E-2</v>
      </c>
      <c r="AF69" s="685"/>
      <c r="AG69" s="684"/>
      <c r="AH69" s="686"/>
      <c r="AI69" s="685"/>
      <c r="AJ69" s="684"/>
      <c r="AK69" s="695"/>
      <c r="AL69" s="693"/>
      <c r="AM69" s="693"/>
      <c r="AN69" s="696"/>
      <c r="AP69" s="650" t="str">
        <f>'Q (t)'!C96</f>
        <v>ZSN</v>
      </c>
      <c r="AQ69" s="661"/>
      <c r="AR69" s="653" t="str">
        <f>'Q (t)'!E96</f>
        <v>Zone Substation kVA</v>
      </c>
      <c r="AS69" s="684">
        <f>'TUoS (t)'!G96</f>
        <v>0</v>
      </c>
      <c r="AT69" s="685">
        <f>'TUoS (t)'!H96</f>
        <v>8.8000000000000005E-3</v>
      </c>
      <c r="AU69" s="684"/>
      <c r="AV69" s="684"/>
      <c r="AW69" s="686"/>
      <c r="AX69" s="685">
        <f>'TUoS (t)'!S96</f>
        <v>0.1162</v>
      </c>
      <c r="AY69" s="684">
        <f>'TUoS (t)'!T96</f>
        <v>0</v>
      </c>
      <c r="AZ69" s="685"/>
      <c r="BA69" s="684"/>
      <c r="BB69" s="686"/>
      <c r="BC69" s="685"/>
      <c r="BD69" s="684"/>
      <c r="BE69" s="695"/>
      <c r="BF69" s="693"/>
      <c r="BG69" s="693"/>
      <c r="BH69" s="696"/>
      <c r="BJ69" s="650" t="str">
        <f>'Q (t)'!C96</f>
        <v>ZSN</v>
      </c>
      <c r="BK69" s="661"/>
      <c r="BL69" s="653" t="str">
        <f>'Q (t)'!E96</f>
        <v>Zone Substation kVA</v>
      </c>
      <c r="BM69" s="684">
        <f>'JSO (t)'!G96</f>
        <v>0</v>
      </c>
      <c r="BN69" s="685">
        <f>'JSO (t)'!H96</f>
        <v>8.9999999999999998E-4</v>
      </c>
      <c r="BO69" s="684"/>
      <c r="BP69" s="684"/>
      <c r="BQ69" s="686"/>
      <c r="BR69" s="685">
        <f>'JSO (t)'!S96</f>
        <v>0</v>
      </c>
      <c r="BS69" s="684">
        <f>'JSO (t)'!T96</f>
        <v>0</v>
      </c>
      <c r="BT69" s="685"/>
      <c r="BU69" s="684"/>
      <c r="BV69" s="686"/>
      <c r="BW69" s="685"/>
      <c r="BX69" s="684"/>
      <c r="BY69" s="695"/>
      <c r="BZ69" s="693"/>
      <c r="CA69" s="693"/>
      <c r="CB69" s="696"/>
    </row>
    <row r="70" spans="2:80" ht="15" customHeight="1" x14ac:dyDescent="0.2">
      <c r="B70" s="650" t="str">
        <f>'Q (t)'!C97</f>
        <v>ZSS025</v>
      </c>
      <c r="C70" s="661"/>
      <c r="D70" s="653" t="str">
        <f>'Q (t)'!E97</f>
        <v>Zone Substation non-Locational</v>
      </c>
      <c r="E70" s="684">
        <f>'NUoS (t)'!G97</f>
        <v>0</v>
      </c>
      <c r="F70" s="685">
        <f>'NUoS (t)'!H97</f>
        <v>1.4E-2</v>
      </c>
      <c r="G70" s="684"/>
      <c r="H70" s="684"/>
      <c r="I70" s="686"/>
      <c r="J70" s="685">
        <f>'NUoS (t)'!S97</f>
        <v>0.15689999999999998</v>
      </c>
      <c r="K70" s="684">
        <f>'NUoS (t)'!T97</f>
        <v>7.2700000000000001E-2</v>
      </c>
      <c r="L70" s="685"/>
      <c r="M70" s="684"/>
      <c r="N70" s="686"/>
      <c r="O70" s="685"/>
      <c r="P70" s="684"/>
      <c r="Q70" s="695"/>
      <c r="R70" s="693"/>
      <c r="S70" s="693"/>
      <c r="T70" s="696"/>
      <c r="V70" s="650" t="str">
        <f>'Q (t)'!C97</f>
        <v>ZSS025</v>
      </c>
      <c r="W70" s="661"/>
      <c r="X70" s="653" t="str">
        <f>'Q (t)'!E97</f>
        <v>Zone Substation non-Locational</v>
      </c>
      <c r="Y70" s="684">
        <f>'DUoS (t)'!G97</f>
        <v>0</v>
      </c>
      <c r="Z70" s="685">
        <f>'DUoS (t)'!H97</f>
        <v>4.3E-3</v>
      </c>
      <c r="AA70" s="684"/>
      <c r="AB70" s="684"/>
      <c r="AC70" s="686"/>
      <c r="AD70" s="685">
        <f>'DUoS (t)'!S97</f>
        <v>4.07E-2</v>
      </c>
      <c r="AE70" s="684">
        <f>'DUoS (t)'!T97</f>
        <v>7.2700000000000001E-2</v>
      </c>
      <c r="AF70" s="685"/>
      <c r="AG70" s="684"/>
      <c r="AH70" s="686"/>
      <c r="AI70" s="685"/>
      <c r="AJ70" s="684"/>
      <c r="AK70" s="695"/>
      <c r="AL70" s="693"/>
      <c r="AM70" s="693"/>
      <c r="AN70" s="696"/>
      <c r="AP70" s="650" t="str">
        <f>'Q (t)'!C97</f>
        <v>ZSS025</v>
      </c>
      <c r="AQ70" s="661"/>
      <c r="AR70" s="653" t="str">
        <f>'Q (t)'!E97</f>
        <v>Zone Substation non-Locational</v>
      </c>
      <c r="AS70" s="684">
        <f>'TUoS (t)'!G97</f>
        <v>0</v>
      </c>
      <c r="AT70" s="685">
        <f>'TUoS (t)'!H97</f>
        <v>8.8000000000000005E-3</v>
      </c>
      <c r="AU70" s="684"/>
      <c r="AV70" s="684"/>
      <c r="AW70" s="686"/>
      <c r="AX70" s="685">
        <f>'TUoS (t)'!S97</f>
        <v>0.1162</v>
      </c>
      <c r="AY70" s="684">
        <f>'TUoS (t)'!T97</f>
        <v>0</v>
      </c>
      <c r="AZ70" s="685"/>
      <c r="BA70" s="684"/>
      <c r="BB70" s="686"/>
      <c r="BC70" s="685"/>
      <c r="BD70" s="684"/>
      <c r="BE70" s="695"/>
      <c r="BF70" s="693"/>
      <c r="BG70" s="693"/>
      <c r="BH70" s="696"/>
      <c r="BJ70" s="650" t="str">
        <f>'Q (t)'!C97</f>
        <v>ZSS025</v>
      </c>
      <c r="BK70" s="661"/>
      <c r="BL70" s="653" t="str">
        <f>'Q (t)'!E97</f>
        <v>Zone Substation non-Locational</v>
      </c>
      <c r="BM70" s="684">
        <f>'JSO (t)'!G97</f>
        <v>0</v>
      </c>
      <c r="BN70" s="685">
        <f>'JSO (t)'!H97</f>
        <v>8.9999999999999998E-4</v>
      </c>
      <c r="BO70" s="684"/>
      <c r="BP70" s="684"/>
      <c r="BQ70" s="686"/>
      <c r="BR70" s="685">
        <f>'JSO (t)'!S97</f>
        <v>0</v>
      </c>
      <c r="BS70" s="684">
        <f>'JSO (t)'!T97</f>
        <v>0</v>
      </c>
      <c r="BT70" s="685"/>
      <c r="BU70" s="684"/>
      <c r="BV70" s="686"/>
      <c r="BW70" s="685"/>
      <c r="BX70" s="684"/>
      <c r="BY70" s="695"/>
      <c r="BZ70" s="693"/>
      <c r="CA70" s="693"/>
      <c r="CB70" s="696"/>
    </row>
    <row r="71" spans="2:80" s="824" customFormat="1" ht="15" customHeight="1" x14ac:dyDescent="0.2">
      <c r="B71" s="771" t="str">
        <f>'Q (t)'!C98</f>
        <v>ZSS104</v>
      </c>
      <c r="C71" s="785"/>
      <c r="D71" s="783" t="str">
        <f>'Q (t)'!E98</f>
        <v>Zone Substation non-Locational</v>
      </c>
      <c r="E71" s="691">
        <f>'NUoS (t)'!G98</f>
        <v>596.04660000000001</v>
      </c>
      <c r="F71" s="773">
        <f>'NUoS (t)'!H98</f>
        <v>1.4E-2</v>
      </c>
      <c r="G71" s="691"/>
      <c r="H71" s="691"/>
      <c r="I71" s="692"/>
      <c r="J71" s="773">
        <f>'NUoS (t)'!S98</f>
        <v>0.15689999999999998</v>
      </c>
      <c r="K71" s="691">
        <f>'NUoS (t)'!T98</f>
        <v>7.2700000000000001E-2</v>
      </c>
      <c r="L71" s="773"/>
      <c r="M71" s="691"/>
      <c r="N71" s="692"/>
      <c r="O71" s="773"/>
      <c r="P71" s="691"/>
      <c r="Q71" s="697"/>
      <c r="R71" s="698"/>
      <c r="S71" s="698"/>
      <c r="T71" s="700"/>
      <c r="V71" s="771" t="str">
        <f>'Q (t)'!C98</f>
        <v>ZSS104</v>
      </c>
      <c r="W71" s="785"/>
      <c r="X71" s="783" t="str">
        <f>'Q (t)'!E98</f>
        <v>Zone Substation non-Locational</v>
      </c>
      <c r="Y71" s="691">
        <f>'DUoS (t)'!G98</f>
        <v>596.04660000000001</v>
      </c>
      <c r="Z71" s="773">
        <f>'DUoS (t)'!H98</f>
        <v>4.3E-3</v>
      </c>
      <c r="AA71" s="691"/>
      <c r="AB71" s="691"/>
      <c r="AC71" s="692"/>
      <c r="AD71" s="773">
        <f>'DUoS (t)'!S98</f>
        <v>4.07E-2</v>
      </c>
      <c r="AE71" s="691">
        <f>'DUoS (t)'!T98</f>
        <v>7.2700000000000001E-2</v>
      </c>
      <c r="AF71" s="773"/>
      <c r="AG71" s="691"/>
      <c r="AH71" s="692"/>
      <c r="AI71" s="773"/>
      <c r="AJ71" s="691"/>
      <c r="AK71" s="697"/>
      <c r="AL71" s="698"/>
      <c r="AM71" s="698"/>
      <c r="AN71" s="700"/>
      <c r="AP71" s="771" t="str">
        <f>'Q (t)'!C98</f>
        <v>ZSS104</v>
      </c>
      <c r="AQ71" s="785"/>
      <c r="AR71" s="783" t="str">
        <f>'Q (t)'!E98</f>
        <v>Zone Substation non-Locational</v>
      </c>
      <c r="AS71" s="691">
        <f>'TUoS (t)'!G98</f>
        <v>0</v>
      </c>
      <c r="AT71" s="773">
        <f>'TUoS (t)'!H98</f>
        <v>8.8000000000000005E-3</v>
      </c>
      <c r="AU71" s="691"/>
      <c r="AV71" s="691"/>
      <c r="AW71" s="692"/>
      <c r="AX71" s="773">
        <f>'TUoS (t)'!S98</f>
        <v>0.1162</v>
      </c>
      <c r="AY71" s="691">
        <f>'TUoS (t)'!T98</f>
        <v>0</v>
      </c>
      <c r="AZ71" s="773"/>
      <c r="BA71" s="691"/>
      <c r="BB71" s="692"/>
      <c r="BC71" s="773"/>
      <c r="BD71" s="691"/>
      <c r="BE71" s="697"/>
      <c r="BF71" s="698"/>
      <c r="BG71" s="698"/>
      <c r="BH71" s="700"/>
      <c r="BJ71" s="771" t="str">
        <f>'Q (t)'!C98</f>
        <v>ZSS104</v>
      </c>
      <c r="BK71" s="785"/>
      <c r="BL71" s="783" t="str">
        <f>'Q (t)'!E98</f>
        <v>Zone Substation non-Locational</v>
      </c>
      <c r="BM71" s="691">
        <f>'JSO (t)'!G98</f>
        <v>0</v>
      </c>
      <c r="BN71" s="773">
        <f>'JSO (t)'!H98</f>
        <v>8.9999999999999998E-4</v>
      </c>
      <c r="BO71" s="691"/>
      <c r="BP71" s="691"/>
      <c r="BQ71" s="692"/>
      <c r="BR71" s="773">
        <f>'JSO (t)'!S98</f>
        <v>0</v>
      </c>
      <c r="BS71" s="691">
        <f>'JSO (t)'!T98</f>
        <v>0</v>
      </c>
      <c r="BT71" s="773"/>
      <c r="BU71" s="691"/>
      <c r="BV71" s="692"/>
      <c r="BW71" s="773"/>
      <c r="BX71" s="691"/>
      <c r="BY71" s="697"/>
      <c r="BZ71" s="698"/>
      <c r="CA71" s="698"/>
      <c r="CB71" s="700"/>
    </row>
    <row r="72" spans="2:80" s="824" customFormat="1" ht="15" customHeight="1" x14ac:dyDescent="0.2">
      <c r="B72" s="771" t="str">
        <f>'Q (t)'!C99</f>
        <v>ZSS196</v>
      </c>
      <c r="C72" s="785"/>
      <c r="D72" s="783" t="str">
        <f>'Q (t)'!E99</f>
        <v>Zone Substation non-Locational</v>
      </c>
      <c r="E72" s="691">
        <f>'NUoS (t)'!G99</f>
        <v>0</v>
      </c>
      <c r="F72" s="773">
        <f>'NUoS (t)'!H99</f>
        <v>1.4E-2</v>
      </c>
      <c r="G72" s="691"/>
      <c r="H72" s="691"/>
      <c r="I72" s="692"/>
      <c r="J72" s="773">
        <f>'NUoS (t)'!S99</f>
        <v>0.15689999999999998</v>
      </c>
      <c r="K72" s="691">
        <f>'NUoS (t)'!T99</f>
        <v>7.2700000000000001E-2</v>
      </c>
      <c r="L72" s="773"/>
      <c r="M72" s="691"/>
      <c r="N72" s="692"/>
      <c r="O72" s="773"/>
      <c r="P72" s="691"/>
      <c r="Q72" s="697"/>
      <c r="R72" s="698"/>
      <c r="S72" s="698"/>
      <c r="T72" s="700"/>
      <c r="V72" s="771" t="str">
        <f>'Q (t)'!C99</f>
        <v>ZSS196</v>
      </c>
      <c r="W72" s="785"/>
      <c r="X72" s="783" t="str">
        <f>'Q (t)'!E99</f>
        <v>Zone Substation non-Locational</v>
      </c>
      <c r="Y72" s="691">
        <f>'DUoS (t)'!G99</f>
        <v>0</v>
      </c>
      <c r="Z72" s="773">
        <f>'DUoS (t)'!H99</f>
        <v>4.3E-3</v>
      </c>
      <c r="AA72" s="691"/>
      <c r="AB72" s="691"/>
      <c r="AC72" s="692"/>
      <c r="AD72" s="773">
        <f>'DUoS (t)'!S99</f>
        <v>4.07E-2</v>
      </c>
      <c r="AE72" s="691">
        <f>'DUoS (t)'!T99</f>
        <v>7.2700000000000001E-2</v>
      </c>
      <c r="AF72" s="773"/>
      <c r="AG72" s="691"/>
      <c r="AH72" s="692"/>
      <c r="AI72" s="773"/>
      <c r="AJ72" s="691"/>
      <c r="AK72" s="697"/>
      <c r="AL72" s="698"/>
      <c r="AM72" s="698"/>
      <c r="AN72" s="700"/>
      <c r="AP72" s="771" t="str">
        <f>'Q (t)'!C99</f>
        <v>ZSS196</v>
      </c>
      <c r="AQ72" s="785"/>
      <c r="AR72" s="783" t="str">
        <f>'Q (t)'!E99</f>
        <v>Zone Substation non-Locational</v>
      </c>
      <c r="AS72" s="691">
        <f>'TUoS (t)'!G99</f>
        <v>0</v>
      </c>
      <c r="AT72" s="773">
        <f>'TUoS (t)'!H99</f>
        <v>8.8000000000000005E-3</v>
      </c>
      <c r="AU72" s="691"/>
      <c r="AV72" s="691"/>
      <c r="AW72" s="692"/>
      <c r="AX72" s="773">
        <f>'TUoS (t)'!S99</f>
        <v>0.1162</v>
      </c>
      <c r="AY72" s="691">
        <f>'TUoS (t)'!T99</f>
        <v>0</v>
      </c>
      <c r="AZ72" s="773"/>
      <c r="BA72" s="691"/>
      <c r="BB72" s="692"/>
      <c r="BC72" s="773"/>
      <c r="BD72" s="691"/>
      <c r="BE72" s="697"/>
      <c r="BF72" s="698"/>
      <c r="BG72" s="698"/>
      <c r="BH72" s="700"/>
      <c r="BJ72" s="771" t="str">
        <f>'Q (t)'!C99</f>
        <v>ZSS196</v>
      </c>
      <c r="BK72" s="785"/>
      <c r="BL72" s="783" t="str">
        <f>'Q (t)'!E99</f>
        <v>Zone Substation non-Locational</v>
      </c>
      <c r="BM72" s="691">
        <f>'JSO (t)'!G99</f>
        <v>0</v>
      </c>
      <c r="BN72" s="773">
        <f>'JSO (t)'!H99</f>
        <v>8.9999999999999998E-4</v>
      </c>
      <c r="BO72" s="691"/>
      <c r="BP72" s="691"/>
      <c r="BQ72" s="692"/>
      <c r="BR72" s="773">
        <f>'JSO (t)'!S99</f>
        <v>0</v>
      </c>
      <c r="BS72" s="691">
        <f>'JSO (t)'!T99</f>
        <v>0</v>
      </c>
      <c r="BT72" s="773"/>
      <c r="BU72" s="691"/>
      <c r="BV72" s="692"/>
      <c r="BW72" s="773"/>
      <c r="BX72" s="691"/>
      <c r="BY72" s="697"/>
      <c r="BZ72" s="698"/>
      <c r="CA72" s="698"/>
      <c r="CB72" s="700"/>
    </row>
    <row r="73" spans="2:80" ht="15" customHeight="1" x14ac:dyDescent="0.2">
      <c r="B73" s="650" t="str">
        <f>'Q (t)'!C100</f>
        <v>ZSS296</v>
      </c>
      <c r="C73" s="661"/>
      <c r="D73" s="653" t="str">
        <f>'Q (t)'!E100</f>
        <v>Zone Substation non-Locational</v>
      </c>
      <c r="E73" s="684">
        <f>'NUoS (t)'!G100</f>
        <v>955</v>
      </c>
      <c r="F73" s="685">
        <f>'NUoS (t)'!H100</f>
        <v>1.4E-2</v>
      </c>
      <c r="G73" s="684"/>
      <c r="H73" s="684"/>
      <c r="I73" s="686"/>
      <c r="J73" s="685">
        <f>'NUoS (t)'!S100</f>
        <v>0.15689999999999998</v>
      </c>
      <c r="K73" s="684">
        <f>'NUoS (t)'!T100</f>
        <v>7.2700000000000001E-2</v>
      </c>
      <c r="L73" s="685"/>
      <c r="M73" s="684"/>
      <c r="N73" s="686"/>
      <c r="O73" s="685"/>
      <c r="P73" s="684"/>
      <c r="Q73" s="695"/>
      <c r="R73" s="693"/>
      <c r="S73" s="693"/>
      <c r="T73" s="696"/>
      <c r="V73" s="650" t="str">
        <f>'Q (t)'!C100</f>
        <v>ZSS296</v>
      </c>
      <c r="W73" s="661"/>
      <c r="X73" s="653" t="str">
        <f>'Q (t)'!E100</f>
        <v>Zone Substation non-Locational</v>
      </c>
      <c r="Y73" s="684">
        <f>'DUoS (t)'!G100</f>
        <v>955</v>
      </c>
      <c r="Z73" s="685">
        <f>'DUoS (t)'!H100</f>
        <v>4.3E-3</v>
      </c>
      <c r="AA73" s="684"/>
      <c r="AB73" s="684"/>
      <c r="AC73" s="686"/>
      <c r="AD73" s="685">
        <f>'DUoS (t)'!S100</f>
        <v>4.07E-2</v>
      </c>
      <c r="AE73" s="684">
        <f>'DUoS (t)'!T100</f>
        <v>7.2700000000000001E-2</v>
      </c>
      <c r="AF73" s="685"/>
      <c r="AG73" s="684"/>
      <c r="AH73" s="686"/>
      <c r="AI73" s="685"/>
      <c r="AJ73" s="684"/>
      <c r="AK73" s="695"/>
      <c r="AL73" s="693"/>
      <c r="AM73" s="693"/>
      <c r="AN73" s="696"/>
      <c r="AP73" s="650" t="str">
        <f>'Q (t)'!C100</f>
        <v>ZSS296</v>
      </c>
      <c r="AQ73" s="661"/>
      <c r="AR73" s="653" t="str">
        <f>'Q (t)'!E100</f>
        <v>Zone Substation non-Locational</v>
      </c>
      <c r="AS73" s="684">
        <f>'TUoS (t)'!G100</f>
        <v>0</v>
      </c>
      <c r="AT73" s="685">
        <f>'TUoS (t)'!H100</f>
        <v>8.8000000000000005E-3</v>
      </c>
      <c r="AU73" s="684"/>
      <c r="AV73" s="684"/>
      <c r="AW73" s="686"/>
      <c r="AX73" s="685">
        <f>'TUoS (t)'!S100</f>
        <v>0.1162</v>
      </c>
      <c r="AY73" s="684">
        <f>'TUoS (t)'!T100</f>
        <v>0</v>
      </c>
      <c r="AZ73" s="685"/>
      <c r="BA73" s="684"/>
      <c r="BB73" s="686"/>
      <c r="BC73" s="685"/>
      <c r="BD73" s="684"/>
      <c r="BE73" s="695"/>
      <c r="BF73" s="693"/>
      <c r="BG73" s="693"/>
      <c r="BH73" s="696"/>
      <c r="BJ73" s="650" t="str">
        <f>'Q (t)'!C100</f>
        <v>ZSS296</v>
      </c>
      <c r="BK73" s="661"/>
      <c r="BL73" s="653" t="str">
        <f>'Q (t)'!E100</f>
        <v>Zone Substation non-Locational</v>
      </c>
      <c r="BM73" s="684">
        <f>'JSO (t)'!G100</f>
        <v>0</v>
      </c>
      <c r="BN73" s="685">
        <f>'JSO (t)'!H100</f>
        <v>8.9999999999999998E-4</v>
      </c>
      <c r="BO73" s="684"/>
      <c r="BP73" s="684"/>
      <c r="BQ73" s="686"/>
      <c r="BR73" s="685">
        <f>'JSO (t)'!S100</f>
        <v>0</v>
      </c>
      <c r="BS73" s="684">
        <f>'JSO (t)'!T100</f>
        <v>0</v>
      </c>
      <c r="BT73" s="685"/>
      <c r="BU73" s="684"/>
      <c r="BV73" s="686"/>
      <c r="BW73" s="685"/>
      <c r="BX73" s="684"/>
      <c r="BY73" s="695"/>
      <c r="BZ73" s="693"/>
      <c r="CA73" s="693"/>
      <c r="CB73" s="696"/>
    </row>
    <row r="74" spans="2:80" ht="15" customHeight="1" x14ac:dyDescent="0.2">
      <c r="B74" s="650" t="str">
        <f>'Q (t)'!C101</f>
        <v>ZSS550</v>
      </c>
      <c r="C74" s="661"/>
      <c r="D74" s="653" t="str">
        <f>'Q (t)'!E101</f>
        <v>Zone Substation non-Locational</v>
      </c>
      <c r="E74" s="684">
        <f>'NUoS (t)'!G101</f>
        <v>547.94520547945206</v>
      </c>
      <c r="F74" s="685">
        <f>'NUoS (t)'!H101</f>
        <v>1.4E-2</v>
      </c>
      <c r="G74" s="684"/>
      <c r="H74" s="684"/>
      <c r="I74" s="686"/>
      <c r="J74" s="685">
        <f>'NUoS (t)'!S101</f>
        <v>0.15689999999999998</v>
      </c>
      <c r="K74" s="684">
        <f>'NUoS (t)'!T101</f>
        <v>7.2700000000000001E-2</v>
      </c>
      <c r="L74" s="685"/>
      <c r="M74" s="684"/>
      <c r="N74" s="686"/>
      <c r="O74" s="685"/>
      <c r="P74" s="684"/>
      <c r="Q74" s="695"/>
      <c r="R74" s="693"/>
      <c r="S74" s="693"/>
      <c r="T74" s="696"/>
      <c r="V74" s="650" t="str">
        <f>'Q (t)'!C101</f>
        <v>ZSS550</v>
      </c>
      <c r="W74" s="661"/>
      <c r="X74" s="653" t="str">
        <f>'Q (t)'!E101</f>
        <v>Zone Substation non-Locational</v>
      </c>
      <c r="Y74" s="684">
        <f>'DUoS (t)'!G101</f>
        <v>547.94520547945206</v>
      </c>
      <c r="Z74" s="685">
        <f>'DUoS (t)'!H101</f>
        <v>4.3E-3</v>
      </c>
      <c r="AA74" s="684"/>
      <c r="AB74" s="684"/>
      <c r="AC74" s="686"/>
      <c r="AD74" s="685">
        <f>'DUoS (t)'!S101</f>
        <v>4.07E-2</v>
      </c>
      <c r="AE74" s="684">
        <f>'DUoS (t)'!T101</f>
        <v>7.2700000000000001E-2</v>
      </c>
      <c r="AF74" s="685"/>
      <c r="AG74" s="684"/>
      <c r="AH74" s="686"/>
      <c r="AI74" s="685"/>
      <c r="AJ74" s="684"/>
      <c r="AK74" s="695"/>
      <c r="AL74" s="693"/>
      <c r="AM74" s="693"/>
      <c r="AN74" s="696"/>
      <c r="AP74" s="650" t="str">
        <f>'Q (t)'!C101</f>
        <v>ZSS550</v>
      </c>
      <c r="AQ74" s="661"/>
      <c r="AR74" s="653" t="str">
        <f>'Q (t)'!E101</f>
        <v>Zone Substation non-Locational</v>
      </c>
      <c r="AS74" s="684">
        <f>'TUoS (t)'!G101</f>
        <v>0</v>
      </c>
      <c r="AT74" s="685">
        <f>'TUoS (t)'!H101</f>
        <v>8.8000000000000005E-3</v>
      </c>
      <c r="AU74" s="684"/>
      <c r="AV74" s="684"/>
      <c r="AW74" s="686"/>
      <c r="AX74" s="685">
        <f>'TUoS (t)'!S101</f>
        <v>0.1162</v>
      </c>
      <c r="AY74" s="684">
        <f>'TUoS (t)'!T101</f>
        <v>0</v>
      </c>
      <c r="AZ74" s="685"/>
      <c r="BA74" s="684"/>
      <c r="BB74" s="686"/>
      <c r="BC74" s="685"/>
      <c r="BD74" s="684"/>
      <c r="BE74" s="695"/>
      <c r="BF74" s="693"/>
      <c r="BG74" s="693"/>
      <c r="BH74" s="696"/>
      <c r="BJ74" s="650" t="str">
        <f>'Q (t)'!C101</f>
        <v>ZSS550</v>
      </c>
      <c r="BK74" s="661"/>
      <c r="BL74" s="653" t="str">
        <f>'Q (t)'!E101</f>
        <v>Zone Substation non-Locational</v>
      </c>
      <c r="BM74" s="684">
        <f>'JSO (t)'!G101</f>
        <v>0</v>
      </c>
      <c r="BN74" s="685">
        <f>'JSO (t)'!H101</f>
        <v>8.9999999999999998E-4</v>
      </c>
      <c r="BO74" s="684"/>
      <c r="BP74" s="684"/>
      <c r="BQ74" s="686"/>
      <c r="BR74" s="685">
        <f>'JSO (t)'!S101</f>
        <v>0</v>
      </c>
      <c r="BS74" s="684">
        <f>'JSO (t)'!T101</f>
        <v>0</v>
      </c>
      <c r="BT74" s="685"/>
      <c r="BU74" s="684"/>
      <c r="BV74" s="686"/>
      <c r="BW74" s="685"/>
      <c r="BX74" s="684"/>
      <c r="BY74" s="695"/>
      <c r="BZ74" s="693"/>
      <c r="CA74" s="693"/>
      <c r="CB74" s="696"/>
    </row>
    <row r="75" spans="2:80" s="824" customFormat="1" ht="15" customHeight="1" x14ac:dyDescent="0.2">
      <c r="B75" s="771" t="str">
        <f>'Q (t)'!C102</f>
        <v>ZSS766</v>
      </c>
      <c r="C75" s="772"/>
      <c r="D75" s="783" t="str">
        <f>'Q (t)'!E102</f>
        <v>Zone Substation non-Locational</v>
      </c>
      <c r="E75" s="691">
        <f>'NUoS (t)'!G102</f>
        <v>0</v>
      </c>
      <c r="F75" s="773">
        <f>'NUoS (t)'!H102</f>
        <v>1.4E-2</v>
      </c>
      <c r="G75" s="691"/>
      <c r="H75" s="691"/>
      <c r="I75" s="692"/>
      <c r="J75" s="773">
        <f>'NUoS (t)'!S102</f>
        <v>0.15689999999999998</v>
      </c>
      <c r="K75" s="691">
        <f>'NUoS (t)'!T102</f>
        <v>7.2700000000000001E-2</v>
      </c>
      <c r="L75" s="773"/>
      <c r="M75" s="691"/>
      <c r="N75" s="692"/>
      <c r="O75" s="773"/>
      <c r="P75" s="691"/>
      <c r="Q75" s="697"/>
      <c r="R75" s="698"/>
      <c r="S75" s="698"/>
      <c r="T75" s="700"/>
      <c r="V75" s="771" t="str">
        <f>'Q (t)'!C102</f>
        <v>ZSS766</v>
      </c>
      <c r="W75" s="785"/>
      <c r="X75" s="783" t="str">
        <f>'Q (t)'!E102</f>
        <v>Zone Substation non-Locational</v>
      </c>
      <c r="Y75" s="691">
        <f>'DUoS (t)'!G102</f>
        <v>0</v>
      </c>
      <c r="Z75" s="773">
        <f>'DUoS (t)'!H102</f>
        <v>4.3E-3</v>
      </c>
      <c r="AA75" s="691"/>
      <c r="AB75" s="691"/>
      <c r="AC75" s="692"/>
      <c r="AD75" s="773">
        <f>'DUoS (t)'!S102</f>
        <v>4.07E-2</v>
      </c>
      <c r="AE75" s="691">
        <f>'DUoS (t)'!T102</f>
        <v>7.2700000000000001E-2</v>
      </c>
      <c r="AF75" s="773"/>
      <c r="AG75" s="691"/>
      <c r="AH75" s="692"/>
      <c r="AI75" s="773"/>
      <c r="AJ75" s="691"/>
      <c r="AK75" s="697"/>
      <c r="AL75" s="698"/>
      <c r="AM75" s="698"/>
      <c r="AN75" s="700"/>
      <c r="AP75" s="771" t="str">
        <f>'Q (t)'!C102</f>
        <v>ZSS766</v>
      </c>
      <c r="AQ75" s="785"/>
      <c r="AR75" s="783" t="str">
        <f>'Q (t)'!E102</f>
        <v>Zone Substation non-Locational</v>
      </c>
      <c r="AS75" s="691">
        <f>'TUoS (t)'!G102</f>
        <v>0</v>
      </c>
      <c r="AT75" s="773">
        <f>'TUoS (t)'!H102</f>
        <v>8.8000000000000005E-3</v>
      </c>
      <c r="AU75" s="691"/>
      <c r="AV75" s="691"/>
      <c r="AW75" s="692"/>
      <c r="AX75" s="773">
        <f>'TUoS (t)'!S102</f>
        <v>0.1162</v>
      </c>
      <c r="AY75" s="691">
        <f>'TUoS (t)'!T102</f>
        <v>0</v>
      </c>
      <c r="AZ75" s="773"/>
      <c r="BA75" s="691"/>
      <c r="BB75" s="692"/>
      <c r="BC75" s="773"/>
      <c r="BD75" s="691"/>
      <c r="BE75" s="697"/>
      <c r="BF75" s="698"/>
      <c r="BG75" s="698"/>
      <c r="BH75" s="700"/>
      <c r="BJ75" s="771" t="str">
        <f>'Q (t)'!C102</f>
        <v>ZSS766</v>
      </c>
      <c r="BK75" s="785"/>
      <c r="BL75" s="783" t="str">
        <f>'Q (t)'!E102</f>
        <v>Zone Substation non-Locational</v>
      </c>
      <c r="BM75" s="691">
        <f>'JSO (t)'!G102</f>
        <v>0</v>
      </c>
      <c r="BN75" s="773">
        <f>'JSO (t)'!H102</f>
        <v>8.9999999999999998E-4</v>
      </c>
      <c r="BO75" s="691"/>
      <c r="BP75" s="691"/>
      <c r="BQ75" s="692"/>
      <c r="BR75" s="773">
        <f>'JSO (t)'!S102</f>
        <v>0</v>
      </c>
      <c r="BS75" s="691">
        <f>'JSO (t)'!T102</f>
        <v>0</v>
      </c>
      <c r="BT75" s="773"/>
      <c r="BU75" s="691"/>
      <c r="BV75" s="692"/>
      <c r="BW75" s="773"/>
      <c r="BX75" s="691"/>
      <c r="BY75" s="697"/>
      <c r="BZ75" s="698"/>
      <c r="CA75" s="698"/>
      <c r="CB75" s="700"/>
    </row>
    <row r="76" spans="2:80" s="824" customFormat="1" ht="15" customHeight="1" x14ac:dyDescent="0.2">
      <c r="B76" s="771" t="str">
        <f>'Q (t)'!C103</f>
        <v>ZSS951</v>
      </c>
      <c r="C76" s="772"/>
      <c r="D76" s="783" t="str">
        <f>'Q (t)'!E103</f>
        <v>Zone Substation non-Locational</v>
      </c>
      <c r="E76" s="691">
        <f>'NUoS (t)'!G103</f>
        <v>405.20060000000001</v>
      </c>
      <c r="F76" s="773">
        <f>'NUoS (t)'!H103</f>
        <v>5.1999999999999998E-3</v>
      </c>
      <c r="G76" s="691"/>
      <c r="H76" s="691"/>
      <c r="I76" s="692"/>
      <c r="J76" s="773">
        <f>'NUoS (t)'!S103</f>
        <v>0.2142</v>
      </c>
      <c r="K76" s="691">
        <f>'NUoS (t)'!T103</f>
        <v>7.2700000000000001E-2</v>
      </c>
      <c r="L76" s="773"/>
      <c r="M76" s="691"/>
      <c r="N76" s="692"/>
      <c r="O76" s="773"/>
      <c r="P76" s="691"/>
      <c r="Q76" s="697"/>
      <c r="R76" s="698"/>
      <c r="S76" s="698"/>
      <c r="T76" s="700"/>
      <c r="V76" s="771" t="str">
        <f>'Q (t)'!C103</f>
        <v>ZSS951</v>
      </c>
      <c r="W76" s="785"/>
      <c r="X76" s="783" t="str">
        <f>'Q (t)'!E103</f>
        <v>Zone Substation non-Locational</v>
      </c>
      <c r="Y76" s="691">
        <f>'DUoS (t)'!G103</f>
        <v>297.78359999999998</v>
      </c>
      <c r="Z76" s="773">
        <f>'DUoS (t)'!H103</f>
        <v>4.3E-3</v>
      </c>
      <c r="AA76" s="691"/>
      <c r="AB76" s="691"/>
      <c r="AC76" s="692"/>
      <c r="AD76" s="773">
        <f>'DUoS (t)'!S103</f>
        <v>4.07E-2</v>
      </c>
      <c r="AE76" s="691">
        <f>'DUoS (t)'!T103</f>
        <v>7.2700000000000001E-2</v>
      </c>
      <c r="AF76" s="773"/>
      <c r="AG76" s="691"/>
      <c r="AH76" s="692"/>
      <c r="AI76" s="773"/>
      <c r="AJ76" s="691"/>
      <c r="AK76" s="697"/>
      <c r="AL76" s="698"/>
      <c r="AM76" s="698"/>
      <c r="AN76" s="700"/>
      <c r="AP76" s="771" t="str">
        <f>'Q (t)'!C103</f>
        <v>ZSS951</v>
      </c>
      <c r="AQ76" s="785"/>
      <c r="AR76" s="783" t="str">
        <f>'Q (t)'!E103</f>
        <v>Zone Substation non-Locational</v>
      </c>
      <c r="AS76" s="691">
        <f>'TUoS (t)'!G103</f>
        <v>107.417</v>
      </c>
      <c r="AT76" s="773">
        <f>'TUoS (t)'!H103</f>
        <v>0</v>
      </c>
      <c r="AU76" s="691"/>
      <c r="AV76" s="691"/>
      <c r="AW76" s="692"/>
      <c r="AX76" s="773">
        <f>'TUoS (t)'!S103</f>
        <v>0.17349999999999999</v>
      </c>
      <c r="AY76" s="691">
        <f>'TUoS (t)'!T103</f>
        <v>0</v>
      </c>
      <c r="AZ76" s="773"/>
      <c r="BA76" s="691"/>
      <c r="BB76" s="692"/>
      <c r="BC76" s="773"/>
      <c r="BD76" s="691"/>
      <c r="BE76" s="697"/>
      <c r="BF76" s="698"/>
      <c r="BG76" s="698"/>
      <c r="BH76" s="700"/>
      <c r="BJ76" s="771" t="str">
        <f>'Q (t)'!C103</f>
        <v>ZSS951</v>
      </c>
      <c r="BK76" s="785"/>
      <c r="BL76" s="783" t="str">
        <f>'Q (t)'!E103</f>
        <v>Zone Substation non-Locational</v>
      </c>
      <c r="BM76" s="691">
        <f>'JSO (t)'!G103</f>
        <v>0</v>
      </c>
      <c r="BN76" s="773">
        <f>'JSO (t)'!H103</f>
        <v>8.9999999999999998E-4</v>
      </c>
      <c r="BO76" s="691"/>
      <c r="BP76" s="691"/>
      <c r="BQ76" s="692"/>
      <c r="BR76" s="773">
        <f>'JSO (t)'!S103</f>
        <v>0</v>
      </c>
      <c r="BS76" s="691">
        <f>'JSO (t)'!T103</f>
        <v>0</v>
      </c>
      <c r="BT76" s="773"/>
      <c r="BU76" s="691"/>
      <c r="BV76" s="692"/>
      <c r="BW76" s="773"/>
      <c r="BX76" s="691"/>
      <c r="BY76" s="697"/>
      <c r="BZ76" s="698"/>
      <c r="CA76" s="698"/>
      <c r="CB76" s="700"/>
    </row>
    <row r="77" spans="2:80" ht="15" customHeight="1" x14ac:dyDescent="0.2">
      <c r="B77" s="646" t="s">
        <v>124</v>
      </c>
      <c r="C77" s="85"/>
      <c r="D77" s="85"/>
      <c r="E77" s="697"/>
      <c r="F77" s="697"/>
      <c r="G77" s="698"/>
      <c r="H77" s="698"/>
      <c r="I77" s="699"/>
      <c r="J77" s="697"/>
      <c r="K77" s="698"/>
      <c r="L77" s="697"/>
      <c r="M77" s="698"/>
      <c r="N77" s="699"/>
      <c r="O77" s="697"/>
      <c r="P77" s="698"/>
      <c r="Q77" s="697"/>
      <c r="R77" s="698"/>
      <c r="S77" s="698"/>
      <c r="T77" s="700"/>
      <c r="V77" s="646" t="s">
        <v>124</v>
      </c>
      <c r="W77" s="85"/>
      <c r="X77" s="85"/>
      <c r="Y77" s="697"/>
      <c r="Z77" s="697"/>
      <c r="AA77" s="698"/>
      <c r="AB77" s="698"/>
      <c r="AC77" s="699"/>
      <c r="AD77" s="697"/>
      <c r="AE77" s="698"/>
      <c r="AF77" s="697"/>
      <c r="AG77" s="698"/>
      <c r="AH77" s="699"/>
      <c r="AI77" s="697"/>
      <c r="AJ77" s="698"/>
      <c r="AK77" s="697"/>
      <c r="AL77" s="698"/>
      <c r="AM77" s="698"/>
      <c r="AN77" s="700"/>
      <c r="AP77" s="646" t="s">
        <v>124</v>
      </c>
      <c r="AQ77" s="85"/>
      <c r="AR77" s="85"/>
      <c r="AS77" s="697"/>
      <c r="AT77" s="697"/>
      <c r="AU77" s="698"/>
      <c r="AV77" s="698"/>
      <c r="AW77" s="699"/>
      <c r="AX77" s="697"/>
      <c r="AY77" s="698"/>
      <c r="AZ77" s="697"/>
      <c r="BA77" s="698"/>
      <c r="BB77" s="699"/>
      <c r="BC77" s="697"/>
      <c r="BD77" s="698"/>
      <c r="BE77" s="697"/>
      <c r="BF77" s="698"/>
      <c r="BG77" s="698"/>
      <c r="BH77" s="700"/>
      <c r="BJ77" s="646" t="s">
        <v>124</v>
      </c>
      <c r="BK77" s="85"/>
      <c r="BL77" s="85"/>
      <c r="BM77" s="697"/>
      <c r="BN77" s="697"/>
      <c r="BO77" s="698"/>
      <c r="BP77" s="698"/>
      <c r="BQ77" s="699"/>
      <c r="BR77" s="697"/>
      <c r="BS77" s="698"/>
      <c r="BT77" s="697"/>
      <c r="BU77" s="698"/>
      <c r="BV77" s="699"/>
      <c r="BW77" s="697"/>
      <c r="BX77" s="698"/>
      <c r="BY77" s="697"/>
      <c r="BZ77" s="698"/>
      <c r="CA77" s="698"/>
      <c r="CB77" s="700"/>
    </row>
    <row r="78" spans="2:80" ht="15" customHeight="1" x14ac:dyDescent="0.2">
      <c r="B78" s="650" t="s">
        <v>125</v>
      </c>
      <c r="C78" s="651"/>
      <c r="D78" s="653" t="s">
        <v>126</v>
      </c>
      <c r="E78" s="684">
        <f>'NUoS (t)'!G105</f>
        <v>392.8306</v>
      </c>
      <c r="F78" s="685">
        <f>'NUoS (t)'!H105</f>
        <v>5.1999999999999998E-3</v>
      </c>
      <c r="G78" s="693"/>
      <c r="H78" s="693"/>
      <c r="I78" s="694"/>
      <c r="J78" s="685">
        <f>'NUoS (t)'!S105</f>
        <v>0.2571</v>
      </c>
      <c r="K78" s="684">
        <f>'NUoS (t)'!T105</f>
        <v>7.2700000000000001E-2</v>
      </c>
      <c r="L78" s="695"/>
      <c r="M78" s="693"/>
      <c r="N78" s="694"/>
      <c r="O78" s="695"/>
      <c r="P78" s="693"/>
      <c r="Q78" s="695"/>
      <c r="R78" s="693"/>
      <c r="S78" s="693"/>
      <c r="T78" s="696"/>
      <c r="V78" s="650" t="s">
        <v>125</v>
      </c>
      <c r="W78" s="651"/>
      <c r="X78" s="653" t="s">
        <v>126</v>
      </c>
      <c r="Y78" s="684">
        <f>'DUoS (t)'!G105</f>
        <v>0</v>
      </c>
      <c r="Z78" s="685">
        <f>'DUoS (t)'!H105</f>
        <v>4.3E-3</v>
      </c>
      <c r="AA78" s="693"/>
      <c r="AB78" s="693"/>
      <c r="AC78" s="694"/>
      <c r="AD78" s="685">
        <f>'DUoS (t)'!S105</f>
        <v>4.07E-2</v>
      </c>
      <c r="AE78" s="684">
        <f>'DUoS (t)'!T105</f>
        <v>7.2700000000000001E-2</v>
      </c>
      <c r="AF78" s="695"/>
      <c r="AG78" s="693"/>
      <c r="AH78" s="694"/>
      <c r="AI78" s="695"/>
      <c r="AJ78" s="693"/>
      <c r="AK78" s="695"/>
      <c r="AL78" s="693"/>
      <c r="AM78" s="693"/>
      <c r="AN78" s="696"/>
      <c r="AP78" s="650" t="s">
        <v>125</v>
      </c>
      <c r="AQ78" s="651"/>
      <c r="AR78" s="653" t="s">
        <v>126</v>
      </c>
      <c r="AS78" s="684">
        <f>'TUoS (t)'!G105</f>
        <v>392.8306</v>
      </c>
      <c r="AT78" s="685">
        <f>'TUoS (t)'!H105</f>
        <v>0</v>
      </c>
      <c r="AU78" s="693"/>
      <c r="AV78" s="693"/>
      <c r="AW78" s="694"/>
      <c r="AX78" s="685">
        <f>'TUoS (t)'!S105</f>
        <v>0.21640000000000001</v>
      </c>
      <c r="AY78" s="684">
        <f>'TUoS (t)'!T105</f>
        <v>0</v>
      </c>
      <c r="AZ78" s="695"/>
      <c r="BA78" s="693"/>
      <c r="BB78" s="694"/>
      <c r="BC78" s="695"/>
      <c r="BD78" s="693"/>
      <c r="BE78" s="695"/>
      <c r="BF78" s="693"/>
      <c r="BG78" s="693"/>
      <c r="BH78" s="696"/>
      <c r="BJ78" s="650" t="s">
        <v>125</v>
      </c>
      <c r="BK78" s="651"/>
      <c r="BL78" s="653" t="s">
        <v>126</v>
      </c>
      <c r="BM78" s="684">
        <f>'JSO (t)'!G105</f>
        <v>0</v>
      </c>
      <c r="BN78" s="685">
        <f>'JSO (t)'!H105</f>
        <v>8.9999999999999998E-4</v>
      </c>
      <c r="BO78" s="693"/>
      <c r="BP78" s="693"/>
      <c r="BQ78" s="694"/>
      <c r="BR78" s="685">
        <f>'JSO (t)'!S105</f>
        <v>0</v>
      </c>
      <c r="BS78" s="684">
        <f>'JSO (t)'!T105</f>
        <v>0</v>
      </c>
      <c r="BT78" s="695"/>
      <c r="BU78" s="693"/>
      <c r="BV78" s="694"/>
      <c r="BW78" s="695"/>
      <c r="BX78" s="693"/>
      <c r="BY78" s="695"/>
      <c r="BZ78" s="693"/>
      <c r="CA78" s="693"/>
      <c r="CB78" s="696"/>
    </row>
    <row r="79" spans="2:80" ht="15" customHeight="1" x14ac:dyDescent="0.2">
      <c r="B79" s="650" t="s">
        <v>127</v>
      </c>
      <c r="C79" s="651"/>
      <c r="D79" s="653" t="s">
        <v>126</v>
      </c>
      <c r="E79" s="684">
        <f>'NUoS (t)'!G106</f>
        <v>133.51089999999999</v>
      </c>
      <c r="F79" s="685">
        <f>'NUoS (t)'!H106</f>
        <v>5.1999999999999998E-3</v>
      </c>
      <c r="G79" s="693"/>
      <c r="H79" s="693"/>
      <c r="I79" s="694"/>
      <c r="J79" s="685">
        <f>'NUoS (t)'!S106</f>
        <v>0.21929999999999999</v>
      </c>
      <c r="K79" s="684">
        <f>'NUoS (t)'!T106</f>
        <v>7.2700000000000001E-2</v>
      </c>
      <c r="L79" s="695"/>
      <c r="M79" s="693"/>
      <c r="N79" s="694"/>
      <c r="O79" s="695"/>
      <c r="P79" s="693"/>
      <c r="Q79" s="695"/>
      <c r="R79" s="693"/>
      <c r="S79" s="693"/>
      <c r="T79" s="696"/>
      <c r="V79" s="650" t="s">
        <v>127</v>
      </c>
      <c r="W79" s="651"/>
      <c r="X79" s="653" t="s">
        <v>126</v>
      </c>
      <c r="Y79" s="684">
        <f>'DUoS (t)'!G106</f>
        <v>0</v>
      </c>
      <c r="Z79" s="685">
        <f>'DUoS (t)'!H106</f>
        <v>4.3E-3</v>
      </c>
      <c r="AA79" s="693"/>
      <c r="AB79" s="693"/>
      <c r="AC79" s="694"/>
      <c r="AD79" s="685">
        <f>'DUoS (t)'!S106</f>
        <v>4.07E-2</v>
      </c>
      <c r="AE79" s="684">
        <f>'DUoS (t)'!T106</f>
        <v>7.2700000000000001E-2</v>
      </c>
      <c r="AF79" s="695"/>
      <c r="AG79" s="693"/>
      <c r="AH79" s="694"/>
      <c r="AI79" s="695"/>
      <c r="AJ79" s="693"/>
      <c r="AK79" s="695"/>
      <c r="AL79" s="693"/>
      <c r="AM79" s="693"/>
      <c r="AN79" s="696"/>
      <c r="AP79" s="650" t="s">
        <v>127</v>
      </c>
      <c r="AQ79" s="651"/>
      <c r="AR79" s="653" t="s">
        <v>126</v>
      </c>
      <c r="AS79" s="684">
        <f>'TUoS (t)'!G106</f>
        <v>133.51089999999999</v>
      </c>
      <c r="AT79" s="685">
        <f>'TUoS (t)'!H106</f>
        <v>0</v>
      </c>
      <c r="AU79" s="693"/>
      <c r="AV79" s="693"/>
      <c r="AW79" s="694"/>
      <c r="AX79" s="685">
        <f>'TUoS (t)'!S106</f>
        <v>0.17860000000000001</v>
      </c>
      <c r="AY79" s="684">
        <f>'TUoS (t)'!T106</f>
        <v>0</v>
      </c>
      <c r="AZ79" s="695"/>
      <c r="BA79" s="693"/>
      <c r="BB79" s="694"/>
      <c r="BC79" s="695"/>
      <c r="BD79" s="693"/>
      <c r="BE79" s="695"/>
      <c r="BF79" s="693"/>
      <c r="BG79" s="693"/>
      <c r="BH79" s="696"/>
      <c r="BJ79" s="650" t="s">
        <v>127</v>
      </c>
      <c r="BK79" s="651"/>
      <c r="BL79" s="653" t="s">
        <v>126</v>
      </c>
      <c r="BM79" s="684">
        <f>'JSO (t)'!G106</f>
        <v>0</v>
      </c>
      <c r="BN79" s="685">
        <f>'JSO (t)'!H106</f>
        <v>8.9999999999999998E-4</v>
      </c>
      <c r="BO79" s="693"/>
      <c r="BP79" s="693"/>
      <c r="BQ79" s="694"/>
      <c r="BR79" s="685">
        <f>'JSO (t)'!S106</f>
        <v>0</v>
      </c>
      <c r="BS79" s="684">
        <f>'JSO (t)'!T106</f>
        <v>0</v>
      </c>
      <c r="BT79" s="695"/>
      <c r="BU79" s="693"/>
      <c r="BV79" s="694"/>
      <c r="BW79" s="695"/>
      <c r="BX79" s="693"/>
      <c r="BY79" s="695"/>
      <c r="BZ79" s="693"/>
      <c r="CA79" s="693"/>
      <c r="CB79" s="696"/>
    </row>
    <row r="80" spans="2:80" ht="15" customHeight="1" x14ac:dyDescent="0.2">
      <c r="B80" s="771" t="s">
        <v>128</v>
      </c>
      <c r="C80" s="772"/>
      <c r="D80" s="783" t="s">
        <v>126</v>
      </c>
      <c r="E80" s="691">
        <f>'NUoS (t)'!G107</f>
        <v>165.33070000000001</v>
      </c>
      <c r="F80" s="773">
        <f>'NUoS (t)'!H107</f>
        <v>5.1999999999999998E-3</v>
      </c>
      <c r="G80" s="698"/>
      <c r="H80" s="698"/>
      <c r="I80" s="699"/>
      <c r="J80" s="773">
        <f>'NUoS (t)'!S107</f>
        <v>0.25969999999999999</v>
      </c>
      <c r="K80" s="691">
        <f>'NUoS (t)'!T107</f>
        <v>7.2700000000000001E-2</v>
      </c>
      <c r="L80" s="697"/>
      <c r="M80" s="698"/>
      <c r="N80" s="699"/>
      <c r="O80" s="697"/>
      <c r="P80" s="698"/>
      <c r="Q80" s="697"/>
      <c r="R80" s="698"/>
      <c r="S80" s="698"/>
      <c r="T80" s="700"/>
      <c r="V80" s="771" t="s">
        <v>128</v>
      </c>
      <c r="W80" s="772"/>
      <c r="X80" s="783" t="s">
        <v>126</v>
      </c>
      <c r="Y80" s="691">
        <f>'DUoS (t)'!G107</f>
        <v>0</v>
      </c>
      <c r="Z80" s="773">
        <f>'DUoS (t)'!H107</f>
        <v>4.3E-3</v>
      </c>
      <c r="AA80" s="698"/>
      <c r="AB80" s="698"/>
      <c r="AC80" s="699"/>
      <c r="AD80" s="773">
        <f>'DUoS (t)'!S107</f>
        <v>4.07E-2</v>
      </c>
      <c r="AE80" s="691">
        <f>'DUoS (t)'!T107</f>
        <v>7.2700000000000001E-2</v>
      </c>
      <c r="AF80" s="697"/>
      <c r="AG80" s="698"/>
      <c r="AH80" s="699"/>
      <c r="AI80" s="697"/>
      <c r="AJ80" s="698"/>
      <c r="AK80" s="697"/>
      <c r="AL80" s="698"/>
      <c r="AM80" s="698"/>
      <c r="AN80" s="700"/>
      <c r="AP80" s="771" t="s">
        <v>128</v>
      </c>
      <c r="AQ80" s="772"/>
      <c r="AR80" s="783" t="s">
        <v>126</v>
      </c>
      <c r="AS80" s="691">
        <f>'TUoS (t)'!G107</f>
        <v>165.33070000000001</v>
      </c>
      <c r="AT80" s="773">
        <f>'TUoS (t)'!H107</f>
        <v>0</v>
      </c>
      <c r="AU80" s="698"/>
      <c r="AV80" s="698"/>
      <c r="AW80" s="699"/>
      <c r="AX80" s="773">
        <f>'TUoS (t)'!S107</f>
        <v>0.219</v>
      </c>
      <c r="AY80" s="691">
        <f>'TUoS (t)'!T107</f>
        <v>0</v>
      </c>
      <c r="AZ80" s="697"/>
      <c r="BA80" s="698"/>
      <c r="BB80" s="699"/>
      <c r="BC80" s="697"/>
      <c r="BD80" s="698"/>
      <c r="BE80" s="697"/>
      <c r="BF80" s="698"/>
      <c r="BG80" s="698"/>
      <c r="BH80" s="700"/>
      <c r="BJ80" s="771" t="s">
        <v>128</v>
      </c>
      <c r="BK80" s="772"/>
      <c r="BL80" s="783" t="s">
        <v>126</v>
      </c>
      <c r="BM80" s="691">
        <f>'JSO (t)'!G107</f>
        <v>0</v>
      </c>
      <c r="BN80" s="773">
        <f>'JSO (t)'!H107</f>
        <v>8.9999999999999998E-4</v>
      </c>
      <c r="BO80" s="698"/>
      <c r="BP80" s="698"/>
      <c r="BQ80" s="699"/>
      <c r="BR80" s="773">
        <f>'JSO (t)'!S107</f>
        <v>0</v>
      </c>
      <c r="BS80" s="691">
        <f>'JSO (t)'!T107</f>
        <v>0</v>
      </c>
      <c r="BT80" s="697"/>
      <c r="BU80" s="698"/>
      <c r="BV80" s="699"/>
      <c r="BW80" s="697"/>
      <c r="BX80" s="698"/>
      <c r="BY80" s="697"/>
      <c r="BZ80" s="698"/>
      <c r="CA80" s="698"/>
      <c r="CB80" s="700"/>
    </row>
    <row r="81" spans="2:80" ht="15" customHeight="1" x14ac:dyDescent="0.2">
      <c r="B81" s="771"/>
      <c r="C81" s="772" t="s">
        <v>129</v>
      </c>
      <c r="D81" s="783" t="s">
        <v>126</v>
      </c>
      <c r="E81" s="691">
        <f>'NUoS (t)'!G108</f>
        <v>155.76759999999999</v>
      </c>
      <c r="F81" s="773">
        <f>'NUoS (t)'!H108</f>
        <v>5.1999999999999998E-3</v>
      </c>
      <c r="G81" s="698"/>
      <c r="H81" s="698"/>
      <c r="I81" s="699"/>
      <c r="J81" s="773">
        <f>'NUoS (t)'!S108</f>
        <v>0.23770000000000002</v>
      </c>
      <c r="K81" s="691">
        <f>'NUoS (t)'!T108</f>
        <v>7.2700000000000001E-2</v>
      </c>
      <c r="L81" s="697"/>
      <c r="M81" s="698"/>
      <c r="N81" s="699"/>
      <c r="O81" s="697"/>
      <c r="P81" s="698"/>
      <c r="Q81" s="697"/>
      <c r="R81" s="698"/>
      <c r="S81" s="698"/>
      <c r="T81" s="700"/>
      <c r="V81" s="771"/>
      <c r="W81" s="772" t="s">
        <v>129</v>
      </c>
      <c r="X81" s="783" t="s">
        <v>126</v>
      </c>
      <c r="Y81" s="691">
        <f>'DUoS (t)'!G108</f>
        <v>0</v>
      </c>
      <c r="Z81" s="773">
        <f>'DUoS (t)'!H108</f>
        <v>4.3E-3</v>
      </c>
      <c r="AA81" s="698"/>
      <c r="AB81" s="698"/>
      <c r="AC81" s="699"/>
      <c r="AD81" s="773">
        <f>'DUoS (t)'!S108</f>
        <v>4.07E-2</v>
      </c>
      <c r="AE81" s="691">
        <f>'DUoS (t)'!T108</f>
        <v>7.2700000000000001E-2</v>
      </c>
      <c r="AF81" s="697"/>
      <c r="AG81" s="698"/>
      <c r="AH81" s="699"/>
      <c r="AI81" s="697"/>
      <c r="AJ81" s="698"/>
      <c r="AK81" s="697"/>
      <c r="AL81" s="698"/>
      <c r="AM81" s="698"/>
      <c r="AN81" s="700"/>
      <c r="AP81" s="771"/>
      <c r="AQ81" s="772" t="s">
        <v>129</v>
      </c>
      <c r="AR81" s="783" t="s">
        <v>126</v>
      </c>
      <c r="AS81" s="691">
        <f>'TUoS (t)'!G108</f>
        <v>155.76759999999999</v>
      </c>
      <c r="AT81" s="773">
        <f>'TUoS (t)'!H108</f>
        <v>0</v>
      </c>
      <c r="AU81" s="698"/>
      <c r="AV81" s="698"/>
      <c r="AW81" s="699"/>
      <c r="AX81" s="773">
        <f>'TUoS (t)'!S108</f>
        <v>0.19700000000000001</v>
      </c>
      <c r="AY81" s="691">
        <f>'TUoS (t)'!T108</f>
        <v>0</v>
      </c>
      <c r="AZ81" s="697"/>
      <c r="BA81" s="698"/>
      <c r="BB81" s="699"/>
      <c r="BC81" s="697"/>
      <c r="BD81" s="698"/>
      <c r="BE81" s="697"/>
      <c r="BF81" s="698"/>
      <c r="BG81" s="698"/>
      <c r="BH81" s="700"/>
      <c r="BJ81" s="771"/>
      <c r="BK81" s="772" t="s">
        <v>129</v>
      </c>
      <c r="BL81" s="783" t="s">
        <v>126</v>
      </c>
      <c r="BM81" s="691">
        <f>'JSO (t)'!G108</f>
        <v>0</v>
      </c>
      <c r="BN81" s="773">
        <f>'JSO (t)'!H108</f>
        <v>8.9999999999999998E-4</v>
      </c>
      <c r="BO81" s="698"/>
      <c r="BP81" s="698"/>
      <c r="BQ81" s="699"/>
      <c r="BR81" s="773">
        <f>'JSO (t)'!S108</f>
        <v>0</v>
      </c>
      <c r="BS81" s="691">
        <f>'JSO (t)'!T108</f>
        <v>0</v>
      </c>
      <c r="BT81" s="697"/>
      <c r="BU81" s="698"/>
      <c r="BV81" s="699"/>
      <c r="BW81" s="697"/>
      <c r="BX81" s="698"/>
      <c r="BY81" s="697"/>
      <c r="BZ81" s="698"/>
      <c r="CA81" s="698"/>
      <c r="CB81" s="700"/>
    </row>
    <row r="82" spans="2:80" ht="15" customHeight="1" x14ac:dyDescent="0.2">
      <c r="B82" s="650" t="s">
        <v>564</v>
      </c>
      <c r="C82" s="651"/>
      <c r="D82" s="653" t="s">
        <v>126</v>
      </c>
      <c r="E82" s="684">
        <f>'NUoS (t)'!G109</f>
        <v>0</v>
      </c>
      <c r="F82" s="685">
        <f>'NUoS (t)'!H109</f>
        <v>1.4E-2</v>
      </c>
      <c r="G82" s="693"/>
      <c r="H82" s="693"/>
      <c r="I82" s="694"/>
      <c r="J82" s="685">
        <f>'NUoS (t)'!S109</f>
        <v>0.15689999999999998</v>
      </c>
      <c r="K82" s="684">
        <f>'NUoS (t)'!T109</f>
        <v>7.2700000000000001E-2</v>
      </c>
      <c r="L82" s="695"/>
      <c r="M82" s="693"/>
      <c r="N82" s="694"/>
      <c r="O82" s="695"/>
      <c r="P82" s="693"/>
      <c r="Q82" s="695"/>
      <c r="R82" s="693"/>
      <c r="S82" s="693"/>
      <c r="T82" s="696"/>
      <c r="V82" s="650" t="s">
        <v>564</v>
      </c>
      <c r="W82" s="651"/>
      <c r="X82" s="653" t="s">
        <v>126</v>
      </c>
      <c r="Y82" s="684">
        <f>'DUoS (t)'!G109</f>
        <v>0</v>
      </c>
      <c r="Z82" s="685">
        <f>'DUoS (t)'!H109</f>
        <v>4.3E-3</v>
      </c>
      <c r="AA82" s="693"/>
      <c r="AB82" s="693"/>
      <c r="AC82" s="694"/>
      <c r="AD82" s="685">
        <f>'DUoS (t)'!S109</f>
        <v>4.07E-2</v>
      </c>
      <c r="AE82" s="684">
        <f>'DUoS (t)'!T109</f>
        <v>7.2700000000000001E-2</v>
      </c>
      <c r="AF82" s="695"/>
      <c r="AG82" s="693"/>
      <c r="AH82" s="694"/>
      <c r="AI82" s="695"/>
      <c r="AJ82" s="693"/>
      <c r="AK82" s="695"/>
      <c r="AL82" s="693"/>
      <c r="AM82" s="693"/>
      <c r="AN82" s="696"/>
      <c r="AP82" s="650" t="s">
        <v>564</v>
      </c>
      <c r="AQ82" s="651"/>
      <c r="AR82" s="653" t="s">
        <v>126</v>
      </c>
      <c r="AS82" s="684">
        <f>'TUoS (t)'!G109</f>
        <v>0</v>
      </c>
      <c r="AT82" s="685">
        <f>'TUoS (t)'!H109</f>
        <v>8.8000000000000005E-3</v>
      </c>
      <c r="AU82" s="693"/>
      <c r="AV82" s="693"/>
      <c r="AW82" s="694"/>
      <c r="AX82" s="685">
        <f>'TUoS (t)'!S109</f>
        <v>0.1162</v>
      </c>
      <c r="AY82" s="684">
        <f>'TUoS (t)'!T109</f>
        <v>0</v>
      </c>
      <c r="AZ82" s="695"/>
      <c r="BA82" s="693"/>
      <c r="BB82" s="694"/>
      <c r="BC82" s="695"/>
      <c r="BD82" s="693"/>
      <c r="BE82" s="695"/>
      <c r="BF82" s="693"/>
      <c r="BG82" s="693"/>
      <c r="BH82" s="696"/>
      <c r="BJ82" s="650" t="s">
        <v>564</v>
      </c>
      <c r="BK82" s="651"/>
      <c r="BL82" s="653" t="s">
        <v>126</v>
      </c>
      <c r="BM82" s="684">
        <f>'JSO (t)'!G109</f>
        <v>0</v>
      </c>
      <c r="BN82" s="685">
        <f>'JSO (t)'!H109</f>
        <v>8.9999999999999998E-4</v>
      </c>
      <c r="BO82" s="693"/>
      <c r="BP82" s="693"/>
      <c r="BQ82" s="694"/>
      <c r="BR82" s="685">
        <f>'JSO (t)'!S109</f>
        <v>0</v>
      </c>
      <c r="BS82" s="684">
        <f>'JSO (t)'!T109</f>
        <v>0</v>
      </c>
      <c r="BT82" s="695"/>
      <c r="BU82" s="693"/>
      <c r="BV82" s="694"/>
      <c r="BW82" s="695"/>
      <c r="BX82" s="693"/>
      <c r="BY82" s="695"/>
      <c r="BZ82" s="693"/>
      <c r="CA82" s="693"/>
      <c r="CB82" s="696"/>
    </row>
    <row r="83" spans="2:80" ht="15" customHeight="1" x14ac:dyDescent="0.2">
      <c r="B83" s="650" t="s">
        <v>565</v>
      </c>
      <c r="C83" s="651"/>
      <c r="D83" s="653" t="s">
        <v>126</v>
      </c>
      <c r="E83" s="684">
        <f>'NUoS (t)'!G110</f>
        <v>0</v>
      </c>
      <c r="F83" s="685">
        <f>'NUoS (t)'!H110</f>
        <v>1.4E-2</v>
      </c>
      <c r="G83" s="693"/>
      <c r="H83" s="693"/>
      <c r="I83" s="694"/>
      <c r="J83" s="685">
        <f>'NUoS (t)'!S110</f>
        <v>0.15689999999999998</v>
      </c>
      <c r="K83" s="684">
        <f>'NUoS (t)'!T110</f>
        <v>7.2700000000000001E-2</v>
      </c>
      <c r="L83" s="695"/>
      <c r="M83" s="693"/>
      <c r="N83" s="694"/>
      <c r="O83" s="695"/>
      <c r="P83" s="693"/>
      <c r="Q83" s="695"/>
      <c r="R83" s="693"/>
      <c r="S83" s="693"/>
      <c r="T83" s="696"/>
      <c r="V83" s="650" t="s">
        <v>565</v>
      </c>
      <c r="W83" s="651"/>
      <c r="X83" s="653" t="s">
        <v>126</v>
      </c>
      <c r="Y83" s="684">
        <f>'DUoS (t)'!G110</f>
        <v>0</v>
      </c>
      <c r="Z83" s="685">
        <f>'DUoS (t)'!H110</f>
        <v>4.3E-3</v>
      </c>
      <c r="AA83" s="693"/>
      <c r="AB83" s="693"/>
      <c r="AC83" s="694"/>
      <c r="AD83" s="685">
        <f>'DUoS (t)'!S110</f>
        <v>4.07E-2</v>
      </c>
      <c r="AE83" s="684">
        <f>'DUoS (t)'!T110</f>
        <v>7.2700000000000001E-2</v>
      </c>
      <c r="AF83" s="695"/>
      <c r="AG83" s="693"/>
      <c r="AH83" s="694"/>
      <c r="AI83" s="695"/>
      <c r="AJ83" s="693"/>
      <c r="AK83" s="695"/>
      <c r="AL83" s="693"/>
      <c r="AM83" s="693"/>
      <c r="AN83" s="696"/>
      <c r="AP83" s="650" t="s">
        <v>565</v>
      </c>
      <c r="AQ83" s="651"/>
      <c r="AR83" s="653" t="s">
        <v>126</v>
      </c>
      <c r="AS83" s="684">
        <f>'TUoS (t)'!G110</f>
        <v>0</v>
      </c>
      <c r="AT83" s="685">
        <f>'TUoS (t)'!H110</f>
        <v>8.8000000000000005E-3</v>
      </c>
      <c r="AU83" s="693"/>
      <c r="AV83" s="693"/>
      <c r="AW83" s="694"/>
      <c r="AX83" s="685">
        <f>'TUoS (t)'!S110</f>
        <v>0.1162</v>
      </c>
      <c r="AY83" s="684">
        <f>'TUoS (t)'!T110</f>
        <v>0</v>
      </c>
      <c r="AZ83" s="695"/>
      <c r="BA83" s="693"/>
      <c r="BB83" s="694"/>
      <c r="BC83" s="695"/>
      <c r="BD83" s="693"/>
      <c r="BE83" s="695"/>
      <c r="BF83" s="693"/>
      <c r="BG83" s="693"/>
      <c r="BH83" s="696"/>
      <c r="BJ83" s="650" t="s">
        <v>565</v>
      </c>
      <c r="BK83" s="651"/>
      <c r="BL83" s="653" t="s">
        <v>126</v>
      </c>
      <c r="BM83" s="684">
        <f>'JSO (t)'!G110</f>
        <v>0</v>
      </c>
      <c r="BN83" s="685">
        <f>'JSO (t)'!H110</f>
        <v>8.9999999999999998E-4</v>
      </c>
      <c r="BO83" s="693"/>
      <c r="BP83" s="693"/>
      <c r="BQ83" s="694"/>
      <c r="BR83" s="685">
        <f>'JSO (t)'!S110</f>
        <v>0</v>
      </c>
      <c r="BS83" s="684">
        <f>'JSO (t)'!T110</f>
        <v>0</v>
      </c>
      <c r="BT83" s="695"/>
      <c r="BU83" s="693"/>
      <c r="BV83" s="694"/>
      <c r="BW83" s="695"/>
      <c r="BX83" s="693"/>
      <c r="BY83" s="695"/>
      <c r="BZ83" s="693"/>
      <c r="CA83" s="693"/>
      <c r="CB83" s="696"/>
    </row>
    <row r="84" spans="2:80" ht="15" customHeight="1" x14ac:dyDescent="0.2">
      <c r="B84" s="771" t="s">
        <v>560</v>
      </c>
      <c r="C84" s="772"/>
      <c r="D84" s="783" t="s">
        <v>126</v>
      </c>
      <c r="E84" s="691">
        <f>'NUoS (t)'!G111</f>
        <v>0</v>
      </c>
      <c r="F84" s="773">
        <f>'NUoS (t)'!H111</f>
        <v>1.4E-2</v>
      </c>
      <c r="G84" s="698"/>
      <c r="H84" s="698"/>
      <c r="I84" s="699"/>
      <c r="J84" s="773">
        <f>'NUoS (t)'!S111</f>
        <v>0.15689999999999998</v>
      </c>
      <c r="K84" s="691">
        <f>'NUoS (t)'!T111</f>
        <v>7.2700000000000001E-2</v>
      </c>
      <c r="L84" s="697"/>
      <c r="M84" s="698"/>
      <c r="N84" s="699"/>
      <c r="O84" s="697"/>
      <c r="P84" s="698"/>
      <c r="Q84" s="697"/>
      <c r="R84" s="698"/>
      <c r="S84" s="698"/>
      <c r="T84" s="700"/>
      <c r="V84" s="771" t="s">
        <v>560</v>
      </c>
      <c r="W84" s="772"/>
      <c r="X84" s="783" t="s">
        <v>126</v>
      </c>
      <c r="Y84" s="691">
        <f>'DUoS (t)'!G111</f>
        <v>0</v>
      </c>
      <c r="Z84" s="773">
        <f>'DUoS (t)'!H111</f>
        <v>4.3E-3</v>
      </c>
      <c r="AA84" s="698"/>
      <c r="AB84" s="698"/>
      <c r="AC84" s="699"/>
      <c r="AD84" s="773">
        <f>'DUoS (t)'!S111</f>
        <v>4.07E-2</v>
      </c>
      <c r="AE84" s="691">
        <f>'DUoS (t)'!T111</f>
        <v>7.2700000000000001E-2</v>
      </c>
      <c r="AF84" s="697"/>
      <c r="AG84" s="698"/>
      <c r="AH84" s="699"/>
      <c r="AI84" s="697"/>
      <c r="AJ84" s="698"/>
      <c r="AK84" s="697"/>
      <c r="AL84" s="698"/>
      <c r="AM84" s="698"/>
      <c r="AN84" s="700"/>
      <c r="AP84" s="771" t="s">
        <v>560</v>
      </c>
      <c r="AQ84" s="772"/>
      <c r="AR84" s="783" t="s">
        <v>126</v>
      </c>
      <c r="AS84" s="691">
        <f>'TUoS (t)'!G111</f>
        <v>0</v>
      </c>
      <c r="AT84" s="773">
        <f>'TUoS (t)'!H111</f>
        <v>8.8000000000000005E-3</v>
      </c>
      <c r="AU84" s="698"/>
      <c r="AV84" s="698"/>
      <c r="AW84" s="699"/>
      <c r="AX84" s="773">
        <f>'TUoS (t)'!S111</f>
        <v>0.1162</v>
      </c>
      <c r="AY84" s="691">
        <f>'TUoS (t)'!T111</f>
        <v>0</v>
      </c>
      <c r="AZ84" s="697"/>
      <c r="BA84" s="698"/>
      <c r="BB84" s="699"/>
      <c r="BC84" s="697"/>
      <c r="BD84" s="698"/>
      <c r="BE84" s="697"/>
      <c r="BF84" s="698"/>
      <c r="BG84" s="698"/>
      <c r="BH84" s="700"/>
      <c r="BJ84" s="771" t="s">
        <v>560</v>
      </c>
      <c r="BK84" s="772"/>
      <c r="BL84" s="783" t="s">
        <v>126</v>
      </c>
      <c r="BM84" s="691">
        <f>'JSO (t)'!G111</f>
        <v>0</v>
      </c>
      <c r="BN84" s="773">
        <f>'JSO (t)'!H111</f>
        <v>8.9999999999999998E-4</v>
      </c>
      <c r="BO84" s="698"/>
      <c r="BP84" s="698"/>
      <c r="BQ84" s="699"/>
      <c r="BR84" s="773">
        <f>'JSO (t)'!S111</f>
        <v>0</v>
      </c>
      <c r="BS84" s="691">
        <f>'JSO (t)'!T111</f>
        <v>0</v>
      </c>
      <c r="BT84" s="697"/>
      <c r="BU84" s="698"/>
      <c r="BV84" s="699"/>
      <c r="BW84" s="697"/>
      <c r="BX84" s="698"/>
      <c r="BY84" s="697"/>
      <c r="BZ84" s="698"/>
      <c r="CA84" s="698"/>
      <c r="CB84" s="700"/>
    </row>
    <row r="85" spans="2:80" ht="15" customHeight="1" x14ac:dyDescent="0.2">
      <c r="B85" s="771" t="s">
        <v>130</v>
      </c>
      <c r="C85" s="772"/>
      <c r="D85" s="783" t="s">
        <v>126</v>
      </c>
      <c r="E85" s="691">
        <f>'NUoS (t)'!G112</f>
        <v>65.730699999999999</v>
      </c>
      <c r="F85" s="773">
        <f>'NUoS (t)'!H112</f>
        <v>5.1999999999999998E-3</v>
      </c>
      <c r="G85" s="698"/>
      <c r="H85" s="698"/>
      <c r="I85" s="699"/>
      <c r="J85" s="773">
        <f>'NUoS (t)'!S112</f>
        <v>0.21929999999999999</v>
      </c>
      <c r="K85" s="691">
        <f>'NUoS (t)'!T112</f>
        <v>7.2700000000000001E-2</v>
      </c>
      <c r="L85" s="697"/>
      <c r="M85" s="698"/>
      <c r="N85" s="699"/>
      <c r="O85" s="697"/>
      <c r="P85" s="698"/>
      <c r="Q85" s="697"/>
      <c r="R85" s="698"/>
      <c r="S85" s="698"/>
      <c r="T85" s="700"/>
      <c r="V85" s="771" t="s">
        <v>130</v>
      </c>
      <c r="W85" s="772"/>
      <c r="X85" s="783" t="s">
        <v>126</v>
      </c>
      <c r="Y85" s="691">
        <f>'DUoS (t)'!G112</f>
        <v>0</v>
      </c>
      <c r="Z85" s="773">
        <f>'DUoS (t)'!H112</f>
        <v>4.3E-3</v>
      </c>
      <c r="AA85" s="698"/>
      <c r="AB85" s="698"/>
      <c r="AC85" s="699"/>
      <c r="AD85" s="773">
        <f>'DUoS (t)'!S112</f>
        <v>4.07E-2</v>
      </c>
      <c r="AE85" s="691">
        <f>'DUoS (t)'!T112</f>
        <v>7.2700000000000001E-2</v>
      </c>
      <c r="AF85" s="697"/>
      <c r="AG85" s="698"/>
      <c r="AH85" s="699"/>
      <c r="AI85" s="697"/>
      <c r="AJ85" s="698"/>
      <c r="AK85" s="697"/>
      <c r="AL85" s="698"/>
      <c r="AM85" s="698"/>
      <c r="AN85" s="700"/>
      <c r="AP85" s="771" t="s">
        <v>130</v>
      </c>
      <c r="AQ85" s="772"/>
      <c r="AR85" s="783" t="s">
        <v>126</v>
      </c>
      <c r="AS85" s="691">
        <f>'TUoS (t)'!G112</f>
        <v>65.730699999999999</v>
      </c>
      <c r="AT85" s="773">
        <f>'TUoS (t)'!H112</f>
        <v>0</v>
      </c>
      <c r="AU85" s="698"/>
      <c r="AV85" s="698"/>
      <c r="AW85" s="699"/>
      <c r="AX85" s="773">
        <f>'TUoS (t)'!S112</f>
        <v>0.17860000000000001</v>
      </c>
      <c r="AY85" s="691">
        <f>'TUoS (t)'!T112</f>
        <v>0</v>
      </c>
      <c r="AZ85" s="697"/>
      <c r="BA85" s="698"/>
      <c r="BB85" s="699"/>
      <c r="BC85" s="697"/>
      <c r="BD85" s="698"/>
      <c r="BE85" s="697"/>
      <c r="BF85" s="698"/>
      <c r="BG85" s="698"/>
      <c r="BH85" s="700"/>
      <c r="BJ85" s="771" t="s">
        <v>130</v>
      </c>
      <c r="BK85" s="772"/>
      <c r="BL85" s="783" t="s">
        <v>126</v>
      </c>
      <c r="BM85" s="691">
        <f>'JSO (t)'!G112</f>
        <v>0</v>
      </c>
      <c r="BN85" s="773">
        <f>'JSO (t)'!H112</f>
        <v>8.9999999999999998E-4</v>
      </c>
      <c r="BO85" s="698"/>
      <c r="BP85" s="698"/>
      <c r="BQ85" s="699"/>
      <c r="BR85" s="773">
        <f>'JSO (t)'!S112</f>
        <v>0</v>
      </c>
      <c r="BS85" s="691">
        <f>'JSO (t)'!T112</f>
        <v>0</v>
      </c>
      <c r="BT85" s="697"/>
      <c r="BU85" s="698"/>
      <c r="BV85" s="699"/>
      <c r="BW85" s="697"/>
      <c r="BX85" s="698"/>
      <c r="BY85" s="697"/>
      <c r="BZ85" s="698"/>
      <c r="CA85" s="698"/>
      <c r="CB85" s="700"/>
    </row>
    <row r="86" spans="2:80" ht="15" customHeight="1" x14ac:dyDescent="0.2">
      <c r="B86" s="650" t="s">
        <v>131</v>
      </c>
      <c r="C86" s="651"/>
      <c r="D86" s="653" t="s">
        <v>126</v>
      </c>
      <c r="E86" s="684">
        <f>'NUoS (t)'!G113</f>
        <v>121.2315</v>
      </c>
      <c r="F86" s="685">
        <f>'NUoS (t)'!H113</f>
        <v>5.1999999999999998E-3</v>
      </c>
      <c r="G86" s="693"/>
      <c r="H86" s="693"/>
      <c r="I86" s="694"/>
      <c r="J86" s="685">
        <f>'NUoS (t)'!S113</f>
        <v>0.21929999999999999</v>
      </c>
      <c r="K86" s="684">
        <f>'NUoS (t)'!T113</f>
        <v>7.2700000000000001E-2</v>
      </c>
      <c r="L86" s="695"/>
      <c r="M86" s="693"/>
      <c r="N86" s="694"/>
      <c r="O86" s="695"/>
      <c r="P86" s="693"/>
      <c r="Q86" s="695"/>
      <c r="R86" s="693"/>
      <c r="S86" s="693"/>
      <c r="T86" s="696"/>
      <c r="V86" s="650" t="s">
        <v>131</v>
      </c>
      <c r="W86" s="651"/>
      <c r="X86" s="653" t="s">
        <v>126</v>
      </c>
      <c r="Y86" s="684">
        <f>'DUoS (t)'!G113</f>
        <v>84.764399999999995</v>
      </c>
      <c r="Z86" s="685">
        <f>'DUoS (t)'!H113</f>
        <v>4.3E-3</v>
      </c>
      <c r="AA86" s="693"/>
      <c r="AB86" s="693"/>
      <c r="AC86" s="694"/>
      <c r="AD86" s="685">
        <f>'DUoS (t)'!S113</f>
        <v>4.07E-2</v>
      </c>
      <c r="AE86" s="684">
        <f>'DUoS (t)'!T113</f>
        <v>7.2700000000000001E-2</v>
      </c>
      <c r="AF86" s="695"/>
      <c r="AG86" s="693"/>
      <c r="AH86" s="694"/>
      <c r="AI86" s="695"/>
      <c r="AJ86" s="693"/>
      <c r="AK86" s="695"/>
      <c r="AL86" s="693"/>
      <c r="AM86" s="693"/>
      <c r="AN86" s="696"/>
      <c r="AP86" s="650" t="s">
        <v>131</v>
      </c>
      <c r="AQ86" s="651"/>
      <c r="AR86" s="653" t="s">
        <v>126</v>
      </c>
      <c r="AS86" s="684">
        <f>'TUoS (t)'!G113</f>
        <v>36.467100000000002</v>
      </c>
      <c r="AT86" s="685">
        <f>'TUoS (t)'!H113</f>
        <v>0</v>
      </c>
      <c r="AU86" s="693"/>
      <c r="AV86" s="693"/>
      <c r="AW86" s="694"/>
      <c r="AX86" s="685">
        <f>'TUoS (t)'!S113</f>
        <v>0.17860000000000001</v>
      </c>
      <c r="AY86" s="684">
        <f>'TUoS (t)'!T113</f>
        <v>0</v>
      </c>
      <c r="AZ86" s="695"/>
      <c r="BA86" s="693"/>
      <c r="BB86" s="694"/>
      <c r="BC86" s="695"/>
      <c r="BD86" s="693"/>
      <c r="BE86" s="695"/>
      <c r="BF86" s="693"/>
      <c r="BG86" s="693"/>
      <c r="BH86" s="696"/>
      <c r="BJ86" s="650" t="s">
        <v>131</v>
      </c>
      <c r="BK86" s="651"/>
      <c r="BL86" s="653" t="s">
        <v>126</v>
      </c>
      <c r="BM86" s="684">
        <f>'JSO (t)'!G113</f>
        <v>0</v>
      </c>
      <c r="BN86" s="685">
        <f>'JSO (t)'!H113</f>
        <v>8.9999999999999998E-4</v>
      </c>
      <c r="BO86" s="693"/>
      <c r="BP86" s="693"/>
      <c r="BQ86" s="694"/>
      <c r="BR86" s="685">
        <f>'JSO (t)'!S113</f>
        <v>0</v>
      </c>
      <c r="BS86" s="684">
        <f>'JSO (t)'!T113</f>
        <v>0</v>
      </c>
      <c r="BT86" s="695"/>
      <c r="BU86" s="693"/>
      <c r="BV86" s="694"/>
      <c r="BW86" s="695"/>
      <c r="BX86" s="693"/>
      <c r="BY86" s="695"/>
      <c r="BZ86" s="693"/>
      <c r="CA86" s="693"/>
      <c r="CB86" s="696"/>
    </row>
    <row r="87" spans="2:80" ht="15" customHeight="1" x14ac:dyDescent="0.2">
      <c r="B87" s="650" t="s">
        <v>561</v>
      </c>
      <c r="C87" s="651"/>
      <c r="D87" s="653" t="s">
        <v>126</v>
      </c>
      <c r="E87" s="684">
        <f>'NUoS (t)'!G114</f>
        <v>0</v>
      </c>
      <c r="F87" s="685">
        <f>'NUoS (t)'!H114</f>
        <v>1.4E-2</v>
      </c>
      <c r="G87" s="693"/>
      <c r="H87" s="693"/>
      <c r="I87" s="694"/>
      <c r="J87" s="685">
        <f>'NUoS (t)'!S114</f>
        <v>0.15689999999999998</v>
      </c>
      <c r="K87" s="684">
        <f>'NUoS (t)'!T114</f>
        <v>7.2700000000000001E-2</v>
      </c>
      <c r="L87" s="695"/>
      <c r="M87" s="693"/>
      <c r="N87" s="694"/>
      <c r="O87" s="695"/>
      <c r="P87" s="693"/>
      <c r="Q87" s="695"/>
      <c r="R87" s="693"/>
      <c r="S87" s="693"/>
      <c r="T87" s="696"/>
      <c r="V87" s="650" t="s">
        <v>561</v>
      </c>
      <c r="W87" s="651"/>
      <c r="X87" s="653" t="s">
        <v>126</v>
      </c>
      <c r="Y87" s="684">
        <f>'DUoS (t)'!G114</f>
        <v>0</v>
      </c>
      <c r="Z87" s="685">
        <f>'DUoS (t)'!H114</f>
        <v>4.3E-3</v>
      </c>
      <c r="AA87" s="693"/>
      <c r="AB87" s="693"/>
      <c r="AC87" s="694"/>
      <c r="AD87" s="685">
        <f>'DUoS (t)'!S114</f>
        <v>4.07E-2</v>
      </c>
      <c r="AE87" s="684">
        <f>'DUoS (t)'!T114</f>
        <v>7.2700000000000001E-2</v>
      </c>
      <c r="AF87" s="695"/>
      <c r="AG87" s="693"/>
      <c r="AH87" s="694"/>
      <c r="AI87" s="695"/>
      <c r="AJ87" s="693"/>
      <c r="AK87" s="695"/>
      <c r="AL87" s="693"/>
      <c r="AM87" s="693"/>
      <c r="AN87" s="696"/>
      <c r="AP87" s="650" t="s">
        <v>561</v>
      </c>
      <c r="AQ87" s="651"/>
      <c r="AR87" s="653" t="s">
        <v>126</v>
      </c>
      <c r="AS87" s="684">
        <f>'TUoS (t)'!G114</f>
        <v>0</v>
      </c>
      <c r="AT87" s="685">
        <f>'TUoS (t)'!H114</f>
        <v>8.8000000000000005E-3</v>
      </c>
      <c r="AU87" s="693"/>
      <c r="AV87" s="693"/>
      <c r="AW87" s="694"/>
      <c r="AX87" s="685">
        <f>'TUoS (t)'!S114</f>
        <v>0.1162</v>
      </c>
      <c r="AY87" s="684">
        <f>'TUoS (t)'!T114</f>
        <v>0</v>
      </c>
      <c r="AZ87" s="695"/>
      <c r="BA87" s="693"/>
      <c r="BB87" s="694"/>
      <c r="BC87" s="695"/>
      <c r="BD87" s="693"/>
      <c r="BE87" s="695"/>
      <c r="BF87" s="693"/>
      <c r="BG87" s="693"/>
      <c r="BH87" s="696"/>
      <c r="BJ87" s="650" t="s">
        <v>561</v>
      </c>
      <c r="BK87" s="651"/>
      <c r="BL87" s="653" t="s">
        <v>126</v>
      </c>
      <c r="BM87" s="684">
        <f>'JSO (t)'!G114</f>
        <v>0</v>
      </c>
      <c r="BN87" s="685">
        <f>'JSO (t)'!H114</f>
        <v>8.9999999999999998E-4</v>
      </c>
      <c r="BO87" s="693"/>
      <c r="BP87" s="693"/>
      <c r="BQ87" s="694"/>
      <c r="BR87" s="685">
        <f>'JSO (t)'!S114</f>
        <v>0</v>
      </c>
      <c r="BS87" s="684">
        <f>'JSO (t)'!T114</f>
        <v>0</v>
      </c>
      <c r="BT87" s="695"/>
      <c r="BU87" s="693"/>
      <c r="BV87" s="694"/>
      <c r="BW87" s="695"/>
      <c r="BX87" s="693"/>
      <c r="BY87" s="695"/>
      <c r="BZ87" s="693"/>
      <c r="CA87" s="693"/>
      <c r="CB87" s="696"/>
    </row>
    <row r="88" spans="2:80" ht="15" customHeight="1" x14ac:dyDescent="0.2">
      <c r="B88" s="646" t="s">
        <v>132</v>
      </c>
      <c r="C88" s="85"/>
      <c r="D88" s="85"/>
      <c r="E88" s="697"/>
      <c r="F88" s="697"/>
      <c r="G88" s="698"/>
      <c r="H88" s="698"/>
      <c r="I88" s="699"/>
      <c r="J88" s="697"/>
      <c r="K88" s="698"/>
      <c r="L88" s="697"/>
      <c r="M88" s="698"/>
      <c r="N88" s="699"/>
      <c r="O88" s="697"/>
      <c r="P88" s="698"/>
      <c r="Q88" s="697"/>
      <c r="R88" s="698"/>
      <c r="S88" s="698"/>
      <c r="T88" s="700"/>
      <c r="V88" s="646" t="s">
        <v>132</v>
      </c>
      <c r="W88" s="85"/>
      <c r="X88" s="85"/>
      <c r="Y88" s="697"/>
      <c r="Z88" s="697"/>
      <c r="AA88" s="698"/>
      <c r="AB88" s="698"/>
      <c r="AC88" s="699"/>
      <c r="AD88" s="697"/>
      <c r="AE88" s="698"/>
      <c r="AF88" s="697"/>
      <c r="AG88" s="698"/>
      <c r="AH88" s="699"/>
      <c r="AI88" s="697"/>
      <c r="AJ88" s="698"/>
      <c r="AK88" s="697"/>
      <c r="AL88" s="698"/>
      <c r="AM88" s="698"/>
      <c r="AN88" s="700"/>
      <c r="AP88" s="646" t="s">
        <v>132</v>
      </c>
      <c r="AQ88" s="85"/>
      <c r="AR88" s="85"/>
      <c r="AS88" s="697"/>
      <c r="AT88" s="697"/>
      <c r="AU88" s="698"/>
      <c r="AV88" s="698"/>
      <c r="AW88" s="699"/>
      <c r="AX88" s="697"/>
      <c r="AY88" s="698"/>
      <c r="AZ88" s="697"/>
      <c r="BA88" s="698"/>
      <c r="BB88" s="699"/>
      <c r="BC88" s="697"/>
      <c r="BD88" s="698"/>
      <c r="BE88" s="697"/>
      <c r="BF88" s="698"/>
      <c r="BG88" s="698"/>
      <c r="BH88" s="700"/>
      <c r="BJ88" s="646" t="s">
        <v>132</v>
      </c>
      <c r="BK88" s="85"/>
      <c r="BL88" s="85"/>
      <c r="BM88" s="697"/>
      <c r="BN88" s="697"/>
      <c r="BO88" s="698"/>
      <c r="BP88" s="698"/>
      <c r="BQ88" s="699"/>
      <c r="BR88" s="697"/>
      <c r="BS88" s="698"/>
      <c r="BT88" s="697"/>
      <c r="BU88" s="698"/>
      <c r="BV88" s="699"/>
      <c r="BW88" s="697"/>
      <c r="BX88" s="698"/>
      <c r="BY88" s="697"/>
      <c r="BZ88" s="698"/>
      <c r="CA88" s="698"/>
      <c r="CB88" s="700"/>
    </row>
    <row r="89" spans="2:80" ht="15" customHeight="1" x14ac:dyDescent="0.2">
      <c r="B89" s="650" t="s">
        <v>133</v>
      </c>
      <c r="C89" s="651"/>
      <c r="D89" s="653" t="s">
        <v>134</v>
      </c>
      <c r="E89" s="684">
        <f>'NUoS (t)'!G116</f>
        <v>0</v>
      </c>
      <c r="F89" s="685">
        <f>'NUoS (t)'!H116</f>
        <v>1.1300000000000001E-2</v>
      </c>
      <c r="G89" s="693"/>
      <c r="H89" s="693"/>
      <c r="I89" s="694"/>
      <c r="J89" s="685">
        <f>'NUoS (t)'!S116</f>
        <v>0.1162</v>
      </c>
      <c r="K89" s="684">
        <f>'NUoS (t)'!T116</f>
        <v>4.07E-2</v>
      </c>
      <c r="L89" s="695"/>
      <c r="M89" s="693"/>
      <c r="N89" s="694"/>
      <c r="O89" s="695"/>
      <c r="P89" s="693"/>
      <c r="Q89" s="695"/>
      <c r="R89" s="693"/>
      <c r="S89" s="693"/>
      <c r="T89" s="696"/>
      <c r="V89" s="650" t="s">
        <v>133</v>
      </c>
      <c r="W89" s="651"/>
      <c r="X89" s="653" t="s">
        <v>134</v>
      </c>
      <c r="Y89" s="684">
        <f>'DUoS (t)'!G116</f>
        <v>0</v>
      </c>
      <c r="Z89" s="685">
        <f>'DUoS (t)'!H116</f>
        <v>1.6000000000000001E-3</v>
      </c>
      <c r="AA89" s="693"/>
      <c r="AB89" s="693"/>
      <c r="AC89" s="694"/>
      <c r="AD89" s="685">
        <f>'DUoS (t)'!S116</f>
        <v>0</v>
      </c>
      <c r="AE89" s="684">
        <f>'DUoS (t)'!T116</f>
        <v>4.07E-2</v>
      </c>
      <c r="AF89" s="695"/>
      <c r="AG89" s="693"/>
      <c r="AH89" s="694"/>
      <c r="AI89" s="695"/>
      <c r="AJ89" s="693"/>
      <c r="AK89" s="695"/>
      <c r="AL89" s="693"/>
      <c r="AM89" s="693"/>
      <c r="AN89" s="696"/>
      <c r="AP89" s="650" t="s">
        <v>133</v>
      </c>
      <c r="AQ89" s="651"/>
      <c r="AR89" s="653" t="s">
        <v>134</v>
      </c>
      <c r="AS89" s="684">
        <f>'TUoS (t)'!G116</f>
        <v>0</v>
      </c>
      <c r="AT89" s="685">
        <f>'TUoS (t)'!H116</f>
        <v>8.8000000000000005E-3</v>
      </c>
      <c r="AU89" s="693"/>
      <c r="AV89" s="693"/>
      <c r="AW89" s="694"/>
      <c r="AX89" s="685">
        <f>'TUoS (t)'!S116</f>
        <v>0.1162</v>
      </c>
      <c r="AY89" s="684">
        <f>'TUoS (t)'!T116</f>
        <v>0</v>
      </c>
      <c r="AZ89" s="695"/>
      <c r="BA89" s="693"/>
      <c r="BB89" s="694"/>
      <c r="BC89" s="695"/>
      <c r="BD89" s="693"/>
      <c r="BE89" s="695"/>
      <c r="BF89" s="693"/>
      <c r="BG89" s="693"/>
      <c r="BH89" s="696"/>
      <c r="BJ89" s="650" t="s">
        <v>133</v>
      </c>
      <c r="BK89" s="651"/>
      <c r="BL89" s="653" t="s">
        <v>134</v>
      </c>
      <c r="BM89" s="684">
        <f>'JSO (t)'!G116</f>
        <v>0</v>
      </c>
      <c r="BN89" s="685">
        <f>'JSO (t)'!H116</f>
        <v>8.9999999999999998E-4</v>
      </c>
      <c r="BO89" s="693"/>
      <c r="BP89" s="693"/>
      <c r="BQ89" s="694"/>
      <c r="BR89" s="685">
        <f>'JSO (t)'!S116</f>
        <v>0</v>
      </c>
      <c r="BS89" s="684">
        <f>'JSO (t)'!T116</f>
        <v>0</v>
      </c>
      <c r="BT89" s="695"/>
      <c r="BU89" s="693"/>
      <c r="BV89" s="694"/>
      <c r="BW89" s="695"/>
      <c r="BX89" s="693"/>
      <c r="BY89" s="695"/>
      <c r="BZ89" s="693"/>
      <c r="CA89" s="693"/>
      <c r="CB89" s="696"/>
    </row>
    <row r="90" spans="2:80" ht="15" customHeight="1" x14ac:dyDescent="0.2">
      <c r="B90" s="650" t="s">
        <v>135</v>
      </c>
      <c r="C90" s="651"/>
      <c r="D90" s="653" t="s">
        <v>136</v>
      </c>
      <c r="E90" s="684">
        <f>'NUoS (t)'!G117</f>
        <v>0</v>
      </c>
      <c r="F90" s="685">
        <f>'NUoS (t)'!H117</f>
        <v>1.1300000000000001E-2</v>
      </c>
      <c r="G90" s="693"/>
      <c r="H90" s="693"/>
      <c r="I90" s="694"/>
      <c r="J90" s="685">
        <f>'NUoS (t)'!S117</f>
        <v>0.1162</v>
      </c>
      <c r="K90" s="684">
        <f>'NUoS (t)'!T117</f>
        <v>4.07E-2</v>
      </c>
      <c r="L90" s="695"/>
      <c r="M90" s="693"/>
      <c r="N90" s="694"/>
      <c r="O90" s="695"/>
      <c r="P90" s="693"/>
      <c r="Q90" s="695"/>
      <c r="R90" s="693"/>
      <c r="S90" s="693"/>
      <c r="T90" s="696"/>
      <c r="V90" s="650" t="s">
        <v>135</v>
      </c>
      <c r="W90" s="651"/>
      <c r="X90" s="653" t="s">
        <v>136</v>
      </c>
      <c r="Y90" s="684">
        <f>'DUoS (t)'!G117</f>
        <v>0</v>
      </c>
      <c r="Z90" s="685">
        <f>'DUoS (t)'!H117</f>
        <v>1.6000000000000001E-3</v>
      </c>
      <c r="AA90" s="693"/>
      <c r="AB90" s="693"/>
      <c r="AC90" s="694"/>
      <c r="AD90" s="685">
        <f>'DUoS (t)'!S117</f>
        <v>0</v>
      </c>
      <c r="AE90" s="684">
        <f>'DUoS (t)'!T117</f>
        <v>4.07E-2</v>
      </c>
      <c r="AF90" s="695"/>
      <c r="AG90" s="693"/>
      <c r="AH90" s="694"/>
      <c r="AI90" s="695"/>
      <c r="AJ90" s="693"/>
      <c r="AK90" s="695"/>
      <c r="AL90" s="693"/>
      <c r="AM90" s="693"/>
      <c r="AN90" s="696"/>
      <c r="AP90" s="650" t="s">
        <v>135</v>
      </c>
      <c r="AQ90" s="651"/>
      <c r="AR90" s="653" t="s">
        <v>136</v>
      </c>
      <c r="AS90" s="684">
        <f>'TUoS (t)'!G117</f>
        <v>0</v>
      </c>
      <c r="AT90" s="685">
        <f>'TUoS (t)'!H117</f>
        <v>8.8000000000000005E-3</v>
      </c>
      <c r="AU90" s="693"/>
      <c r="AV90" s="693"/>
      <c r="AW90" s="694"/>
      <c r="AX90" s="685">
        <f>'TUoS (t)'!S117</f>
        <v>0.1162</v>
      </c>
      <c r="AY90" s="684">
        <f>'TUoS (t)'!T117</f>
        <v>0</v>
      </c>
      <c r="AZ90" s="695"/>
      <c r="BA90" s="693"/>
      <c r="BB90" s="694"/>
      <c r="BC90" s="695"/>
      <c r="BD90" s="693"/>
      <c r="BE90" s="695"/>
      <c r="BF90" s="693"/>
      <c r="BG90" s="693"/>
      <c r="BH90" s="696"/>
      <c r="BJ90" s="650" t="s">
        <v>135</v>
      </c>
      <c r="BK90" s="651"/>
      <c r="BL90" s="653" t="s">
        <v>136</v>
      </c>
      <c r="BM90" s="684">
        <f>'JSO (t)'!G117</f>
        <v>0</v>
      </c>
      <c r="BN90" s="685">
        <f>'JSO (t)'!H117</f>
        <v>8.9999999999999998E-4</v>
      </c>
      <c r="BO90" s="693"/>
      <c r="BP90" s="693"/>
      <c r="BQ90" s="694"/>
      <c r="BR90" s="685">
        <f>'JSO (t)'!S117</f>
        <v>0</v>
      </c>
      <c r="BS90" s="684">
        <f>'JSO (t)'!T117</f>
        <v>0</v>
      </c>
      <c r="BT90" s="695"/>
      <c r="BU90" s="693"/>
      <c r="BV90" s="694"/>
      <c r="BW90" s="695"/>
      <c r="BX90" s="693"/>
      <c r="BY90" s="695"/>
      <c r="BZ90" s="693"/>
      <c r="CA90" s="693"/>
      <c r="CB90" s="696"/>
    </row>
    <row r="91" spans="2:80" ht="15" customHeight="1" x14ac:dyDescent="0.2">
      <c r="B91" s="771" t="s">
        <v>137</v>
      </c>
      <c r="C91" s="772"/>
      <c r="D91" s="783" t="s">
        <v>136</v>
      </c>
      <c r="E91" s="691">
        <f>'NUoS (t)'!G118</f>
        <v>207</v>
      </c>
      <c r="F91" s="773">
        <f>'NUoS (t)'!H118</f>
        <v>1.1300000000000001E-2</v>
      </c>
      <c r="G91" s="698"/>
      <c r="H91" s="698"/>
      <c r="I91" s="699"/>
      <c r="J91" s="773">
        <f>'NUoS (t)'!S118</f>
        <v>0.1162</v>
      </c>
      <c r="K91" s="691">
        <f>'NUoS (t)'!T118</f>
        <v>4.07E-2</v>
      </c>
      <c r="L91" s="697"/>
      <c r="M91" s="698"/>
      <c r="N91" s="699"/>
      <c r="O91" s="697"/>
      <c r="P91" s="698"/>
      <c r="Q91" s="697"/>
      <c r="R91" s="698"/>
      <c r="S91" s="698"/>
      <c r="T91" s="700"/>
      <c r="V91" s="771" t="s">
        <v>137</v>
      </c>
      <c r="W91" s="772"/>
      <c r="X91" s="783" t="s">
        <v>136</v>
      </c>
      <c r="Y91" s="691">
        <f>'DUoS (t)'!G118</f>
        <v>207</v>
      </c>
      <c r="Z91" s="773">
        <f>'DUoS (t)'!H118</f>
        <v>1.6000000000000001E-3</v>
      </c>
      <c r="AA91" s="698"/>
      <c r="AB91" s="698"/>
      <c r="AC91" s="699"/>
      <c r="AD91" s="773">
        <f>'DUoS (t)'!S118</f>
        <v>0</v>
      </c>
      <c r="AE91" s="691">
        <f>'DUoS (t)'!T118</f>
        <v>4.07E-2</v>
      </c>
      <c r="AF91" s="697"/>
      <c r="AG91" s="698"/>
      <c r="AH91" s="699"/>
      <c r="AI91" s="697"/>
      <c r="AJ91" s="698"/>
      <c r="AK91" s="697"/>
      <c r="AL91" s="698"/>
      <c r="AM91" s="698"/>
      <c r="AN91" s="700"/>
      <c r="AP91" s="771" t="s">
        <v>137</v>
      </c>
      <c r="AQ91" s="772"/>
      <c r="AR91" s="783" t="s">
        <v>136</v>
      </c>
      <c r="AS91" s="691">
        <f>'TUoS (t)'!G118</f>
        <v>0</v>
      </c>
      <c r="AT91" s="773">
        <f>'TUoS (t)'!H118</f>
        <v>8.8000000000000005E-3</v>
      </c>
      <c r="AU91" s="698"/>
      <c r="AV91" s="698"/>
      <c r="AW91" s="699"/>
      <c r="AX91" s="773">
        <f>'TUoS (t)'!S118</f>
        <v>0.1162</v>
      </c>
      <c r="AY91" s="691">
        <f>'TUoS (t)'!T118</f>
        <v>0</v>
      </c>
      <c r="AZ91" s="697"/>
      <c r="BA91" s="698"/>
      <c r="BB91" s="699"/>
      <c r="BC91" s="697"/>
      <c r="BD91" s="698"/>
      <c r="BE91" s="697"/>
      <c r="BF91" s="698"/>
      <c r="BG91" s="698"/>
      <c r="BH91" s="700"/>
      <c r="BJ91" s="771" t="s">
        <v>137</v>
      </c>
      <c r="BK91" s="772"/>
      <c r="BL91" s="783" t="s">
        <v>136</v>
      </c>
      <c r="BM91" s="691">
        <f>'JSO (t)'!G118</f>
        <v>0</v>
      </c>
      <c r="BN91" s="773">
        <f>'JSO (t)'!H118</f>
        <v>8.9999999999999998E-4</v>
      </c>
      <c r="BO91" s="698"/>
      <c r="BP91" s="698"/>
      <c r="BQ91" s="699"/>
      <c r="BR91" s="773">
        <f>'JSO (t)'!S118</f>
        <v>0</v>
      </c>
      <c r="BS91" s="691">
        <f>'JSO (t)'!T118</f>
        <v>0</v>
      </c>
      <c r="BT91" s="697"/>
      <c r="BU91" s="698"/>
      <c r="BV91" s="699"/>
      <c r="BW91" s="697"/>
      <c r="BX91" s="698"/>
      <c r="BY91" s="697"/>
      <c r="BZ91" s="698"/>
      <c r="CA91" s="698"/>
      <c r="CB91" s="700"/>
    </row>
    <row r="92" spans="2:80" ht="15" customHeight="1" x14ac:dyDescent="0.2">
      <c r="B92" s="771" t="s">
        <v>138</v>
      </c>
      <c r="C92" s="772"/>
      <c r="D92" s="783" t="s">
        <v>136</v>
      </c>
      <c r="E92" s="691">
        <f>'NUoS (t)'!G119</f>
        <v>457</v>
      </c>
      <c r="F92" s="773">
        <f>'NUoS (t)'!H119</f>
        <v>1.1300000000000001E-2</v>
      </c>
      <c r="G92" s="698"/>
      <c r="H92" s="698"/>
      <c r="I92" s="699"/>
      <c r="J92" s="773">
        <f>'NUoS (t)'!S119</f>
        <v>0.1162</v>
      </c>
      <c r="K92" s="691">
        <f>'NUoS (t)'!T119</f>
        <v>4.07E-2</v>
      </c>
      <c r="L92" s="697"/>
      <c r="M92" s="698"/>
      <c r="N92" s="699"/>
      <c r="O92" s="697"/>
      <c r="P92" s="698"/>
      <c r="Q92" s="697"/>
      <c r="R92" s="698"/>
      <c r="S92" s="698"/>
      <c r="T92" s="700"/>
      <c r="V92" s="771" t="s">
        <v>138</v>
      </c>
      <c r="W92" s="772"/>
      <c r="X92" s="783" t="s">
        <v>136</v>
      </c>
      <c r="Y92" s="691">
        <f>'DUoS (t)'!G119</f>
        <v>457</v>
      </c>
      <c r="Z92" s="773">
        <f>'DUoS (t)'!H119</f>
        <v>1.6000000000000001E-3</v>
      </c>
      <c r="AA92" s="698"/>
      <c r="AB92" s="698"/>
      <c r="AC92" s="699"/>
      <c r="AD92" s="773">
        <f>'DUoS (t)'!S119</f>
        <v>0</v>
      </c>
      <c r="AE92" s="691">
        <f>'DUoS (t)'!T119</f>
        <v>4.07E-2</v>
      </c>
      <c r="AF92" s="697"/>
      <c r="AG92" s="698"/>
      <c r="AH92" s="699"/>
      <c r="AI92" s="697"/>
      <c r="AJ92" s="698"/>
      <c r="AK92" s="697"/>
      <c r="AL92" s="698"/>
      <c r="AM92" s="698"/>
      <c r="AN92" s="700"/>
      <c r="AP92" s="771" t="s">
        <v>138</v>
      </c>
      <c r="AQ92" s="772"/>
      <c r="AR92" s="783" t="s">
        <v>136</v>
      </c>
      <c r="AS92" s="691">
        <f>'TUoS (t)'!G119</f>
        <v>0</v>
      </c>
      <c r="AT92" s="773">
        <f>'TUoS (t)'!H119</f>
        <v>8.8000000000000005E-3</v>
      </c>
      <c r="AU92" s="698"/>
      <c r="AV92" s="698"/>
      <c r="AW92" s="699"/>
      <c r="AX92" s="773">
        <f>'TUoS (t)'!S119</f>
        <v>0.1162</v>
      </c>
      <c r="AY92" s="691">
        <f>'TUoS (t)'!T119</f>
        <v>0</v>
      </c>
      <c r="AZ92" s="697"/>
      <c r="BA92" s="698"/>
      <c r="BB92" s="699"/>
      <c r="BC92" s="697"/>
      <c r="BD92" s="698"/>
      <c r="BE92" s="697"/>
      <c r="BF92" s="698"/>
      <c r="BG92" s="698"/>
      <c r="BH92" s="700"/>
      <c r="BJ92" s="771" t="s">
        <v>138</v>
      </c>
      <c r="BK92" s="772"/>
      <c r="BL92" s="783" t="s">
        <v>136</v>
      </c>
      <c r="BM92" s="691">
        <f>'JSO (t)'!G119</f>
        <v>0</v>
      </c>
      <c r="BN92" s="773">
        <f>'JSO (t)'!H119</f>
        <v>8.9999999999999998E-4</v>
      </c>
      <c r="BO92" s="698"/>
      <c r="BP92" s="698"/>
      <c r="BQ92" s="699"/>
      <c r="BR92" s="773">
        <f>'JSO (t)'!S119</f>
        <v>0</v>
      </c>
      <c r="BS92" s="691">
        <f>'JSO (t)'!T119</f>
        <v>0</v>
      </c>
      <c r="BT92" s="697"/>
      <c r="BU92" s="698"/>
      <c r="BV92" s="699"/>
      <c r="BW92" s="697"/>
      <c r="BX92" s="698"/>
      <c r="BY92" s="697"/>
      <c r="BZ92" s="698"/>
      <c r="CA92" s="698"/>
      <c r="CB92" s="700"/>
    </row>
    <row r="93" spans="2:80" ht="15" customHeight="1" x14ac:dyDescent="0.2">
      <c r="B93" s="646" t="s">
        <v>139</v>
      </c>
      <c r="C93" s="85"/>
      <c r="D93" s="85"/>
      <c r="E93" s="697"/>
      <c r="F93" s="697"/>
      <c r="G93" s="698"/>
      <c r="H93" s="698"/>
      <c r="I93" s="699"/>
      <c r="J93" s="697"/>
      <c r="K93" s="698"/>
      <c r="L93" s="697"/>
      <c r="M93" s="698"/>
      <c r="N93" s="699"/>
      <c r="O93" s="697"/>
      <c r="P93" s="698"/>
      <c r="Q93" s="697"/>
      <c r="R93" s="698"/>
      <c r="S93" s="698"/>
      <c r="T93" s="700"/>
      <c r="V93" s="646" t="s">
        <v>139</v>
      </c>
      <c r="W93" s="85"/>
      <c r="X93" s="85"/>
      <c r="Y93" s="697"/>
      <c r="Z93" s="697"/>
      <c r="AA93" s="698"/>
      <c r="AB93" s="698"/>
      <c r="AC93" s="699"/>
      <c r="AD93" s="697"/>
      <c r="AE93" s="698"/>
      <c r="AF93" s="697"/>
      <c r="AG93" s="698"/>
      <c r="AH93" s="699"/>
      <c r="AI93" s="697"/>
      <c r="AJ93" s="698"/>
      <c r="AK93" s="697"/>
      <c r="AL93" s="698"/>
      <c r="AM93" s="698"/>
      <c r="AN93" s="700"/>
      <c r="AP93" s="646" t="s">
        <v>139</v>
      </c>
      <c r="AQ93" s="85"/>
      <c r="AR93" s="85"/>
      <c r="AS93" s="697"/>
      <c r="AT93" s="697"/>
      <c r="AU93" s="698"/>
      <c r="AV93" s="698"/>
      <c r="AW93" s="699"/>
      <c r="AX93" s="697"/>
      <c r="AY93" s="698"/>
      <c r="AZ93" s="697"/>
      <c r="BA93" s="698"/>
      <c r="BB93" s="699"/>
      <c r="BC93" s="697"/>
      <c r="BD93" s="698"/>
      <c r="BE93" s="697"/>
      <c r="BF93" s="698"/>
      <c r="BG93" s="698"/>
      <c r="BH93" s="700"/>
      <c r="BJ93" s="646" t="s">
        <v>139</v>
      </c>
      <c r="BK93" s="85"/>
      <c r="BL93" s="85"/>
      <c r="BM93" s="697"/>
      <c r="BN93" s="697"/>
      <c r="BO93" s="698"/>
      <c r="BP93" s="698"/>
      <c r="BQ93" s="699"/>
      <c r="BR93" s="697"/>
      <c r="BS93" s="698"/>
      <c r="BT93" s="697"/>
      <c r="BU93" s="698"/>
      <c r="BV93" s="699"/>
      <c r="BW93" s="697"/>
      <c r="BX93" s="698"/>
      <c r="BY93" s="697"/>
      <c r="BZ93" s="698"/>
      <c r="CA93" s="698"/>
      <c r="CB93" s="700"/>
    </row>
    <row r="94" spans="2:80" ht="15" customHeight="1" x14ac:dyDescent="0.2">
      <c r="B94" s="650" t="s">
        <v>140</v>
      </c>
      <c r="C94" s="651"/>
      <c r="D94" s="653" t="s">
        <v>141</v>
      </c>
      <c r="E94" s="684">
        <f>'NUoS (t)'!G121</f>
        <v>737.73490000000004</v>
      </c>
      <c r="F94" s="685">
        <f>'NUoS (t)'!H121</f>
        <v>2.5000000000000001E-3</v>
      </c>
      <c r="G94" s="693"/>
      <c r="H94" s="693"/>
      <c r="I94" s="694"/>
      <c r="J94" s="685">
        <f>'NUoS (t)'!S121</f>
        <v>0.21640000000000001</v>
      </c>
      <c r="K94" s="684">
        <f>'NUoS (t)'!T121</f>
        <v>4.07E-2</v>
      </c>
      <c r="L94" s="695"/>
      <c r="M94" s="693"/>
      <c r="N94" s="694"/>
      <c r="O94" s="695"/>
      <c r="P94" s="693"/>
      <c r="Q94" s="695"/>
      <c r="R94" s="693"/>
      <c r="S94" s="693"/>
      <c r="T94" s="696"/>
      <c r="V94" s="650" t="s">
        <v>140</v>
      </c>
      <c r="W94" s="651"/>
      <c r="X94" s="653" t="s">
        <v>141</v>
      </c>
      <c r="Y94" s="684">
        <f>'DUoS (t)'!G121</f>
        <v>0</v>
      </c>
      <c r="Z94" s="685">
        <f>'DUoS (t)'!H121</f>
        <v>1.6000000000000001E-3</v>
      </c>
      <c r="AA94" s="693"/>
      <c r="AB94" s="693"/>
      <c r="AC94" s="694"/>
      <c r="AD94" s="685">
        <f>'DUoS (t)'!S121</f>
        <v>0</v>
      </c>
      <c r="AE94" s="684">
        <f>'DUoS (t)'!T121</f>
        <v>4.07E-2</v>
      </c>
      <c r="AF94" s="695"/>
      <c r="AG94" s="693"/>
      <c r="AH94" s="694"/>
      <c r="AI94" s="695"/>
      <c r="AJ94" s="693"/>
      <c r="AK94" s="695"/>
      <c r="AL94" s="693"/>
      <c r="AM94" s="693"/>
      <c r="AN94" s="696"/>
      <c r="AP94" s="650" t="s">
        <v>140</v>
      </c>
      <c r="AQ94" s="651"/>
      <c r="AR94" s="653" t="s">
        <v>141</v>
      </c>
      <c r="AS94" s="684">
        <f>'TUoS (t)'!G121</f>
        <v>737.73490000000004</v>
      </c>
      <c r="AT94" s="685">
        <f>'TUoS (t)'!H121</f>
        <v>0</v>
      </c>
      <c r="AU94" s="693"/>
      <c r="AV94" s="693"/>
      <c r="AW94" s="694"/>
      <c r="AX94" s="685">
        <f>'TUoS (t)'!S121</f>
        <v>0.21640000000000001</v>
      </c>
      <c r="AY94" s="684">
        <f>'TUoS (t)'!T121</f>
        <v>0</v>
      </c>
      <c r="AZ94" s="695"/>
      <c r="BA94" s="693"/>
      <c r="BB94" s="694"/>
      <c r="BC94" s="695"/>
      <c r="BD94" s="693"/>
      <c r="BE94" s="695"/>
      <c r="BF94" s="693"/>
      <c r="BG94" s="693"/>
      <c r="BH94" s="696"/>
      <c r="BJ94" s="650" t="s">
        <v>140</v>
      </c>
      <c r="BK94" s="651"/>
      <c r="BL94" s="653" t="s">
        <v>141</v>
      </c>
      <c r="BM94" s="684">
        <f>'JSO (t)'!G121</f>
        <v>0</v>
      </c>
      <c r="BN94" s="685">
        <f>'JSO (t)'!H121</f>
        <v>8.9999999999999998E-4</v>
      </c>
      <c r="BO94" s="693"/>
      <c r="BP94" s="693"/>
      <c r="BQ94" s="694"/>
      <c r="BR94" s="685">
        <f>'JSO (t)'!S121</f>
        <v>0</v>
      </c>
      <c r="BS94" s="684">
        <f>'JSO (t)'!T121</f>
        <v>0</v>
      </c>
      <c r="BT94" s="695"/>
      <c r="BU94" s="693"/>
      <c r="BV94" s="694"/>
      <c r="BW94" s="695"/>
      <c r="BX94" s="693"/>
      <c r="BY94" s="695"/>
      <c r="BZ94" s="693"/>
      <c r="CA94" s="693"/>
      <c r="CB94" s="696"/>
    </row>
    <row r="95" spans="2:80" ht="15" customHeight="1" x14ac:dyDescent="0.2">
      <c r="B95" s="650" t="s">
        <v>142</v>
      </c>
      <c r="C95" s="651"/>
      <c r="D95" s="653" t="s">
        <v>141</v>
      </c>
      <c r="E95" s="684">
        <f>'NUoS (t)'!G122</f>
        <v>8326.2000000000007</v>
      </c>
      <c r="F95" s="685">
        <f>'NUoS (t)'!H122</f>
        <v>2.5000000000000001E-3</v>
      </c>
      <c r="G95" s="693"/>
      <c r="H95" s="693"/>
      <c r="I95" s="694"/>
      <c r="J95" s="685">
        <f>'NUoS (t)'!S122</f>
        <v>0</v>
      </c>
      <c r="K95" s="684">
        <f>'NUoS (t)'!T122</f>
        <v>4.07E-2</v>
      </c>
      <c r="L95" s="695"/>
      <c r="M95" s="693"/>
      <c r="N95" s="694"/>
      <c r="O95" s="695"/>
      <c r="P95" s="693"/>
      <c r="Q95" s="695"/>
      <c r="R95" s="693"/>
      <c r="S95" s="693"/>
      <c r="T95" s="696"/>
      <c r="V95" s="650" t="s">
        <v>142</v>
      </c>
      <c r="W95" s="651"/>
      <c r="X95" s="653" t="s">
        <v>141</v>
      </c>
      <c r="Y95" s="684">
        <f>'DUoS (t)'!G122</f>
        <v>0</v>
      </c>
      <c r="Z95" s="685">
        <f>'DUoS (t)'!H122</f>
        <v>1.6000000000000001E-3</v>
      </c>
      <c r="AA95" s="693"/>
      <c r="AB95" s="693"/>
      <c r="AC95" s="694"/>
      <c r="AD95" s="685">
        <f>'DUoS (t)'!S122</f>
        <v>0</v>
      </c>
      <c r="AE95" s="684">
        <f>'DUoS (t)'!T122</f>
        <v>4.07E-2</v>
      </c>
      <c r="AF95" s="695"/>
      <c r="AG95" s="693"/>
      <c r="AH95" s="694"/>
      <c r="AI95" s="695"/>
      <c r="AJ95" s="693"/>
      <c r="AK95" s="695"/>
      <c r="AL95" s="693"/>
      <c r="AM95" s="693"/>
      <c r="AN95" s="696"/>
      <c r="AP95" s="650" t="s">
        <v>142</v>
      </c>
      <c r="AQ95" s="651"/>
      <c r="AR95" s="653" t="s">
        <v>141</v>
      </c>
      <c r="AS95" s="684">
        <f>'TUoS (t)'!G122</f>
        <v>8326.2000000000007</v>
      </c>
      <c r="AT95" s="685">
        <f>'TUoS (t)'!H122</f>
        <v>0</v>
      </c>
      <c r="AU95" s="693"/>
      <c r="AV95" s="693"/>
      <c r="AW95" s="694"/>
      <c r="AX95" s="685">
        <f>'TUoS (t)'!S122</f>
        <v>0</v>
      </c>
      <c r="AY95" s="684">
        <f>'TUoS (t)'!T122</f>
        <v>0</v>
      </c>
      <c r="AZ95" s="695"/>
      <c r="BA95" s="693"/>
      <c r="BB95" s="694"/>
      <c r="BC95" s="695"/>
      <c r="BD95" s="693"/>
      <c r="BE95" s="695"/>
      <c r="BF95" s="693"/>
      <c r="BG95" s="693"/>
      <c r="BH95" s="696"/>
      <c r="BJ95" s="650" t="s">
        <v>142</v>
      </c>
      <c r="BK95" s="651"/>
      <c r="BL95" s="653" t="s">
        <v>141</v>
      </c>
      <c r="BM95" s="684">
        <f>'JSO (t)'!G122</f>
        <v>0</v>
      </c>
      <c r="BN95" s="685">
        <f>'JSO (t)'!H122</f>
        <v>8.9999999999999998E-4</v>
      </c>
      <c r="BO95" s="693"/>
      <c r="BP95" s="693"/>
      <c r="BQ95" s="694"/>
      <c r="BR95" s="685">
        <f>'JSO (t)'!S122</f>
        <v>0</v>
      </c>
      <c r="BS95" s="684">
        <f>'JSO (t)'!T122</f>
        <v>0</v>
      </c>
      <c r="BT95" s="695"/>
      <c r="BU95" s="693"/>
      <c r="BV95" s="694"/>
      <c r="BW95" s="695"/>
      <c r="BX95" s="693"/>
      <c r="BY95" s="695"/>
      <c r="BZ95" s="693"/>
      <c r="CA95" s="693"/>
      <c r="CB95" s="696"/>
    </row>
    <row r="96" spans="2:80" ht="15" customHeight="1" x14ac:dyDescent="0.2">
      <c r="B96" s="771" t="s">
        <v>143</v>
      </c>
      <c r="C96" s="772"/>
      <c r="D96" s="783" t="s">
        <v>141</v>
      </c>
      <c r="E96" s="691">
        <f>'NUoS (t)'!G123</f>
        <v>777.5299</v>
      </c>
      <c r="F96" s="773">
        <f>'NUoS (t)'!H123</f>
        <v>2.3100000000000002E-2</v>
      </c>
      <c r="G96" s="698"/>
      <c r="H96" s="698"/>
      <c r="I96" s="699"/>
      <c r="J96" s="773">
        <f>'NUoS (t)'!S123</f>
        <v>3.8699999999999998E-2</v>
      </c>
      <c r="K96" s="691">
        <f>'NUoS (t)'!T123</f>
        <v>4.07E-2</v>
      </c>
      <c r="L96" s="697"/>
      <c r="M96" s="698"/>
      <c r="N96" s="699"/>
      <c r="O96" s="697"/>
      <c r="P96" s="698"/>
      <c r="Q96" s="697"/>
      <c r="R96" s="698"/>
      <c r="S96" s="698"/>
      <c r="T96" s="700"/>
      <c r="V96" s="771" t="s">
        <v>143</v>
      </c>
      <c r="W96" s="772"/>
      <c r="X96" s="783" t="s">
        <v>141</v>
      </c>
      <c r="Y96" s="691">
        <f>'DUoS (t)'!G123</f>
        <v>0</v>
      </c>
      <c r="Z96" s="773">
        <f>'DUoS (t)'!H123</f>
        <v>1.6000000000000001E-3</v>
      </c>
      <c r="AA96" s="698"/>
      <c r="AB96" s="698"/>
      <c r="AC96" s="699"/>
      <c r="AD96" s="773">
        <f>'DUoS (t)'!S123</f>
        <v>0</v>
      </c>
      <c r="AE96" s="691">
        <f>'DUoS (t)'!T123</f>
        <v>4.07E-2</v>
      </c>
      <c r="AF96" s="697"/>
      <c r="AG96" s="698"/>
      <c r="AH96" s="699"/>
      <c r="AI96" s="697"/>
      <c r="AJ96" s="698"/>
      <c r="AK96" s="697"/>
      <c r="AL96" s="698"/>
      <c r="AM96" s="698"/>
      <c r="AN96" s="700"/>
      <c r="AP96" s="771" t="s">
        <v>143</v>
      </c>
      <c r="AQ96" s="772"/>
      <c r="AR96" s="783" t="s">
        <v>141</v>
      </c>
      <c r="AS96" s="691">
        <f>'TUoS (t)'!G123</f>
        <v>777.5299</v>
      </c>
      <c r="AT96" s="773">
        <f>'TUoS (t)'!H123</f>
        <v>2.06E-2</v>
      </c>
      <c r="AU96" s="698"/>
      <c r="AV96" s="698"/>
      <c r="AW96" s="699"/>
      <c r="AX96" s="773">
        <f>'TUoS (t)'!S123</f>
        <v>3.8699999999999998E-2</v>
      </c>
      <c r="AY96" s="691">
        <f>'TUoS (t)'!T123</f>
        <v>0</v>
      </c>
      <c r="AZ96" s="697"/>
      <c r="BA96" s="698"/>
      <c r="BB96" s="699"/>
      <c r="BC96" s="697"/>
      <c r="BD96" s="698"/>
      <c r="BE96" s="697"/>
      <c r="BF96" s="698"/>
      <c r="BG96" s="698"/>
      <c r="BH96" s="700"/>
      <c r="BJ96" s="771" t="s">
        <v>143</v>
      </c>
      <c r="BK96" s="772"/>
      <c r="BL96" s="783" t="s">
        <v>141</v>
      </c>
      <c r="BM96" s="691">
        <f>'JSO (t)'!G123</f>
        <v>0</v>
      </c>
      <c r="BN96" s="773">
        <f>'JSO (t)'!H123</f>
        <v>8.9999999999999998E-4</v>
      </c>
      <c r="BO96" s="698"/>
      <c r="BP96" s="698"/>
      <c r="BQ96" s="699"/>
      <c r="BR96" s="773">
        <f>'JSO (t)'!S123</f>
        <v>0</v>
      </c>
      <c r="BS96" s="691">
        <f>'JSO (t)'!T123</f>
        <v>0</v>
      </c>
      <c r="BT96" s="697"/>
      <c r="BU96" s="698"/>
      <c r="BV96" s="699"/>
      <c r="BW96" s="697"/>
      <c r="BX96" s="698"/>
      <c r="BY96" s="697"/>
      <c r="BZ96" s="698"/>
      <c r="CA96" s="698"/>
      <c r="CB96" s="700"/>
    </row>
    <row r="97" spans="2:80" ht="15" customHeight="1" x14ac:dyDescent="0.2">
      <c r="B97" s="771" t="s">
        <v>144</v>
      </c>
      <c r="C97" s="772"/>
      <c r="D97" s="783" t="s">
        <v>141</v>
      </c>
      <c r="E97" s="691">
        <f>'NUoS (t)'!G124</f>
        <v>0</v>
      </c>
      <c r="F97" s="773">
        <f>'NUoS (t)'!H124</f>
        <v>1.1300000000000001E-2</v>
      </c>
      <c r="G97" s="698"/>
      <c r="H97" s="698"/>
      <c r="I97" s="699"/>
      <c r="J97" s="773">
        <f>'NUoS (t)'!S124</f>
        <v>0.1162</v>
      </c>
      <c r="K97" s="691">
        <f>'NUoS (t)'!T124</f>
        <v>4.07E-2</v>
      </c>
      <c r="L97" s="697"/>
      <c r="M97" s="698"/>
      <c r="N97" s="699"/>
      <c r="O97" s="697"/>
      <c r="P97" s="698"/>
      <c r="Q97" s="697"/>
      <c r="R97" s="698"/>
      <c r="S97" s="698"/>
      <c r="T97" s="700"/>
      <c r="V97" s="771" t="s">
        <v>144</v>
      </c>
      <c r="W97" s="772"/>
      <c r="X97" s="783" t="s">
        <v>141</v>
      </c>
      <c r="Y97" s="691">
        <f>'DUoS (t)'!G124</f>
        <v>0</v>
      </c>
      <c r="Z97" s="773">
        <f>'DUoS (t)'!H124</f>
        <v>1.6000000000000001E-3</v>
      </c>
      <c r="AA97" s="698"/>
      <c r="AB97" s="698"/>
      <c r="AC97" s="699"/>
      <c r="AD97" s="773">
        <f>'DUoS (t)'!S124</f>
        <v>0</v>
      </c>
      <c r="AE97" s="691">
        <f>'DUoS (t)'!T124</f>
        <v>4.07E-2</v>
      </c>
      <c r="AF97" s="697"/>
      <c r="AG97" s="698"/>
      <c r="AH97" s="699"/>
      <c r="AI97" s="697"/>
      <c r="AJ97" s="698"/>
      <c r="AK97" s="697"/>
      <c r="AL97" s="698"/>
      <c r="AM97" s="698"/>
      <c r="AN97" s="700"/>
      <c r="AP97" s="771" t="s">
        <v>144</v>
      </c>
      <c r="AQ97" s="772"/>
      <c r="AR97" s="783" t="s">
        <v>141</v>
      </c>
      <c r="AS97" s="691">
        <f>'TUoS (t)'!G124</f>
        <v>0</v>
      </c>
      <c r="AT97" s="773">
        <f>'TUoS (t)'!H124</f>
        <v>8.8000000000000005E-3</v>
      </c>
      <c r="AU97" s="698"/>
      <c r="AV97" s="698"/>
      <c r="AW97" s="699"/>
      <c r="AX97" s="773">
        <f>'TUoS (t)'!S124</f>
        <v>0.1162</v>
      </c>
      <c r="AY97" s="691">
        <f>'TUoS (t)'!T124</f>
        <v>0</v>
      </c>
      <c r="AZ97" s="697"/>
      <c r="BA97" s="698"/>
      <c r="BB97" s="699"/>
      <c r="BC97" s="697"/>
      <c r="BD97" s="698"/>
      <c r="BE97" s="697"/>
      <c r="BF97" s="698"/>
      <c r="BG97" s="698"/>
      <c r="BH97" s="700"/>
      <c r="BJ97" s="771" t="s">
        <v>144</v>
      </c>
      <c r="BK97" s="772"/>
      <c r="BL97" s="783" t="s">
        <v>141</v>
      </c>
      <c r="BM97" s="691">
        <f>'JSO (t)'!G124</f>
        <v>0</v>
      </c>
      <c r="BN97" s="773">
        <f>'JSO (t)'!H124</f>
        <v>8.9999999999999998E-4</v>
      </c>
      <c r="BO97" s="698"/>
      <c r="BP97" s="698"/>
      <c r="BQ97" s="699"/>
      <c r="BR97" s="773">
        <f>'JSO (t)'!S124</f>
        <v>0</v>
      </c>
      <c r="BS97" s="691">
        <f>'JSO (t)'!T124</f>
        <v>0</v>
      </c>
      <c r="BT97" s="697"/>
      <c r="BU97" s="698"/>
      <c r="BV97" s="699"/>
      <c r="BW97" s="697"/>
      <c r="BX97" s="698"/>
      <c r="BY97" s="697"/>
      <c r="BZ97" s="698"/>
      <c r="CA97" s="698"/>
      <c r="CB97" s="700"/>
    </row>
    <row r="98" spans="2:80" ht="15" customHeight="1" x14ac:dyDescent="0.2">
      <c r="B98" s="650" t="s">
        <v>145</v>
      </c>
      <c r="C98" s="651"/>
      <c r="D98" s="653" t="s">
        <v>141</v>
      </c>
      <c r="E98" s="684">
        <f>'NUoS (t)'!G125</f>
        <v>2769.9</v>
      </c>
      <c r="F98" s="685">
        <f>'NUoS (t)'!H125</f>
        <v>2.5000000000000001E-3</v>
      </c>
      <c r="G98" s="693"/>
      <c r="H98" s="693"/>
      <c r="I98" s="694"/>
      <c r="J98" s="685">
        <f>'NUoS (t)'!S125</f>
        <v>0</v>
      </c>
      <c r="K98" s="684">
        <f>'NUoS (t)'!T125</f>
        <v>4.07E-2</v>
      </c>
      <c r="L98" s="695"/>
      <c r="M98" s="693"/>
      <c r="N98" s="694"/>
      <c r="O98" s="695"/>
      <c r="P98" s="693"/>
      <c r="Q98" s="695"/>
      <c r="R98" s="693"/>
      <c r="S98" s="693"/>
      <c r="T98" s="696"/>
      <c r="V98" s="650" t="s">
        <v>145</v>
      </c>
      <c r="W98" s="651"/>
      <c r="X98" s="653" t="s">
        <v>141</v>
      </c>
      <c r="Y98" s="684">
        <f>'DUoS (t)'!G125</f>
        <v>0</v>
      </c>
      <c r="Z98" s="685">
        <f>'DUoS (t)'!H125</f>
        <v>1.6000000000000001E-3</v>
      </c>
      <c r="AA98" s="693"/>
      <c r="AB98" s="693"/>
      <c r="AC98" s="694"/>
      <c r="AD98" s="685">
        <f>'DUoS (t)'!S125</f>
        <v>0</v>
      </c>
      <c r="AE98" s="684">
        <f>'DUoS (t)'!T125</f>
        <v>4.07E-2</v>
      </c>
      <c r="AF98" s="695"/>
      <c r="AG98" s="693"/>
      <c r="AH98" s="694"/>
      <c r="AI98" s="695"/>
      <c r="AJ98" s="693"/>
      <c r="AK98" s="695"/>
      <c r="AL98" s="693"/>
      <c r="AM98" s="693"/>
      <c r="AN98" s="696"/>
      <c r="AP98" s="650" t="s">
        <v>145</v>
      </c>
      <c r="AQ98" s="651"/>
      <c r="AR98" s="653" t="s">
        <v>141</v>
      </c>
      <c r="AS98" s="684">
        <f>'TUoS (t)'!G125</f>
        <v>2769.9</v>
      </c>
      <c r="AT98" s="685">
        <f>'TUoS (t)'!H125</f>
        <v>0</v>
      </c>
      <c r="AU98" s="693"/>
      <c r="AV98" s="693"/>
      <c r="AW98" s="694"/>
      <c r="AX98" s="685">
        <f>'TUoS (t)'!S125</f>
        <v>0</v>
      </c>
      <c r="AY98" s="684">
        <f>'TUoS (t)'!T125</f>
        <v>0</v>
      </c>
      <c r="AZ98" s="695"/>
      <c r="BA98" s="693"/>
      <c r="BB98" s="694"/>
      <c r="BC98" s="695"/>
      <c r="BD98" s="693"/>
      <c r="BE98" s="695"/>
      <c r="BF98" s="693"/>
      <c r="BG98" s="693"/>
      <c r="BH98" s="696"/>
      <c r="BJ98" s="650" t="s">
        <v>145</v>
      </c>
      <c r="BK98" s="651"/>
      <c r="BL98" s="653" t="s">
        <v>141</v>
      </c>
      <c r="BM98" s="684">
        <f>'JSO (t)'!G125</f>
        <v>0</v>
      </c>
      <c r="BN98" s="685">
        <f>'JSO (t)'!H125</f>
        <v>8.9999999999999998E-4</v>
      </c>
      <c r="BO98" s="693"/>
      <c r="BP98" s="693"/>
      <c r="BQ98" s="694"/>
      <c r="BR98" s="685">
        <f>'JSO (t)'!S125</f>
        <v>0</v>
      </c>
      <c r="BS98" s="684">
        <f>'JSO (t)'!T125</f>
        <v>0</v>
      </c>
      <c r="BT98" s="695"/>
      <c r="BU98" s="693"/>
      <c r="BV98" s="694"/>
      <c r="BW98" s="695"/>
      <c r="BX98" s="693"/>
      <c r="BY98" s="695"/>
      <c r="BZ98" s="693"/>
      <c r="CA98" s="693"/>
      <c r="CB98" s="696"/>
    </row>
    <row r="99" spans="2:80" ht="15" customHeight="1" x14ac:dyDescent="0.2">
      <c r="B99" s="650" t="s">
        <v>146</v>
      </c>
      <c r="C99" s="651"/>
      <c r="D99" s="653" t="s">
        <v>141</v>
      </c>
      <c r="E99" s="684">
        <f>'NUoS (t)'!G126</f>
        <v>447.27269999999999</v>
      </c>
      <c r="F99" s="685">
        <f>'NUoS (t)'!H126</f>
        <v>2.5000000000000001E-3</v>
      </c>
      <c r="G99" s="693"/>
      <c r="H99" s="693"/>
      <c r="I99" s="694"/>
      <c r="J99" s="685">
        <f>'NUoS (t)'!S126</f>
        <v>0.26229999999999998</v>
      </c>
      <c r="K99" s="684">
        <f>'NUoS (t)'!T126</f>
        <v>4.07E-2</v>
      </c>
      <c r="L99" s="695"/>
      <c r="M99" s="693"/>
      <c r="N99" s="694"/>
      <c r="O99" s="695"/>
      <c r="P99" s="693"/>
      <c r="Q99" s="695"/>
      <c r="R99" s="693"/>
      <c r="S99" s="693"/>
      <c r="T99" s="696"/>
      <c r="V99" s="650" t="s">
        <v>146</v>
      </c>
      <c r="W99" s="651"/>
      <c r="X99" s="653" t="s">
        <v>141</v>
      </c>
      <c r="Y99" s="684">
        <f>'DUoS (t)'!G126</f>
        <v>0</v>
      </c>
      <c r="Z99" s="685">
        <f>'DUoS (t)'!H126</f>
        <v>1.6000000000000001E-3</v>
      </c>
      <c r="AA99" s="693"/>
      <c r="AB99" s="693"/>
      <c r="AC99" s="694"/>
      <c r="AD99" s="685">
        <f>'DUoS (t)'!S126</f>
        <v>0</v>
      </c>
      <c r="AE99" s="684">
        <f>'DUoS (t)'!T126</f>
        <v>4.07E-2</v>
      </c>
      <c r="AF99" s="695"/>
      <c r="AG99" s="693"/>
      <c r="AH99" s="694"/>
      <c r="AI99" s="695"/>
      <c r="AJ99" s="693"/>
      <c r="AK99" s="695"/>
      <c r="AL99" s="693"/>
      <c r="AM99" s="693"/>
      <c r="AN99" s="696"/>
      <c r="AP99" s="650" t="s">
        <v>146</v>
      </c>
      <c r="AQ99" s="651"/>
      <c r="AR99" s="653" t="s">
        <v>141</v>
      </c>
      <c r="AS99" s="684">
        <f>'TUoS (t)'!G126</f>
        <v>447.27269999999999</v>
      </c>
      <c r="AT99" s="685">
        <f>'TUoS (t)'!H126</f>
        <v>0</v>
      </c>
      <c r="AU99" s="693"/>
      <c r="AV99" s="693"/>
      <c r="AW99" s="694"/>
      <c r="AX99" s="685">
        <f>'TUoS (t)'!S126</f>
        <v>0.26229999999999998</v>
      </c>
      <c r="AY99" s="684">
        <f>'TUoS (t)'!T126</f>
        <v>0</v>
      </c>
      <c r="AZ99" s="695"/>
      <c r="BA99" s="693"/>
      <c r="BB99" s="694"/>
      <c r="BC99" s="695"/>
      <c r="BD99" s="693"/>
      <c r="BE99" s="695"/>
      <c r="BF99" s="693"/>
      <c r="BG99" s="693"/>
      <c r="BH99" s="696"/>
      <c r="BJ99" s="650" t="s">
        <v>146</v>
      </c>
      <c r="BK99" s="651"/>
      <c r="BL99" s="653" t="s">
        <v>141</v>
      </c>
      <c r="BM99" s="684">
        <f>'JSO (t)'!G126</f>
        <v>0</v>
      </c>
      <c r="BN99" s="685">
        <f>'JSO (t)'!H126</f>
        <v>8.9999999999999998E-4</v>
      </c>
      <c r="BO99" s="693"/>
      <c r="BP99" s="693"/>
      <c r="BQ99" s="694"/>
      <c r="BR99" s="685">
        <f>'JSO (t)'!S126</f>
        <v>0</v>
      </c>
      <c r="BS99" s="684">
        <f>'JSO (t)'!T126</f>
        <v>0</v>
      </c>
      <c r="BT99" s="695"/>
      <c r="BU99" s="693"/>
      <c r="BV99" s="694"/>
      <c r="BW99" s="695"/>
      <c r="BX99" s="693"/>
      <c r="BY99" s="695"/>
      <c r="BZ99" s="693"/>
      <c r="CA99" s="693"/>
      <c r="CB99" s="696"/>
    </row>
    <row r="100" spans="2:80" ht="15" customHeight="1" x14ac:dyDescent="0.2">
      <c r="B100" s="771" t="s">
        <v>147</v>
      </c>
      <c r="C100" s="772"/>
      <c r="D100" s="783" t="s">
        <v>141</v>
      </c>
      <c r="E100" s="691">
        <f>'NUoS (t)'!G127</f>
        <v>3570.9</v>
      </c>
      <c r="F100" s="773">
        <f>'NUoS (t)'!H127</f>
        <v>2.5000000000000001E-3</v>
      </c>
      <c r="G100" s="698"/>
      <c r="H100" s="698"/>
      <c r="I100" s="699"/>
      <c r="J100" s="773">
        <f>'NUoS (t)'!S127</f>
        <v>0</v>
      </c>
      <c r="K100" s="691">
        <f>'NUoS (t)'!T127</f>
        <v>4.07E-2</v>
      </c>
      <c r="L100" s="697"/>
      <c r="M100" s="698"/>
      <c r="N100" s="699"/>
      <c r="O100" s="697"/>
      <c r="P100" s="698"/>
      <c r="Q100" s="697"/>
      <c r="R100" s="698"/>
      <c r="S100" s="698"/>
      <c r="T100" s="700"/>
      <c r="V100" s="771" t="s">
        <v>147</v>
      </c>
      <c r="W100" s="772"/>
      <c r="X100" s="783" t="s">
        <v>141</v>
      </c>
      <c r="Y100" s="691">
        <f>'DUoS (t)'!G127</f>
        <v>0</v>
      </c>
      <c r="Z100" s="773">
        <f>'DUoS (t)'!H127</f>
        <v>1.6000000000000001E-3</v>
      </c>
      <c r="AA100" s="698"/>
      <c r="AB100" s="698"/>
      <c r="AC100" s="699"/>
      <c r="AD100" s="773">
        <f>'DUoS (t)'!S127</f>
        <v>0</v>
      </c>
      <c r="AE100" s="691">
        <f>'DUoS (t)'!T127</f>
        <v>4.07E-2</v>
      </c>
      <c r="AF100" s="697"/>
      <c r="AG100" s="698"/>
      <c r="AH100" s="699"/>
      <c r="AI100" s="697"/>
      <c r="AJ100" s="698"/>
      <c r="AK100" s="697"/>
      <c r="AL100" s="698"/>
      <c r="AM100" s="698"/>
      <c r="AN100" s="700"/>
      <c r="AP100" s="771" t="s">
        <v>147</v>
      </c>
      <c r="AQ100" s="772"/>
      <c r="AR100" s="783" t="s">
        <v>141</v>
      </c>
      <c r="AS100" s="691">
        <f>'TUoS (t)'!G127</f>
        <v>3570.9</v>
      </c>
      <c r="AT100" s="773">
        <f>'TUoS (t)'!H127</f>
        <v>0</v>
      </c>
      <c r="AU100" s="698"/>
      <c r="AV100" s="698"/>
      <c r="AW100" s="699"/>
      <c r="AX100" s="773">
        <f>'TUoS (t)'!S127</f>
        <v>0</v>
      </c>
      <c r="AY100" s="691">
        <f>'TUoS (t)'!T127</f>
        <v>0</v>
      </c>
      <c r="AZ100" s="697"/>
      <c r="BA100" s="698"/>
      <c r="BB100" s="699"/>
      <c r="BC100" s="697"/>
      <c r="BD100" s="698"/>
      <c r="BE100" s="697"/>
      <c r="BF100" s="698"/>
      <c r="BG100" s="698"/>
      <c r="BH100" s="700"/>
      <c r="BJ100" s="771" t="s">
        <v>147</v>
      </c>
      <c r="BK100" s="772"/>
      <c r="BL100" s="783" t="s">
        <v>141</v>
      </c>
      <c r="BM100" s="691">
        <f>'JSO (t)'!G127</f>
        <v>0</v>
      </c>
      <c r="BN100" s="773">
        <f>'JSO (t)'!H127</f>
        <v>8.9999999999999998E-4</v>
      </c>
      <c r="BO100" s="698"/>
      <c r="BP100" s="698"/>
      <c r="BQ100" s="699"/>
      <c r="BR100" s="773">
        <f>'JSO (t)'!S127</f>
        <v>0</v>
      </c>
      <c r="BS100" s="691">
        <f>'JSO (t)'!T127</f>
        <v>0</v>
      </c>
      <c r="BT100" s="697"/>
      <c r="BU100" s="698"/>
      <c r="BV100" s="699"/>
      <c r="BW100" s="697"/>
      <c r="BX100" s="698"/>
      <c r="BY100" s="697"/>
      <c r="BZ100" s="698"/>
      <c r="CA100" s="698"/>
      <c r="CB100" s="700"/>
    </row>
    <row r="101" spans="2:80" ht="15" customHeight="1" thickBot="1" x14ac:dyDescent="0.25">
      <c r="B101" s="795" t="s">
        <v>148</v>
      </c>
      <c r="C101" s="882"/>
      <c r="D101" s="786" t="s">
        <v>141</v>
      </c>
      <c r="E101" s="796">
        <f>'NUoS (t)'!G128</f>
        <v>371.85860000000002</v>
      </c>
      <c r="F101" s="797">
        <f>'NUoS (t)'!H128</f>
        <v>2.5000000000000001E-3</v>
      </c>
      <c r="G101" s="789"/>
      <c r="H101" s="789"/>
      <c r="I101" s="790"/>
      <c r="J101" s="797">
        <f>'NUoS (t)'!S128</f>
        <v>0.17349999999999999</v>
      </c>
      <c r="K101" s="796">
        <f>'NUoS (t)'!T128</f>
        <v>4.07E-2</v>
      </c>
      <c r="L101" s="788"/>
      <c r="M101" s="789"/>
      <c r="N101" s="790"/>
      <c r="O101" s="788"/>
      <c r="P101" s="789"/>
      <c r="Q101" s="788"/>
      <c r="R101" s="789"/>
      <c r="S101" s="789"/>
      <c r="T101" s="798"/>
      <c r="V101" s="795" t="s">
        <v>148</v>
      </c>
      <c r="W101" s="882"/>
      <c r="X101" s="786" t="s">
        <v>141</v>
      </c>
      <c r="Y101" s="796">
        <f>'DUoS (t)'!G128</f>
        <v>0</v>
      </c>
      <c r="Z101" s="797">
        <f>'DUoS (t)'!H128</f>
        <v>1.6000000000000001E-3</v>
      </c>
      <c r="AA101" s="789"/>
      <c r="AB101" s="789"/>
      <c r="AC101" s="790"/>
      <c r="AD101" s="797">
        <f>'DUoS (t)'!S128</f>
        <v>0</v>
      </c>
      <c r="AE101" s="796">
        <f>'DUoS (t)'!T128</f>
        <v>4.07E-2</v>
      </c>
      <c r="AF101" s="788"/>
      <c r="AG101" s="789"/>
      <c r="AH101" s="790"/>
      <c r="AI101" s="788"/>
      <c r="AJ101" s="789"/>
      <c r="AK101" s="788"/>
      <c r="AL101" s="789"/>
      <c r="AM101" s="789"/>
      <c r="AN101" s="798"/>
      <c r="AP101" s="795" t="s">
        <v>148</v>
      </c>
      <c r="AQ101" s="882"/>
      <c r="AR101" s="786" t="s">
        <v>141</v>
      </c>
      <c r="AS101" s="796">
        <f>'TUoS (t)'!G128</f>
        <v>371.85860000000002</v>
      </c>
      <c r="AT101" s="797">
        <f>'TUoS (t)'!H128</f>
        <v>0</v>
      </c>
      <c r="AU101" s="789"/>
      <c r="AV101" s="789"/>
      <c r="AW101" s="790"/>
      <c r="AX101" s="797">
        <f>'TUoS (t)'!S128</f>
        <v>0.17349999999999999</v>
      </c>
      <c r="AY101" s="796">
        <f>'TUoS (t)'!T128</f>
        <v>0</v>
      </c>
      <c r="AZ101" s="788"/>
      <c r="BA101" s="789"/>
      <c r="BB101" s="790"/>
      <c r="BC101" s="788"/>
      <c r="BD101" s="789"/>
      <c r="BE101" s="788"/>
      <c r="BF101" s="789"/>
      <c r="BG101" s="789"/>
      <c r="BH101" s="798"/>
      <c r="BJ101" s="795" t="s">
        <v>148</v>
      </c>
      <c r="BK101" s="882"/>
      <c r="BL101" s="786" t="s">
        <v>141</v>
      </c>
      <c r="BM101" s="796">
        <f>'JSO (t)'!G128</f>
        <v>0</v>
      </c>
      <c r="BN101" s="797">
        <f>'JSO (t)'!H128</f>
        <v>8.9999999999999998E-4</v>
      </c>
      <c r="BO101" s="789"/>
      <c r="BP101" s="789"/>
      <c r="BQ101" s="790"/>
      <c r="BR101" s="797">
        <f>'JSO (t)'!S128</f>
        <v>0</v>
      </c>
      <c r="BS101" s="796">
        <f>'JSO (t)'!T128</f>
        <v>0</v>
      </c>
      <c r="BT101" s="788"/>
      <c r="BU101" s="789"/>
      <c r="BV101" s="790"/>
      <c r="BW101" s="788"/>
      <c r="BX101" s="789"/>
      <c r="BY101" s="788"/>
      <c r="BZ101" s="789"/>
      <c r="CA101" s="789"/>
      <c r="CB101" s="798"/>
    </row>
    <row r="114" spans="2:72" x14ac:dyDescent="0.2">
      <c r="BJ114"/>
      <c r="BK114"/>
      <c r="BL114"/>
      <c r="BM114"/>
      <c r="BN114"/>
      <c r="BO114"/>
      <c r="BP114"/>
      <c r="BQ114"/>
      <c r="BR114"/>
      <c r="BS114"/>
      <c r="BT114"/>
    </row>
    <row r="115" spans="2:72" x14ac:dyDescent="0.2">
      <c r="BJ115"/>
      <c r="BK115"/>
      <c r="BL115"/>
      <c r="BM115"/>
      <c r="BN115"/>
      <c r="BO115"/>
      <c r="BP115"/>
      <c r="BQ115"/>
      <c r="BR115"/>
      <c r="BS115"/>
      <c r="BT115"/>
    </row>
    <row r="116" spans="2:72" x14ac:dyDescent="0.2">
      <c r="BJ116"/>
      <c r="BK116"/>
      <c r="BL116"/>
      <c r="BM116"/>
      <c r="BN116"/>
      <c r="BO116"/>
      <c r="BP116"/>
      <c r="BQ116"/>
      <c r="BR116"/>
      <c r="BS116"/>
      <c r="BT116"/>
    </row>
    <row r="117" spans="2:72" x14ac:dyDescent="0.2">
      <c r="BJ117"/>
      <c r="BK117"/>
      <c r="BL117"/>
      <c r="BM117"/>
      <c r="BN117"/>
      <c r="BO117"/>
      <c r="BP117"/>
      <c r="BQ117"/>
      <c r="BR117"/>
      <c r="BS117"/>
      <c r="BT117"/>
    </row>
    <row r="118" spans="2:72" x14ac:dyDescent="0.2">
      <c r="BJ118"/>
      <c r="BK118"/>
      <c r="BL118"/>
      <c r="BM118"/>
      <c r="BN118"/>
      <c r="BO118"/>
      <c r="BP118"/>
      <c r="BQ118"/>
      <c r="BR118"/>
      <c r="BS118"/>
      <c r="BT118"/>
    </row>
    <row r="119" spans="2:72" x14ac:dyDescent="0.2">
      <c r="BJ119"/>
      <c r="BK119"/>
      <c r="BL119"/>
      <c r="BM119"/>
      <c r="BN119"/>
      <c r="BO119"/>
      <c r="BP119"/>
      <c r="BQ119"/>
      <c r="BR119"/>
      <c r="BS119"/>
      <c r="BT119"/>
    </row>
    <row r="120" spans="2:72" x14ac:dyDescent="0.2">
      <c r="BJ120"/>
      <c r="BK120"/>
      <c r="BL120"/>
      <c r="BM120"/>
      <c r="BN120"/>
      <c r="BO120"/>
      <c r="BP120"/>
      <c r="BQ120"/>
      <c r="BR120"/>
      <c r="BS120"/>
      <c r="BT120"/>
    </row>
    <row r="121" spans="2:72" x14ac:dyDescent="0.2">
      <c r="BJ121"/>
      <c r="BK121"/>
      <c r="BL121"/>
      <c r="BM121"/>
      <c r="BN121"/>
      <c r="BO121"/>
      <c r="BP121"/>
      <c r="BQ121"/>
      <c r="BR121"/>
      <c r="BS121"/>
      <c r="BT121"/>
    </row>
    <row r="122" spans="2:72" x14ac:dyDescent="0.2">
      <c r="BJ122"/>
      <c r="BK122"/>
      <c r="BL122"/>
      <c r="BM122"/>
      <c r="BN122"/>
      <c r="BO122"/>
      <c r="BP122"/>
      <c r="BQ122"/>
      <c r="BR122"/>
      <c r="BS122"/>
      <c r="BT122"/>
    </row>
    <row r="123" spans="2:72" x14ac:dyDescent="0.2">
      <c r="E123" s="3"/>
      <c r="F123" s="3"/>
      <c r="G123" s="3"/>
      <c r="H123" s="3"/>
      <c r="I123" s="3"/>
      <c r="J123" s="3"/>
      <c r="K123" s="3"/>
      <c r="L123" s="3"/>
      <c r="Y123" s="3"/>
      <c r="Z123" s="3"/>
      <c r="AA123" s="3"/>
      <c r="AB123" s="3"/>
      <c r="AC123" s="3"/>
      <c r="AD123" s="3"/>
      <c r="AE123" s="3"/>
      <c r="AF123" s="3"/>
      <c r="AS123" s="3"/>
      <c r="AT123" s="3"/>
      <c r="AU123" s="3"/>
      <c r="AV123" s="3"/>
      <c r="AW123" s="3"/>
      <c r="AX123" s="3"/>
      <c r="AY123" s="3"/>
      <c r="AZ123" s="3"/>
      <c r="BJ123"/>
      <c r="BK123"/>
      <c r="BL123"/>
      <c r="BM123"/>
      <c r="BN123"/>
      <c r="BO123"/>
      <c r="BP123"/>
      <c r="BQ123"/>
      <c r="BR123"/>
      <c r="BS123"/>
      <c r="BT123"/>
    </row>
    <row r="124" spans="2:72" x14ac:dyDescent="0.2">
      <c r="BJ124"/>
      <c r="BK124"/>
      <c r="BL124"/>
      <c r="BM124"/>
      <c r="BN124"/>
      <c r="BO124"/>
      <c r="BP124"/>
      <c r="BQ124"/>
      <c r="BR124"/>
      <c r="BS124"/>
      <c r="BT124"/>
    </row>
    <row r="125" spans="2:72" x14ac:dyDescent="0.2">
      <c r="E125" s="3"/>
      <c r="F125" s="3"/>
      <c r="G125" s="3"/>
      <c r="H125" s="3"/>
      <c r="I125" s="3"/>
      <c r="J125" s="3"/>
      <c r="K125" s="3"/>
      <c r="L125" s="3"/>
      <c r="Y125" s="3"/>
      <c r="Z125" s="3"/>
      <c r="AA125" s="3"/>
      <c r="AB125" s="3"/>
      <c r="AC125" s="3"/>
      <c r="AD125" s="3"/>
      <c r="AE125" s="3"/>
      <c r="AF125" s="3"/>
      <c r="AS125" s="3"/>
      <c r="AT125" s="3"/>
      <c r="AU125" s="3"/>
      <c r="AV125" s="3"/>
      <c r="AW125" s="3"/>
      <c r="AX125" s="3"/>
      <c r="AY125" s="3"/>
      <c r="AZ125" s="3"/>
      <c r="BJ125"/>
      <c r="BK125"/>
      <c r="BL125"/>
      <c r="BM125"/>
      <c r="BN125"/>
      <c r="BO125"/>
      <c r="BP125"/>
      <c r="BQ125"/>
      <c r="BR125"/>
      <c r="BS125"/>
      <c r="BT125"/>
    </row>
    <row r="126" spans="2:72" x14ac:dyDescent="0.2">
      <c r="E126" s="3"/>
      <c r="F126" s="3"/>
      <c r="G126" s="3"/>
      <c r="H126" s="3"/>
      <c r="I126" s="3"/>
      <c r="J126" s="3"/>
      <c r="K126" s="3"/>
      <c r="L126" s="3"/>
      <c r="Y126" s="3"/>
      <c r="Z126" s="3"/>
      <c r="AA126" s="3"/>
      <c r="AB126" s="3"/>
      <c r="AC126" s="3"/>
      <c r="AD126" s="3"/>
      <c r="AE126" s="3"/>
      <c r="AF126" s="3"/>
      <c r="AS126" s="3"/>
      <c r="AT126" s="3"/>
      <c r="AU126" s="3"/>
      <c r="AV126" s="3"/>
      <c r="AW126" s="3"/>
      <c r="AX126" s="3"/>
      <c r="AY126" s="3"/>
      <c r="AZ126" s="3"/>
      <c r="BJ126"/>
      <c r="BK126"/>
      <c r="BL126"/>
      <c r="BM126"/>
      <c r="BN126"/>
      <c r="BO126"/>
      <c r="BP126"/>
      <c r="BQ126"/>
      <c r="BR126"/>
      <c r="BS126"/>
      <c r="BT126"/>
    </row>
    <row r="127" spans="2:72" x14ac:dyDescent="0.2">
      <c r="B127" s="23"/>
      <c r="C127" s="23"/>
      <c r="V127" s="23"/>
      <c r="W127" s="23"/>
      <c r="AP127" s="23"/>
      <c r="AQ127" s="23"/>
      <c r="BJ127" s="23"/>
      <c r="BK127" s="23"/>
    </row>
    <row r="128" spans="2:72" x14ac:dyDescent="0.2">
      <c r="B128" s="23"/>
      <c r="C128" s="23"/>
      <c r="V128" s="23"/>
      <c r="W128" s="23"/>
      <c r="AP128" s="23"/>
      <c r="AQ128" s="23"/>
      <c r="BJ128" s="23"/>
      <c r="BK128" s="23"/>
    </row>
    <row r="129" spans="2:63" x14ac:dyDescent="0.2">
      <c r="B129" s="23"/>
      <c r="C129" s="23"/>
      <c r="V129" s="23"/>
      <c r="W129" s="23"/>
      <c r="AP129" s="23"/>
      <c r="AQ129" s="23"/>
      <c r="BJ129" s="23"/>
      <c r="BK129" s="23"/>
    </row>
    <row r="130" spans="2:63" x14ac:dyDescent="0.2">
      <c r="B130" s="23"/>
      <c r="C130" s="23"/>
      <c r="V130" s="23"/>
      <c r="W130" s="23"/>
      <c r="AP130" s="23"/>
      <c r="AQ130" s="23"/>
      <c r="BJ130" s="23"/>
      <c r="BK130" s="23"/>
    </row>
    <row r="131" spans="2:63" x14ac:dyDescent="0.2">
      <c r="B131" s="23"/>
      <c r="C131" s="23"/>
      <c r="V131" s="23"/>
      <c r="W131" s="23"/>
      <c r="AP131" s="23"/>
      <c r="AQ131" s="23"/>
      <c r="BJ131" s="23"/>
      <c r="BK131" s="23"/>
    </row>
    <row r="132" spans="2:63" x14ac:dyDescent="0.2">
      <c r="B132" s="23"/>
      <c r="C132" s="23"/>
      <c r="V132" s="23"/>
      <c r="W132" s="23"/>
      <c r="AP132" s="23"/>
      <c r="AQ132" s="23"/>
      <c r="BJ132" s="23"/>
      <c r="BK132" s="23"/>
    </row>
    <row r="133" spans="2:63" x14ac:dyDescent="0.2">
      <c r="B133" s="23"/>
      <c r="C133" s="23"/>
      <c r="V133" s="23"/>
      <c r="W133" s="23"/>
      <c r="AP133" s="23"/>
      <c r="AQ133" s="23"/>
      <c r="BJ133" s="23"/>
      <c r="BK133" s="23"/>
    </row>
    <row r="134" spans="2:63" x14ac:dyDescent="0.2">
      <c r="B134" s="23"/>
      <c r="C134" s="23"/>
      <c r="V134" s="23"/>
      <c r="W134" s="23"/>
      <c r="AP134" s="23"/>
      <c r="AQ134" s="23"/>
      <c r="BJ134" s="23"/>
      <c r="BK134" s="23"/>
    </row>
    <row r="135" spans="2:63" x14ac:dyDescent="0.2">
      <c r="B135" s="23"/>
      <c r="C135" s="23"/>
      <c r="V135" s="23"/>
      <c r="W135" s="23"/>
      <c r="AP135" s="23"/>
      <c r="AQ135" s="23"/>
      <c r="BJ135" s="23"/>
      <c r="BK135" s="23"/>
    </row>
    <row r="136" spans="2:63" x14ac:dyDescent="0.2">
      <c r="B136" s="23"/>
      <c r="C136" s="23"/>
      <c r="V136" s="23"/>
      <c r="W136" s="23"/>
      <c r="AP136" s="23"/>
      <c r="AQ136" s="23"/>
      <c r="BJ136" s="23"/>
      <c r="BK136" s="23"/>
    </row>
    <row r="137" spans="2:63" x14ac:dyDescent="0.2">
      <c r="B137" s="23"/>
      <c r="C137" s="23"/>
      <c r="V137" s="23"/>
      <c r="W137" s="23"/>
      <c r="AP137" s="23"/>
      <c r="AQ137" s="23"/>
      <c r="BJ137" s="23"/>
      <c r="BK137" s="23"/>
    </row>
    <row r="138" spans="2:63" x14ac:dyDescent="0.2">
      <c r="B138" s="23"/>
      <c r="C138" s="23"/>
      <c r="V138" s="23"/>
      <c r="W138" s="23"/>
      <c r="AP138" s="23"/>
      <c r="AQ138" s="23"/>
      <c r="BJ138" s="23"/>
      <c r="BK138" s="23"/>
    </row>
    <row r="139" spans="2:63" x14ac:dyDescent="0.2">
      <c r="B139" s="23"/>
      <c r="C139" s="23"/>
      <c r="V139" s="23"/>
      <c r="W139" s="23"/>
      <c r="AP139" s="23"/>
      <c r="AQ139" s="23"/>
      <c r="BJ139" s="23"/>
      <c r="BK139" s="23"/>
    </row>
    <row r="140" spans="2:63" x14ac:dyDescent="0.2">
      <c r="B140" s="23"/>
      <c r="C140" s="23"/>
      <c r="V140" s="23"/>
      <c r="W140" s="23"/>
      <c r="AP140" s="23"/>
      <c r="AQ140" s="23"/>
      <c r="BJ140" s="23"/>
      <c r="BK140" s="23"/>
    </row>
    <row r="141" spans="2:63" x14ac:dyDescent="0.2">
      <c r="B141" s="23"/>
      <c r="C141" s="23"/>
      <c r="V141" s="23"/>
      <c r="W141" s="23"/>
      <c r="AP141" s="23"/>
      <c r="AQ141" s="23"/>
      <c r="BJ141" s="23"/>
      <c r="BK141" s="23"/>
    </row>
    <row r="142" spans="2:63" x14ac:dyDescent="0.2">
      <c r="B142" s="23"/>
      <c r="C142" s="23"/>
      <c r="V142" s="23"/>
      <c r="W142" s="23"/>
      <c r="AP142" s="23"/>
      <c r="AQ142" s="23"/>
      <c r="BJ142" s="23"/>
      <c r="BK142" s="23"/>
    </row>
    <row r="143" spans="2:63" x14ac:dyDescent="0.2">
      <c r="B143" s="23"/>
      <c r="C143" s="23"/>
      <c r="V143" s="23"/>
      <c r="W143" s="23"/>
      <c r="AP143" s="23"/>
      <c r="AQ143" s="23"/>
      <c r="BJ143" s="23"/>
      <c r="BK143" s="23"/>
    </row>
    <row r="144" spans="2:63" x14ac:dyDescent="0.2">
      <c r="B144" s="23"/>
      <c r="C144" s="23"/>
      <c r="V144" s="23"/>
      <c r="W144" s="23"/>
      <c r="AP144" s="23"/>
      <c r="AQ144" s="23"/>
      <c r="BJ144" s="23"/>
      <c r="BK144" s="23"/>
    </row>
    <row r="145" spans="2:64" x14ac:dyDescent="0.2">
      <c r="B145" s="23"/>
      <c r="C145" s="23"/>
      <c r="V145" s="23"/>
      <c r="W145" s="23"/>
      <c r="AP145" s="23"/>
      <c r="AQ145" s="23"/>
      <c r="BJ145" s="23"/>
      <c r="BK145" s="23"/>
    </row>
    <row r="146" spans="2:64" x14ac:dyDescent="0.2">
      <c r="B146" s="23"/>
      <c r="C146" s="23"/>
      <c r="V146" s="23"/>
      <c r="W146" s="23"/>
      <c r="AP146" s="23"/>
      <c r="AQ146" s="23"/>
      <c r="BJ146" s="23"/>
      <c r="BK146" s="23"/>
    </row>
    <row r="147" spans="2:64" x14ac:dyDescent="0.2">
      <c r="B147" s="23"/>
      <c r="C147" s="23"/>
      <c r="V147" s="23"/>
      <c r="W147" s="23"/>
      <c r="AP147" s="23"/>
      <c r="AQ147" s="23"/>
      <c r="BJ147" s="23"/>
      <c r="BK147" s="23"/>
    </row>
    <row r="148" spans="2:64" x14ac:dyDescent="0.2">
      <c r="B148" s="23"/>
      <c r="C148" s="23"/>
      <c r="V148" s="23"/>
      <c r="W148" s="23"/>
      <c r="AP148" s="23"/>
      <c r="AQ148" s="23"/>
      <c r="BJ148" s="23"/>
      <c r="BK148" s="23"/>
    </row>
    <row r="149" spans="2:64" x14ac:dyDescent="0.2">
      <c r="B149" s="23"/>
      <c r="C149" s="23"/>
      <c r="V149" s="23"/>
      <c r="W149" s="23"/>
      <c r="AP149" s="23"/>
      <c r="AQ149" s="23"/>
      <c r="BJ149" s="23"/>
      <c r="BK149" s="23"/>
    </row>
    <row r="150" spans="2:64" x14ac:dyDescent="0.2">
      <c r="B150" s="23"/>
      <c r="C150" s="23"/>
      <c r="V150" s="23"/>
      <c r="W150" s="23"/>
      <c r="AP150" s="23"/>
      <c r="AQ150" s="23"/>
      <c r="BJ150" s="23"/>
      <c r="BK150" s="23"/>
    </row>
    <row r="151" spans="2:64" x14ac:dyDescent="0.2">
      <c r="B151" s="23"/>
      <c r="C151" s="23"/>
      <c r="V151" s="23"/>
      <c r="W151" s="23"/>
      <c r="AP151" s="23"/>
      <c r="AQ151" s="23"/>
      <c r="BJ151" s="23"/>
      <c r="BK151" s="23"/>
    </row>
    <row r="152" spans="2:64" x14ac:dyDescent="0.2">
      <c r="B152" s="23"/>
      <c r="C152" s="23"/>
      <c r="V152" s="23"/>
      <c r="W152" s="23"/>
      <c r="AP152" s="23"/>
      <c r="AQ152" s="23"/>
      <c r="BJ152" s="23"/>
      <c r="BK152" s="23"/>
    </row>
    <row r="153" spans="2:64" x14ac:dyDescent="0.2">
      <c r="B153" s="23"/>
      <c r="C153" s="23"/>
      <c r="V153" s="23"/>
      <c r="W153" s="23"/>
      <c r="AP153" s="23"/>
      <c r="AQ153" s="23"/>
      <c r="BJ153" s="23"/>
      <c r="BK153" s="23"/>
    </row>
    <row r="159" spans="2:64" x14ac:dyDescent="0.2">
      <c r="D159" s="36"/>
      <c r="X159" s="36"/>
      <c r="AR159" s="36"/>
      <c r="BL159" s="36"/>
    </row>
    <row r="170" spans="4:64" x14ac:dyDescent="0.2">
      <c r="D170" s="36"/>
      <c r="X170" s="36"/>
      <c r="AR170" s="36"/>
      <c r="BL170" s="36"/>
    </row>
  </sheetData>
  <mergeCells count="80">
    <mergeCell ref="Q6:T6"/>
    <mergeCell ref="F7:I7"/>
    <mergeCell ref="Q7:T7"/>
    <mergeCell ref="L6:N6"/>
    <mergeCell ref="L7:N7"/>
    <mergeCell ref="J6:K6"/>
    <mergeCell ref="O6:P6"/>
    <mergeCell ref="J7:K7"/>
    <mergeCell ref="O7:P7"/>
    <mergeCell ref="F6:I6"/>
    <mergeCell ref="Z6:AC6"/>
    <mergeCell ref="AK6:AN6"/>
    <mergeCell ref="AF6:AH6"/>
    <mergeCell ref="AD6:AE6"/>
    <mergeCell ref="AI6:AJ6"/>
    <mergeCell ref="Z7:AC7"/>
    <mergeCell ref="AK7:AN7"/>
    <mergeCell ref="AF7:AH7"/>
    <mergeCell ref="AD7:AE7"/>
    <mergeCell ref="AI7:AJ7"/>
    <mergeCell ref="AT6:AW6"/>
    <mergeCell ref="BE6:BH6"/>
    <mergeCell ref="AZ6:BB6"/>
    <mergeCell ref="AX6:AY6"/>
    <mergeCell ref="BC6:BD6"/>
    <mergeCell ref="AT7:AW7"/>
    <mergeCell ref="BE7:BH7"/>
    <mergeCell ref="AZ7:BB7"/>
    <mergeCell ref="AX7:AY7"/>
    <mergeCell ref="BC7:BD7"/>
    <mergeCell ref="BN6:BQ6"/>
    <mergeCell ref="BY6:CB6"/>
    <mergeCell ref="BT6:BV6"/>
    <mergeCell ref="BR6:BS6"/>
    <mergeCell ref="BW6:BX6"/>
    <mergeCell ref="BN7:BQ7"/>
    <mergeCell ref="BY7:CB7"/>
    <mergeCell ref="BT7:BV7"/>
    <mergeCell ref="BR7:BS7"/>
    <mergeCell ref="BW7:BX7"/>
    <mergeCell ref="F52:I52"/>
    <mergeCell ref="Q52:T52"/>
    <mergeCell ref="L52:N52"/>
    <mergeCell ref="J52:K52"/>
    <mergeCell ref="O52:P52"/>
    <mergeCell ref="Z52:AC52"/>
    <mergeCell ref="AK52:AN52"/>
    <mergeCell ref="AF52:AH52"/>
    <mergeCell ref="AD52:AE52"/>
    <mergeCell ref="AI52:AJ52"/>
    <mergeCell ref="AT52:AW52"/>
    <mergeCell ref="BE52:BH52"/>
    <mergeCell ref="AZ52:BB52"/>
    <mergeCell ref="AX52:AY52"/>
    <mergeCell ref="BC52:BD52"/>
    <mergeCell ref="BN52:BQ52"/>
    <mergeCell ref="BY52:CB52"/>
    <mergeCell ref="BT52:BV52"/>
    <mergeCell ref="BR52:BS52"/>
    <mergeCell ref="BW52:BX52"/>
    <mergeCell ref="F53:I53"/>
    <mergeCell ref="Q53:T53"/>
    <mergeCell ref="L53:N53"/>
    <mergeCell ref="J53:K53"/>
    <mergeCell ref="O53:P53"/>
    <mergeCell ref="Z53:AC53"/>
    <mergeCell ref="AK53:AN53"/>
    <mergeCell ref="AF53:AH53"/>
    <mergeCell ref="AD53:AE53"/>
    <mergeCell ref="AI53:AJ53"/>
    <mergeCell ref="AT53:AW53"/>
    <mergeCell ref="BE53:BH53"/>
    <mergeCell ref="AZ53:BB53"/>
    <mergeCell ref="AX53:AY53"/>
    <mergeCell ref="BC53:BD53"/>
    <mergeCell ref="BN53:BQ53"/>
    <mergeCell ref="BY53:CB53"/>
    <mergeCell ref="BT53:BV53"/>
    <mergeCell ref="BR53:BS53"/>
    <mergeCell ref="BW53:BX53"/>
  </mergeCells>
  <pageMargins left="0.25" right="0.25" top="0.75" bottom="0.75" header="0.3" footer="0.3"/>
  <pageSetup paperSize="9" scale="56" fitToHeight="0" orientation="landscape" r:id="rId1"/>
  <rowBreaks count="1" manualBreakCount="1">
    <brk id="51" min="1" max="99" man="1"/>
  </rowBreaks>
  <colBreaks count="1" manualBreakCount="1">
    <brk id="21" max="111" man="1"/>
  </colBreaks>
  <ignoredErrors>
    <ignoredError sqref="C18:C34 C85:C86 C57:C58 AA69:AC69 X94:X101 BI85:BI86 CC85:CC86 BO69:BQ69 AO85:AO86 C37 C61 AA13:AC13 AO13 Y15:Z16 AO15:AO16 X20:Y21 X23:Y23 AA23:AC23 X24:Z24 AB24 X27:Z28 X29:Y29 Y32 AA32:AC32 Y33:Z33 AB33 Y35:Z36 AB35:AB36 Y37 Y59:Z60 AB59:AB60 Y61 Y62:Z62 AB62 AU13:AW13 BI13 BI15:BI16 AU23:AW23 AV24 AS32 AU32:AW32 AS33:AT33 AV33 AS35:AT36 AV35:AV36 AS37 AS59:AT60 AV59:AV60 AS61 AS62:AT62 AV62 BO13:BQ13 CC13 BO23:BQ23 BP24 BM32 BO32:BQ32 BM33:BN33 BP33 BM35:BN36 BP35:BP36 BM37 BM59:BN60 BP59:BP60 BM61 BM62:BN62 BP62 C13 BM13 AS13 Y13 AS15:AT16 BM15:BN16 AA61:AC61 AA37:AC37 Y38:AC38 AA29:AC29 X30:AC31 X25:AC26 AA20:AC21 X22:AC22 Y63:AC63 Y34:AC34 AI94:AJ101 W102:AC113 X93:AC93 AI78:AJ81 AI86:AJ86 X77:AC77 X57:AC58 X67:AC68 X18:AC19 X88:AC88 AF69:AH69 AF57:AJ60 AF18:AJ35 AF13:AJ13 AF102:AJ113 AF93:AJ93 AF77:AJ77 AF67:AJ68 AF88:AJ88 AU61:AW61 AU37:AW37 AS38:AW38 AU29:AW29 AU20:AW21 AS63:AW63 AS34:AW34 BC94:BD101 BC78:BD80 AO102:AW113 AO77:AO81 AZ57:BD58 AZ18:BD36 AZ13:BD13 AZ102:BD113 AZ93:BD93 AZ77:BD77 AZ67:BD68 AZ88:BD88 BO61:BQ61 BO37:BQ37 BM38:BQ38 BO29:BQ29 BO20:BQ21 BM63:BQ63 BM34:BQ34 BW94:BX101 BW78:BX80 BI102:BQ113 BI77:BI81 BT69:BV69 BT57:BX59 BT18:BX35 BT13:BX13 BT102:BX113 BT93:BX93 BT77:BX77 BT67:BX68 BT88:BX88 C77:C81 AO67:AO75 BI67:BI75 CC77:CC81 AI69:AJ75 BC69:BD75 BW69:BX75 C88:C101 X89:X92 AO88:AO101 BI88:BI101 AI89:AJ92 BC89:BD92 BW89:BX92 CC88:CC101 AF61:AH63 AZ37:BB38 AO18:AO38 BI18:BI38 CC18:CC38 AF36:AH38 BT36:BV38 AO57:AO63 BI57:BI63 CC57:CC63 AZ59:BB63 BT60:BV63 AR20:AS21 AR23:AS23 AR24:AT24 AR27:AT28 AR29:AS29 AR30:AW31 AR25:AW26 AR22:AW22 AR18:AW19 BL20:BM21 BL23:BM23 BL24:BN24 BL27:BN28 BL29:BM29 BL30:BQ31 BL25:BQ26 BL22:BQ22 BL18:BQ19 AR94:AR101 AR93:AW93 AR77:AW77 AR57:AW58 AR67:AW68 AR88:AW88 AR89:AR92 BL94:BL101 BL93:BQ93 BL77:BQ77 BL57:BQ58 BL67:BQ68 BL88:BQ88 BL89:BL92 BT15:BX16 AZ15:BD16 AF15:AJ16 CC15:CC16 C15:C16 W127:AC172 AF127:AJ172 AG114:AJ126 AO127:AW172 AO114:AO126 AZ127:BD172 BA114:BD126 BI127:BQ172 BI114:BI126 BT127:BX172 BU114:BX126 CC67:CC75 C67:C75 CC102:CC172" unlockedFormula="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2F0E-3E9C-43A4-B763-05A741C1E983}">
  <sheetPr codeName="Sheet13">
    <tabColor rgb="FFFFC000"/>
  </sheetPr>
  <dimension ref="A1:Y291"/>
  <sheetViews>
    <sheetView showGridLines="0" topLeftCell="A118" zoomScale="90" zoomScaleNormal="90" workbookViewId="0">
      <selection activeCell="D20" sqref="D20"/>
    </sheetView>
  </sheetViews>
  <sheetFormatPr defaultRowHeight="15" x14ac:dyDescent="0.25"/>
  <cols>
    <col min="1" max="1" width="3.7109375" style="350" customWidth="1"/>
    <col min="2" max="2" width="7.7109375" style="350" customWidth="1"/>
    <col min="3" max="3" width="27.5703125" style="350" customWidth="1"/>
    <col min="4" max="4" width="2.7109375" style="350" customWidth="1"/>
    <col min="5" max="5" width="13.7109375" style="350" customWidth="1"/>
    <col min="6" max="6" width="9.7109375" style="500" customWidth="1"/>
    <col min="7" max="25" width="9.7109375" style="350" customWidth="1"/>
    <col min="26" max="16384" width="9.140625" style="350"/>
  </cols>
  <sheetData>
    <row r="1" spans="1:25" ht="15.75" thickBot="1" x14ac:dyDescent="0.3"/>
    <row r="2" spans="1:25" ht="15.75" x14ac:dyDescent="0.25">
      <c r="B2" s="351" t="s">
        <v>280</v>
      </c>
      <c r="F2" s="933" t="s">
        <v>713</v>
      </c>
      <c r="G2" s="934"/>
      <c r="H2" s="934"/>
      <c r="I2" s="935"/>
      <c r="J2" s="933" t="s">
        <v>714</v>
      </c>
      <c r="K2" s="934"/>
      <c r="L2" s="934"/>
      <c r="M2" s="935"/>
      <c r="N2" s="933" t="s">
        <v>316</v>
      </c>
      <c r="O2" s="934"/>
      <c r="P2" s="934"/>
      <c r="Q2" s="935"/>
      <c r="R2" s="933" t="s">
        <v>317</v>
      </c>
      <c r="S2" s="934"/>
      <c r="T2" s="934"/>
      <c r="U2" s="935"/>
      <c r="V2" s="933" t="s">
        <v>318</v>
      </c>
      <c r="W2" s="934"/>
      <c r="X2" s="934"/>
      <c r="Y2" s="935"/>
    </row>
    <row r="3" spans="1:25" ht="16.5" thickBot="1" x14ac:dyDescent="0.3">
      <c r="B3" s="351" t="s">
        <v>669</v>
      </c>
      <c r="F3" s="353" t="s">
        <v>282</v>
      </c>
      <c r="G3" s="355" t="s">
        <v>283</v>
      </c>
      <c r="H3" s="355" t="s">
        <v>284</v>
      </c>
      <c r="I3" s="356" t="s">
        <v>285</v>
      </c>
      <c r="J3" s="353" t="s">
        <v>282</v>
      </c>
      <c r="K3" s="355" t="s">
        <v>283</v>
      </c>
      <c r="L3" s="355" t="s">
        <v>284</v>
      </c>
      <c r="M3" s="356" t="s">
        <v>285</v>
      </c>
      <c r="N3" s="353" t="s">
        <v>282</v>
      </c>
      <c r="O3" s="355" t="s">
        <v>283</v>
      </c>
      <c r="P3" s="355" t="s">
        <v>284</v>
      </c>
      <c r="Q3" s="356" t="s">
        <v>285</v>
      </c>
      <c r="R3" s="353" t="s">
        <v>282</v>
      </c>
      <c r="S3" s="355" t="s">
        <v>283</v>
      </c>
      <c r="T3" s="355" t="s">
        <v>284</v>
      </c>
      <c r="U3" s="356" t="s">
        <v>285</v>
      </c>
      <c r="V3" s="354" t="s">
        <v>282</v>
      </c>
      <c r="W3" s="355" t="s">
        <v>283</v>
      </c>
      <c r="X3" s="355" t="s">
        <v>284</v>
      </c>
      <c r="Y3" s="356" t="s">
        <v>285</v>
      </c>
    </row>
    <row r="4" spans="1:25" ht="15.75" x14ac:dyDescent="0.25">
      <c r="A4" s="352" t="str">
        <f>[20]Residential!A2</f>
        <v>Residential Customers</v>
      </c>
      <c r="B4" s="357"/>
      <c r="C4" s="357"/>
      <c r="D4" s="357"/>
      <c r="E4" s="357"/>
      <c r="F4" s="502"/>
      <c r="G4" s="506"/>
      <c r="H4" s="506"/>
      <c r="I4" s="507"/>
      <c r="J4" s="502"/>
      <c r="K4" s="506"/>
      <c r="L4" s="506"/>
      <c r="M4" s="507"/>
      <c r="N4" s="358"/>
      <c r="O4" s="357"/>
      <c r="P4" s="357"/>
      <c r="Q4" s="360"/>
      <c r="R4" s="358"/>
      <c r="S4" s="357"/>
      <c r="T4" s="357"/>
      <c r="U4" s="360"/>
      <c r="V4" s="359"/>
      <c r="W4" s="357"/>
      <c r="X4" s="357"/>
      <c r="Y4" s="360"/>
    </row>
    <row r="5" spans="1:25" ht="15.95" customHeight="1" x14ac:dyDescent="0.25">
      <c r="A5" s="361"/>
      <c r="B5" s="362" t="str">
        <f>[20]Residential!B48</f>
        <v>Residential Type 6</v>
      </c>
      <c r="C5" s="363"/>
      <c r="D5" s="363"/>
      <c r="E5" s="363" t="s">
        <v>286</v>
      </c>
      <c r="F5" s="817" t="s">
        <v>674</v>
      </c>
      <c r="G5" s="508"/>
      <c r="H5" s="508"/>
      <c r="I5" s="509"/>
      <c r="J5" s="816" t="s">
        <v>286</v>
      </c>
      <c r="K5" s="508"/>
      <c r="L5" s="508"/>
      <c r="M5" s="509"/>
      <c r="N5" s="816" t="s">
        <v>286</v>
      </c>
      <c r="O5" s="363"/>
      <c r="P5" s="363"/>
      <c r="Q5" s="366"/>
      <c r="R5" s="816" t="s">
        <v>286</v>
      </c>
      <c r="S5" s="363"/>
      <c r="T5" s="363"/>
      <c r="U5" s="366"/>
      <c r="V5" s="816" t="s">
        <v>286</v>
      </c>
      <c r="W5" s="363"/>
      <c r="X5" s="363"/>
      <c r="Y5" s="366"/>
    </row>
    <row r="6" spans="1:25" ht="15.95" customHeight="1" x14ac:dyDescent="0.25">
      <c r="A6" s="367"/>
      <c r="B6" s="368"/>
      <c r="C6" s="350" t="str">
        <f>[20]Residential!B49</f>
        <v>Customers/Supply Ch</v>
      </c>
      <c r="E6" s="350" t="s">
        <v>287</v>
      </c>
      <c r="F6" s="727">
        <f>'[15]2020-25 Pricing Schedule'!F6</f>
        <v>155.0155</v>
      </c>
      <c r="G6" s="728">
        <f>'[15]2020-25 Pricing Schedule'!G6</f>
        <v>0</v>
      </c>
      <c r="H6" s="728">
        <f>'[15]2020-25 Pricing Schedule'!H6</f>
        <v>15.001499999999998</v>
      </c>
      <c r="I6" s="729">
        <f>SUM(F6:H6)</f>
        <v>170.017</v>
      </c>
      <c r="J6" s="727">
        <f>'DUoS (t)'!$G$18*Days_Year</f>
        <v>165.01650000000001</v>
      </c>
      <c r="K6" s="728">
        <f>'TUoS (t)'!$G$18*Days_Year</f>
        <v>0</v>
      </c>
      <c r="L6" s="728">
        <f>'JSO (t)'!$G$18*Days_Year</f>
        <v>15.001499999999998</v>
      </c>
      <c r="M6" s="729">
        <f>SUM(J6:L6)</f>
        <v>180.018</v>
      </c>
      <c r="N6" s="369">
        <f>'[21]Price Schedule 5 year'!N6</f>
        <v>175.00219999999999</v>
      </c>
      <c r="O6" s="371">
        <f>'[21]Price Schedule 5 year'!O6</f>
        <v>0</v>
      </c>
      <c r="P6" s="371">
        <f>'[21]Price Schedule 5 year'!P6</f>
        <v>15</v>
      </c>
      <c r="Q6" s="372">
        <f>SUM(N6:P6)</f>
        <v>190.00219999999999</v>
      </c>
      <c r="R6" s="369">
        <f>'[21]Price Schedule 5 year'!R6</f>
        <v>185.00219999999999</v>
      </c>
      <c r="S6" s="371">
        <f>'[21]Price Schedule 5 year'!S6</f>
        <v>0</v>
      </c>
      <c r="T6" s="371">
        <f>'[21]Price Schedule 5 year'!T6</f>
        <v>15</v>
      </c>
      <c r="U6" s="372">
        <f>SUM(R6:T6)</f>
        <v>200.00219999999999</v>
      </c>
      <c r="V6" s="370">
        <f>'[21]Price Schedule 5 year'!V6</f>
        <v>195.00219999999999</v>
      </c>
      <c r="W6" s="371">
        <f>'[21]Price Schedule 5 year'!W6</f>
        <v>0</v>
      </c>
      <c r="X6" s="371">
        <f>'[21]Price Schedule 5 year'!X6</f>
        <v>15</v>
      </c>
      <c r="Y6" s="372">
        <f>SUM(V6:X6)</f>
        <v>210.00219999999999</v>
      </c>
    </row>
    <row r="7" spans="1:25" ht="15.95" customHeight="1" x14ac:dyDescent="0.25">
      <c r="A7" s="373"/>
      <c r="B7" s="374"/>
      <c r="C7" s="375" t="str">
        <f>[20]Residential!B50</f>
        <v>Usage</v>
      </c>
      <c r="D7" s="375"/>
      <c r="E7" s="375" t="s">
        <v>288</v>
      </c>
      <c r="F7" s="504">
        <f>'[15]2020-25 Pricing Schedule'!F7</f>
        <v>9.2299999999999993E-2</v>
      </c>
      <c r="G7" s="512">
        <f>'[15]2020-25 Pricing Schedule'!G7</f>
        <v>3.39E-2</v>
      </c>
      <c r="H7" s="512">
        <f>'[15]2020-25 Pricing Schedule'!H7</f>
        <v>1.1599999999999999E-2</v>
      </c>
      <c r="I7" s="513">
        <f>SUM(F7:H7)</f>
        <v>0.13779999999999998</v>
      </c>
      <c r="J7" s="504">
        <f>'DUoS (t)'!$H$18</f>
        <v>8.7900000000000006E-2</v>
      </c>
      <c r="K7" s="512">
        <f>('TUoS (t)'!$H$18)</f>
        <v>3.56E-2</v>
      </c>
      <c r="L7" s="512">
        <f>('JSO (t)'!$H$18)</f>
        <v>1.11E-2</v>
      </c>
      <c r="M7" s="513">
        <f>SUM(J7:L7)</f>
        <v>0.1346</v>
      </c>
      <c r="N7" s="376">
        <f>'[21]Price Schedule 5 year'!N7</f>
        <v>8.3905084671060962E-2</v>
      </c>
      <c r="O7" s="378">
        <f>'[21]Price Schedule 5 year'!O7</f>
        <v>3.5608308843501468E-2</v>
      </c>
      <c r="P7" s="378">
        <f>'[21]Price Schedule 5 year'!P7</f>
        <v>1.1480325320442894E-2</v>
      </c>
      <c r="Q7" s="379">
        <f>SUM(N7:P7)</f>
        <v>0.13099371883500532</v>
      </c>
      <c r="R7" s="376">
        <f>'[21]Price Schedule 5 year'!R7</f>
        <v>8.1938699396734038E-2</v>
      </c>
      <c r="S7" s="378">
        <f>'[21]Price Schedule 5 year'!S7</f>
        <v>3.6602201922563658E-2</v>
      </c>
      <c r="T7" s="378">
        <f>'[21]Price Schedule 5 year'!T7</f>
        <v>1.1486197270780143E-2</v>
      </c>
      <c r="U7" s="379">
        <f>SUM(R7:T7)</f>
        <v>0.13002709859007786</v>
      </c>
      <c r="V7" s="377">
        <f>'[21]Price Schedule 5 year'!V7</f>
        <v>7.9924839365123748E-2</v>
      </c>
      <c r="W7" s="378">
        <f>'[21]Price Schedule 5 year'!W7</f>
        <v>3.7623618327448274E-2</v>
      </c>
      <c r="X7" s="378">
        <f>'[21]Price Schedule 5 year'!X7</f>
        <v>1.1492280215149857E-2</v>
      </c>
      <c r="Y7" s="379">
        <f>SUM(V7:X7)</f>
        <v>0.12904073790772189</v>
      </c>
    </row>
    <row r="8" spans="1:25" ht="15.95" customHeight="1" x14ac:dyDescent="0.25">
      <c r="A8" s="361"/>
      <c r="B8" s="362" t="str">
        <f>[20]Residential!B53</f>
        <v>Residential TOU</v>
      </c>
      <c r="C8" s="363"/>
      <c r="D8" s="363"/>
      <c r="E8" s="363" t="s">
        <v>670</v>
      </c>
      <c r="F8" s="503"/>
      <c r="G8" s="508"/>
      <c r="H8" s="508"/>
      <c r="I8" s="509"/>
      <c r="J8" s="503"/>
      <c r="K8" s="508"/>
      <c r="L8" s="508"/>
      <c r="M8" s="509"/>
      <c r="N8" s="380">
        <f>'[21]Price Schedule 5 year'!N8</f>
        <v>0</v>
      </c>
      <c r="O8" s="382">
        <f>'[21]Price Schedule 5 year'!O8</f>
        <v>0</v>
      </c>
      <c r="P8" s="382">
        <f>'[21]Price Schedule 5 year'!P8</f>
        <v>0</v>
      </c>
      <c r="Q8" s="383"/>
      <c r="R8" s="380">
        <f>'[21]Price Schedule 5 year'!R8</f>
        <v>0</v>
      </c>
      <c r="S8" s="382">
        <f>'[21]Price Schedule 5 year'!S8</f>
        <v>0</v>
      </c>
      <c r="T8" s="382">
        <f>'[21]Price Schedule 5 year'!T8</f>
        <v>0</v>
      </c>
      <c r="U8" s="383"/>
      <c r="V8" s="381">
        <f>'[21]Price Schedule 5 year'!V8</f>
        <v>0</v>
      </c>
      <c r="W8" s="382">
        <f>'[21]Price Schedule 5 year'!W8</f>
        <v>0</v>
      </c>
      <c r="X8" s="382">
        <f>'[21]Price Schedule 5 year'!X8</f>
        <v>0</v>
      </c>
      <c r="Y8" s="383"/>
    </row>
    <row r="9" spans="1:25" ht="15.95" customHeight="1" x14ac:dyDescent="0.25">
      <c r="A9" s="367"/>
      <c r="B9" s="368"/>
      <c r="C9" s="350" t="str">
        <f>[20]Residential!B54</f>
        <v>Customers/Supply Ch</v>
      </c>
      <c r="E9" s="350" t="s">
        <v>287</v>
      </c>
      <c r="F9" s="727">
        <f>'[15]2020-25 Pricing Schedule'!F9</f>
        <v>155.0155</v>
      </c>
      <c r="G9" s="728">
        <f>'[15]2020-25 Pricing Schedule'!G9</f>
        <v>0</v>
      </c>
      <c r="H9" s="728">
        <f>'[15]2020-25 Pricing Schedule'!H9</f>
        <v>15.001499999999998</v>
      </c>
      <c r="I9" s="729">
        <f>SUM(F9:H9)</f>
        <v>170.017</v>
      </c>
      <c r="J9" s="727">
        <f>'DUoS (t)'!$G$22*Days_Year</f>
        <v>165.01650000000001</v>
      </c>
      <c r="K9" s="728">
        <f>'TUoS (t)'!$G$22*Days_Year</f>
        <v>0</v>
      </c>
      <c r="L9" s="728">
        <f>'JSO (t)'!$G$22*Days_Year</f>
        <v>15.001499999999998</v>
      </c>
      <c r="M9" s="729">
        <f>SUM(J9:L9)</f>
        <v>180.018</v>
      </c>
      <c r="N9" s="369">
        <f>'[21]Price Schedule 5 year'!N9</f>
        <v>175.00219999999999</v>
      </c>
      <c r="O9" s="371">
        <f>'[21]Price Schedule 5 year'!O9</f>
        <v>0</v>
      </c>
      <c r="P9" s="371">
        <f>'[21]Price Schedule 5 year'!P9</f>
        <v>15</v>
      </c>
      <c r="Q9" s="372">
        <f>SUM(N9:P9)</f>
        <v>190.00219999999999</v>
      </c>
      <c r="R9" s="369">
        <f>'[21]Price Schedule 5 year'!R9</f>
        <v>185.00219999999999</v>
      </c>
      <c r="S9" s="371">
        <f>'[21]Price Schedule 5 year'!S9</f>
        <v>0</v>
      </c>
      <c r="T9" s="371">
        <f>'[21]Price Schedule 5 year'!T9</f>
        <v>15</v>
      </c>
      <c r="U9" s="372">
        <f>SUM(R9:T9)</f>
        <v>200.00219999999999</v>
      </c>
      <c r="V9" s="370">
        <f>'[21]Price Schedule 5 year'!V9</f>
        <v>195.00219999999999</v>
      </c>
      <c r="W9" s="371">
        <f>'[21]Price Schedule 5 year'!W9</f>
        <v>0</v>
      </c>
      <c r="X9" s="371">
        <f>'[21]Price Schedule 5 year'!X9</f>
        <v>15</v>
      </c>
      <c r="Y9" s="372">
        <f>SUM(V9:X9)</f>
        <v>210.00219999999999</v>
      </c>
    </row>
    <row r="10" spans="1:25" ht="15.95" customHeight="1" x14ac:dyDescent="0.25">
      <c r="A10" s="367"/>
      <c r="B10" s="368"/>
      <c r="C10" s="350" t="str">
        <f>[20]Residential!B55</f>
        <v>Peak Usage</v>
      </c>
      <c r="E10" s="350" t="s">
        <v>288</v>
      </c>
      <c r="F10" s="501">
        <f>'[15]2020-25 Pricing Schedule'!F10</f>
        <v>0.1154</v>
      </c>
      <c r="G10" s="510">
        <f>'[15]2020-25 Pricing Schedule'!G10</f>
        <v>4.24E-2</v>
      </c>
      <c r="H10" s="510">
        <f>'[15]2020-25 Pricing Schedule'!H10</f>
        <v>1.4500000000000001E-2</v>
      </c>
      <c r="I10" s="511">
        <f>SUM(F10:H10)</f>
        <v>0.17230000000000001</v>
      </c>
      <c r="J10" s="501">
        <f>'DUoS (t)'!$I$22</f>
        <v>0.11</v>
      </c>
      <c r="K10" s="510">
        <f>'TUoS (t)'!$I$22</f>
        <v>4.4600000000000001E-2</v>
      </c>
      <c r="L10" s="510">
        <f>'JSO (t)'!$I$22</f>
        <v>1.3899999999999999E-2</v>
      </c>
      <c r="M10" s="511">
        <f>SUM(J10:L10)</f>
        <v>0.16850000000000001</v>
      </c>
      <c r="N10" s="384">
        <f>'[21]Price Schedule 5 year'!N10</f>
        <v>0.1048813558388262</v>
      </c>
      <c r="O10" s="386">
        <f>'[21]Price Schedule 5 year'!O10</f>
        <v>4.4510386054376835E-2</v>
      </c>
      <c r="P10" s="386">
        <f>'[21]Price Schedule 5 year'!P10</f>
        <v>1.4350406650553617E-2</v>
      </c>
      <c r="Q10" s="387">
        <f>SUM(N10:P10)</f>
        <v>0.16374214854375665</v>
      </c>
      <c r="R10" s="384">
        <f>'[21]Price Schedule 5 year'!R10</f>
        <v>0.10242337424591755</v>
      </c>
      <c r="S10" s="386">
        <f>'[21]Price Schedule 5 year'!S10</f>
        <v>4.5752752403204575E-2</v>
      </c>
      <c r="T10" s="386">
        <f>'[21]Price Schedule 5 year'!T10</f>
        <v>1.4357746588475179E-2</v>
      </c>
      <c r="U10" s="387">
        <f>SUM(R10:T10)</f>
        <v>0.1625338732375973</v>
      </c>
      <c r="V10" s="385">
        <f>'[21]Price Schedule 5 year'!V10</f>
        <v>9.9906049206404682E-2</v>
      </c>
      <c r="W10" s="386">
        <f>'[21]Price Schedule 5 year'!W10</f>
        <v>4.702952290931034E-2</v>
      </c>
      <c r="X10" s="386">
        <f>'[21]Price Schedule 5 year'!X10</f>
        <v>1.4365350268937321E-2</v>
      </c>
      <c r="Y10" s="387">
        <f>SUM(V10:X10)</f>
        <v>0.16130092238465232</v>
      </c>
    </row>
    <row r="11" spans="1:25" ht="15.95" customHeight="1" x14ac:dyDescent="0.25">
      <c r="A11" s="367"/>
      <c r="B11" s="368"/>
      <c r="C11" s="350" t="str">
        <f>[20]Residential!B56</f>
        <v>Off-Pk Usage</v>
      </c>
      <c r="E11" s="350" t="s">
        <v>288</v>
      </c>
      <c r="F11" s="501">
        <f>'[15]2020-25 Pricing Schedule'!F11</f>
        <v>4.6199999999999998E-2</v>
      </c>
      <c r="G11" s="510">
        <f>'[15]2020-25 Pricing Schedule'!G11</f>
        <v>1.7000000000000001E-2</v>
      </c>
      <c r="H11" s="510">
        <f>'[15]2020-25 Pricing Schedule'!H11</f>
        <v>5.7999999999999996E-3</v>
      </c>
      <c r="I11" s="511">
        <f>SUM(F11:H11)</f>
        <v>6.9000000000000006E-2</v>
      </c>
      <c r="J11" s="501">
        <f>'DUoS (t)'!$J$22</f>
        <v>4.3999999999999997E-2</v>
      </c>
      <c r="K11" s="510">
        <f>'TUoS (t)'!$J$22</f>
        <v>1.7899999999999999E-2</v>
      </c>
      <c r="L11" s="510">
        <f>'JSO (t)'!$J$22</f>
        <v>5.5999999999999999E-3</v>
      </c>
      <c r="M11" s="511">
        <f>SUM(J11:L11)</f>
        <v>6.7499999999999991E-2</v>
      </c>
      <c r="N11" s="384">
        <f>'[21]Price Schedule 5 year'!N11</f>
        <v>4.1952542335530481E-2</v>
      </c>
      <c r="O11" s="386">
        <f>'[21]Price Schedule 5 year'!O11</f>
        <v>1.7804154421750734E-2</v>
      </c>
      <c r="P11" s="386">
        <f>'[21]Price Schedule 5 year'!P11</f>
        <v>5.740162660221447E-3</v>
      </c>
      <c r="Q11" s="387">
        <f>SUM(N11:P11)</f>
        <v>6.5496859417502662E-2</v>
      </c>
      <c r="R11" s="384">
        <f>'[21]Price Schedule 5 year'!R11</f>
        <v>4.0969349698367019E-2</v>
      </c>
      <c r="S11" s="386">
        <f>'[21]Price Schedule 5 year'!S11</f>
        <v>1.8301100961281829E-2</v>
      </c>
      <c r="T11" s="386">
        <f>'[21]Price Schedule 5 year'!T11</f>
        <v>5.7430986353900716E-3</v>
      </c>
      <c r="U11" s="387">
        <f>SUM(R11:T11)</f>
        <v>6.5013549295038928E-2</v>
      </c>
      <c r="V11" s="385">
        <f>'[21]Price Schedule 5 year'!V11</f>
        <v>3.9962419682561874E-2</v>
      </c>
      <c r="W11" s="386">
        <f>'[21]Price Schedule 5 year'!W11</f>
        <v>1.8811809163724137E-2</v>
      </c>
      <c r="X11" s="386">
        <f>'[21]Price Schedule 5 year'!X11</f>
        <v>5.7461401075749284E-3</v>
      </c>
      <c r="Y11" s="387">
        <f>SUM(V11:X11)</f>
        <v>6.4520368953860943E-2</v>
      </c>
    </row>
    <row r="12" spans="1:25" ht="15.95" customHeight="1" x14ac:dyDescent="0.25">
      <c r="A12" s="373"/>
      <c r="B12" s="374"/>
      <c r="C12" s="375" t="str">
        <f>[20]Residential!B57</f>
        <v>Solar Sponge Usage</v>
      </c>
      <c r="D12" s="375"/>
      <c r="E12" s="375" t="s">
        <v>288</v>
      </c>
      <c r="F12" s="504">
        <f>'[15]2020-25 Pricing Schedule'!F12</f>
        <v>2.3099999999999999E-2</v>
      </c>
      <c r="G12" s="512">
        <f>'[15]2020-25 Pricing Schedule'!G12</f>
        <v>8.5000000000000006E-3</v>
      </c>
      <c r="H12" s="512">
        <f>'[15]2020-25 Pricing Schedule'!H12</f>
        <v>2.8999999999999998E-3</v>
      </c>
      <c r="I12" s="513">
        <f>SUM(F12:H12)</f>
        <v>3.4500000000000003E-2</v>
      </c>
      <c r="J12" s="504">
        <f>'DUoS (t)'!$K$22</f>
        <v>2.1999999999999999E-2</v>
      </c>
      <c r="K12" s="512">
        <f>'TUoS (t)'!$K$22</f>
        <v>8.8999999999999999E-3</v>
      </c>
      <c r="L12" s="512">
        <f>'JSO (t)'!$K$22</f>
        <v>2.8E-3</v>
      </c>
      <c r="M12" s="513">
        <f>SUM(J12:L12)</f>
        <v>3.3699999999999994E-2</v>
      </c>
      <c r="N12" s="376">
        <f>'[21]Price Schedule 5 year'!N12</f>
        <v>2.097627116776524E-2</v>
      </c>
      <c r="O12" s="378">
        <f>'[21]Price Schedule 5 year'!O12</f>
        <v>8.9020772108753671E-3</v>
      </c>
      <c r="P12" s="378">
        <f>'[21]Price Schedule 5 year'!P12</f>
        <v>2.8700813301107235E-3</v>
      </c>
      <c r="Q12" s="379">
        <f>SUM(N12:P12)</f>
        <v>3.2748429708751331E-2</v>
      </c>
      <c r="R12" s="376">
        <f>'[21]Price Schedule 5 year'!R12</f>
        <v>2.048467484918351E-2</v>
      </c>
      <c r="S12" s="378">
        <f>'[21]Price Schedule 5 year'!S12</f>
        <v>9.1505504806409146E-3</v>
      </c>
      <c r="T12" s="378">
        <f>'[21]Price Schedule 5 year'!T12</f>
        <v>2.8715493176950358E-3</v>
      </c>
      <c r="U12" s="379">
        <f>SUM(R12:T12)</f>
        <v>3.2506774647519464E-2</v>
      </c>
      <c r="V12" s="377">
        <f>'[21]Price Schedule 5 year'!V12</f>
        <v>1.9981209841280937E-2</v>
      </c>
      <c r="W12" s="378">
        <f>'[21]Price Schedule 5 year'!W12</f>
        <v>9.4059045818620686E-3</v>
      </c>
      <c r="X12" s="378">
        <f>'[21]Price Schedule 5 year'!X12</f>
        <v>2.8730700537874642E-3</v>
      </c>
      <c r="Y12" s="379">
        <f>SUM(V12:X12)</f>
        <v>3.2260184476930472E-2</v>
      </c>
    </row>
    <row r="13" spans="1:25" ht="15.95" customHeight="1" x14ac:dyDescent="0.25">
      <c r="A13" s="361"/>
      <c r="B13" s="362" t="str">
        <f>[20]Residential!B60</f>
        <v>Residential Prosumer</v>
      </c>
      <c r="C13" s="363"/>
      <c r="D13" s="363"/>
      <c r="E13" s="363" t="s">
        <v>289</v>
      </c>
      <c r="F13" s="503"/>
      <c r="G13" s="508"/>
      <c r="H13" s="508"/>
      <c r="I13" s="509"/>
      <c r="J13" s="503"/>
      <c r="K13" s="508"/>
      <c r="L13" s="508"/>
      <c r="M13" s="509"/>
      <c r="N13" s="380">
        <f>'[21]Price Schedule 5 year'!N13</f>
        <v>0</v>
      </c>
      <c r="O13" s="382">
        <f>'[21]Price Schedule 5 year'!O13</f>
        <v>0</v>
      </c>
      <c r="P13" s="382">
        <f>'[21]Price Schedule 5 year'!P13</f>
        <v>0</v>
      </c>
      <c r="Q13" s="383"/>
      <c r="R13" s="380">
        <f>'[21]Price Schedule 5 year'!R13</f>
        <v>0</v>
      </c>
      <c r="S13" s="382">
        <f>'[21]Price Schedule 5 year'!S13</f>
        <v>0</v>
      </c>
      <c r="T13" s="382">
        <f>'[21]Price Schedule 5 year'!T13</f>
        <v>0</v>
      </c>
      <c r="U13" s="383"/>
      <c r="V13" s="381">
        <f>'[21]Price Schedule 5 year'!V13</f>
        <v>0</v>
      </c>
      <c r="W13" s="382">
        <f>'[21]Price Schedule 5 year'!W13</f>
        <v>0</v>
      </c>
      <c r="X13" s="382">
        <f>'[21]Price Schedule 5 year'!X13</f>
        <v>0</v>
      </c>
      <c r="Y13" s="383"/>
    </row>
    <row r="14" spans="1:25" ht="15.95" customHeight="1" x14ac:dyDescent="0.25">
      <c r="A14" s="367"/>
      <c r="B14" s="368"/>
      <c r="C14" s="350" t="str">
        <f>[20]Residential!B61</f>
        <v>Customers/Supply Ch</v>
      </c>
      <c r="E14" s="350" t="s">
        <v>287</v>
      </c>
      <c r="F14" s="727">
        <f>'[15]2020-25 Pricing Schedule'!F14</f>
        <v>155.0155</v>
      </c>
      <c r="G14" s="728">
        <f>'[15]2020-25 Pricing Schedule'!G14</f>
        <v>0</v>
      </c>
      <c r="H14" s="728">
        <f>'[15]2020-25 Pricing Schedule'!H14</f>
        <v>15.001499999999998</v>
      </c>
      <c r="I14" s="729">
        <f>SUM(F14:H14)</f>
        <v>170.017</v>
      </c>
      <c r="J14" s="727">
        <f>'DUoS (t)'!$G$24*Days_Year</f>
        <v>165.01650000000001</v>
      </c>
      <c r="K14" s="728">
        <f>'TUoS (t)'!$G$24*Days_Year</f>
        <v>0</v>
      </c>
      <c r="L14" s="728">
        <f>'JSO (t)'!$G$24*Days_Year</f>
        <v>15.001499999999998</v>
      </c>
      <c r="M14" s="729">
        <f>SUM(J14:L14)</f>
        <v>180.018</v>
      </c>
      <c r="N14" s="369">
        <f>'[21]Price Schedule 5 year'!N14</f>
        <v>175.00219999999999</v>
      </c>
      <c r="O14" s="371">
        <f>'[21]Price Schedule 5 year'!O14</f>
        <v>0</v>
      </c>
      <c r="P14" s="371">
        <f>'[21]Price Schedule 5 year'!P14</f>
        <v>15</v>
      </c>
      <c r="Q14" s="372">
        <f>SUM(N14:P14)</f>
        <v>190.00219999999999</v>
      </c>
      <c r="R14" s="369">
        <f>'[21]Price Schedule 5 year'!R14</f>
        <v>185.00219999999999</v>
      </c>
      <c r="S14" s="371">
        <f>'[21]Price Schedule 5 year'!S14</f>
        <v>0</v>
      </c>
      <c r="T14" s="371">
        <f>'[21]Price Schedule 5 year'!T14</f>
        <v>15</v>
      </c>
      <c r="U14" s="372">
        <f>SUM(R14:T14)</f>
        <v>200.00219999999999</v>
      </c>
      <c r="V14" s="370">
        <f>'[21]Price Schedule 5 year'!V14</f>
        <v>195.00219999999999</v>
      </c>
      <c r="W14" s="371">
        <f>'[21]Price Schedule 5 year'!W14</f>
        <v>0</v>
      </c>
      <c r="X14" s="371">
        <f>'[21]Price Schedule 5 year'!X14</f>
        <v>15</v>
      </c>
      <c r="Y14" s="372">
        <f>SUM(V14:X14)</f>
        <v>210.00219999999999</v>
      </c>
    </row>
    <row r="15" spans="1:25" ht="15.95" customHeight="1" x14ac:dyDescent="0.25">
      <c r="A15" s="367"/>
      <c r="B15" s="368"/>
      <c r="C15" s="350" t="str">
        <f>[20]Residential!B62</f>
        <v>Peak Usage</v>
      </c>
      <c r="E15" s="350" t="s">
        <v>288</v>
      </c>
      <c r="F15" s="501">
        <f>'[15]2020-25 Pricing Schedule'!F15</f>
        <v>6.9199999999999998E-2</v>
      </c>
      <c r="G15" s="510">
        <f>'[15]2020-25 Pricing Schedule'!G15</f>
        <v>2.5399999999999999E-2</v>
      </c>
      <c r="H15" s="510">
        <f>'[15]2020-25 Pricing Schedule'!H15</f>
        <v>8.6999999999999994E-3</v>
      </c>
      <c r="I15" s="511">
        <f>SUM(F15:H15)</f>
        <v>0.10329999999999999</v>
      </c>
      <c r="J15" s="501">
        <f>'DUoS (t)'!$I$24</f>
        <v>6.59E-2</v>
      </c>
      <c r="K15" s="510">
        <f>'TUoS (t)'!$I$24</f>
        <v>2.6700000000000002E-2</v>
      </c>
      <c r="L15" s="510">
        <f>'JSO (t)'!$I$24</f>
        <v>8.3000000000000001E-3</v>
      </c>
      <c r="M15" s="511">
        <f>SUM(J15:L15)</f>
        <v>0.1009</v>
      </c>
      <c r="N15" s="384">
        <f>'[21]Price Schedule 5 year'!N15</f>
        <v>6.2928813503295725E-2</v>
      </c>
      <c r="O15" s="386">
        <f>'[21]Price Schedule 5 year'!O15</f>
        <v>2.6706231632626101E-2</v>
      </c>
      <c r="P15" s="386">
        <f>'[21]Price Schedule 5 year'!P15</f>
        <v>8.6102439903321705E-3</v>
      </c>
      <c r="Q15" s="387">
        <f>SUM(N15:P15)</f>
        <v>9.8245289126253993E-2</v>
      </c>
      <c r="R15" s="384">
        <f>'[21]Price Schedule 5 year'!R15</f>
        <v>6.1454024547550529E-2</v>
      </c>
      <c r="S15" s="386">
        <f>'[21]Price Schedule 5 year'!S15</f>
        <v>2.7451651441922742E-2</v>
      </c>
      <c r="T15" s="386">
        <f>'[21]Price Schedule 5 year'!T15</f>
        <v>8.6146479530851069E-3</v>
      </c>
      <c r="U15" s="387">
        <f>SUM(R15:T15)</f>
        <v>9.7520323942558385E-2</v>
      </c>
      <c r="V15" s="385">
        <f>'[21]Price Schedule 5 year'!V15</f>
        <v>5.9943629523842815E-2</v>
      </c>
      <c r="W15" s="386">
        <f>'[21]Price Schedule 5 year'!W15</f>
        <v>2.8217713745586206E-2</v>
      </c>
      <c r="X15" s="386">
        <f>'[21]Price Schedule 5 year'!X15</f>
        <v>8.6192101613623926E-3</v>
      </c>
      <c r="Y15" s="387">
        <f>SUM(V15:X15)</f>
        <v>9.6780553430791422E-2</v>
      </c>
    </row>
    <row r="16" spans="1:25" ht="15.95" customHeight="1" x14ac:dyDescent="0.25">
      <c r="A16" s="367"/>
      <c r="B16" s="368"/>
      <c r="C16" s="350" t="str">
        <f>[20]Residential!B63</f>
        <v>Off-Pk Usage</v>
      </c>
      <c r="E16" s="350" t="s">
        <v>288</v>
      </c>
      <c r="F16" s="501">
        <f>'[15]2020-25 Pricing Schedule'!F16</f>
        <v>2.7699999999999999E-2</v>
      </c>
      <c r="G16" s="510">
        <f>'[15]2020-25 Pricing Schedule'!G16</f>
        <v>1.0200000000000001E-2</v>
      </c>
      <c r="H16" s="510">
        <f>'[15]2020-25 Pricing Schedule'!H16</f>
        <v>3.5000000000000001E-3</v>
      </c>
      <c r="I16" s="511">
        <f>SUM(F16:H16)</f>
        <v>4.1400000000000006E-2</v>
      </c>
      <c r="J16" s="501">
        <f>'DUoS (t)'!$J$24</f>
        <v>2.64E-2</v>
      </c>
      <c r="K16" s="510">
        <f>'TUoS (t)'!$J$24</f>
        <v>1.0699999999999999E-2</v>
      </c>
      <c r="L16" s="510">
        <f>'JSO (t)'!$J$24</f>
        <v>3.3E-3</v>
      </c>
      <c r="M16" s="511">
        <f>SUM(J16:L16)</f>
        <v>4.0399999999999998E-2</v>
      </c>
      <c r="N16" s="384">
        <f>'[21]Price Schedule 5 year'!N16</f>
        <v>2.5171525401318288E-2</v>
      </c>
      <c r="O16" s="386">
        <f>'[21]Price Schedule 5 year'!O16</f>
        <v>1.068249265305044E-2</v>
      </c>
      <c r="P16" s="386">
        <f>'[21]Price Schedule 5 year'!P16</f>
        <v>3.444097596132868E-3</v>
      </c>
      <c r="Q16" s="387">
        <f>SUM(N16:P16)</f>
        <v>3.9298115650501592E-2</v>
      </c>
      <c r="R16" s="384">
        <f>'[21]Price Schedule 5 year'!R16</f>
        <v>2.458160981902021E-2</v>
      </c>
      <c r="S16" s="386">
        <f>'[21]Price Schedule 5 year'!S16</f>
        <v>1.0980660576769097E-2</v>
      </c>
      <c r="T16" s="386">
        <f>'[21]Price Schedule 5 year'!T16</f>
        <v>3.4458591812340429E-3</v>
      </c>
      <c r="U16" s="387">
        <f>SUM(R16:T16)</f>
        <v>3.9008129577023355E-2</v>
      </c>
      <c r="V16" s="385">
        <f>'[21]Price Schedule 5 year'!V16</f>
        <v>2.3977451809537125E-2</v>
      </c>
      <c r="W16" s="386">
        <f>'[21]Price Schedule 5 year'!W16</f>
        <v>1.1287085498234482E-2</v>
      </c>
      <c r="X16" s="386">
        <f>'[21]Price Schedule 5 year'!X16</f>
        <v>3.447684064544957E-3</v>
      </c>
      <c r="Y16" s="387">
        <f>SUM(V16:X16)</f>
        <v>3.8712221372316565E-2</v>
      </c>
    </row>
    <row r="17" spans="1:25" ht="15.95" customHeight="1" x14ac:dyDescent="0.25">
      <c r="A17" s="367"/>
      <c r="B17" s="368"/>
      <c r="C17" s="350" t="str">
        <f>[20]Residential!B64</f>
        <v>Solar Sponge Usage</v>
      </c>
      <c r="E17" s="350" t="s">
        <v>288</v>
      </c>
      <c r="F17" s="501">
        <f>'[15]2020-25 Pricing Schedule'!F17</f>
        <v>1.38E-2</v>
      </c>
      <c r="G17" s="510">
        <f>'[15]2020-25 Pricing Schedule'!G17</f>
        <v>5.1000000000000004E-3</v>
      </c>
      <c r="H17" s="510">
        <f>'[15]2020-25 Pricing Schedule'!H17</f>
        <v>1.6999999999999999E-3</v>
      </c>
      <c r="I17" s="511">
        <f>SUM(F17:H17)</f>
        <v>2.06E-2</v>
      </c>
      <c r="J17" s="501">
        <f>'DUoS (t)'!$K$24</f>
        <v>1.3100000000000001E-2</v>
      </c>
      <c r="K17" s="510">
        <f>'TUoS (t)'!$K$24</f>
        <v>5.4000000000000003E-3</v>
      </c>
      <c r="L17" s="510">
        <f>'JSO (t)'!$K$24</f>
        <v>1.6000000000000001E-3</v>
      </c>
      <c r="M17" s="511">
        <f>SUM(J17:L17)</f>
        <v>2.0100000000000003E-2</v>
      </c>
      <c r="N17" s="384">
        <f>'[21]Price Schedule 5 year'!N17</f>
        <v>1.2585762700659144E-2</v>
      </c>
      <c r="O17" s="386">
        <f>'[21]Price Schedule 5 year'!O17</f>
        <v>5.3412463265252201E-3</v>
      </c>
      <c r="P17" s="386">
        <f>'[21]Price Schedule 5 year'!P17</f>
        <v>1.722048798066434E-3</v>
      </c>
      <c r="Q17" s="387">
        <f>SUM(N17:P17)</f>
        <v>1.9649057825250796E-2</v>
      </c>
      <c r="R17" s="384">
        <f>'[21]Price Schedule 5 year'!R17</f>
        <v>1.2290804909510105E-2</v>
      </c>
      <c r="S17" s="386">
        <f>'[21]Price Schedule 5 year'!S17</f>
        <v>5.4903302883845487E-3</v>
      </c>
      <c r="T17" s="386">
        <f>'[21]Price Schedule 5 year'!T17</f>
        <v>1.7229295906170214E-3</v>
      </c>
      <c r="U17" s="387">
        <f>SUM(R17:T17)</f>
        <v>1.9504064788511678E-2</v>
      </c>
      <c r="V17" s="385">
        <f>'[21]Price Schedule 5 year'!V17</f>
        <v>1.1988725904768563E-2</v>
      </c>
      <c r="W17" s="386">
        <f>'[21]Price Schedule 5 year'!W17</f>
        <v>5.643542749117241E-3</v>
      </c>
      <c r="X17" s="386">
        <f>'[21]Price Schedule 5 year'!X17</f>
        <v>1.7238420322724785E-3</v>
      </c>
      <c r="Y17" s="387">
        <f>SUM(V17:X17)</f>
        <v>1.9356110686158282E-2</v>
      </c>
    </row>
    <row r="18" spans="1:25" ht="15.95" customHeight="1" x14ac:dyDescent="0.25">
      <c r="A18" s="373"/>
      <c r="B18" s="374"/>
      <c r="C18" s="375" t="str">
        <f>[20]Residential!B65</f>
        <v>Summer Demand</v>
      </c>
      <c r="D18" s="375">
        <v>1</v>
      </c>
      <c r="E18" s="375" t="s">
        <v>668</v>
      </c>
      <c r="F18" s="809">
        <f>'[15]2020-25 Pricing Schedule'!F18</f>
        <v>15.49864</v>
      </c>
      <c r="G18" s="810">
        <f>'[15]2020-25 Pricing Schedule'!G18</f>
        <v>5.6987399999999999</v>
      </c>
      <c r="H18" s="810">
        <f>'[15]2020-25 Pricing Schedule'!H18</f>
        <v>1.9388399999999997</v>
      </c>
      <c r="I18" s="811">
        <f>SUM(F18:H18)</f>
        <v>23.136219999999998</v>
      </c>
      <c r="J18" s="809">
        <f>'DUoS (t)'!$U$24*Days_Summer_Demand/5</f>
        <v>14.767799999999999</v>
      </c>
      <c r="K18" s="810">
        <f>'TUoS (t)'!$U$24*Days_Summer_Demand/5</f>
        <v>5.9916799999999997</v>
      </c>
      <c r="L18" s="810">
        <f>'JSO (t)'!$U$24*Days_Summer_Demand/5</f>
        <v>1.8542799999999999</v>
      </c>
      <c r="M18" s="811">
        <f>SUM(J18:L18)</f>
        <v>22.613759999999999</v>
      </c>
      <c r="N18" s="388">
        <f>'[21]Price Schedule 5 year'!N18</f>
        <v>14.1</v>
      </c>
      <c r="O18" s="390">
        <f>'[21]Price Schedule 5 year'!O18</f>
        <v>5.9799999999999995</v>
      </c>
      <c r="P18" s="390">
        <f>'[21]Price Schedule 5 year'!P18</f>
        <v>1.92</v>
      </c>
      <c r="Q18" s="391">
        <f>SUM(N18:P18)</f>
        <v>22</v>
      </c>
      <c r="R18" s="388">
        <f>'[21]Price Schedule 5 year'!R18</f>
        <v>13.76</v>
      </c>
      <c r="S18" s="390">
        <f>'[21]Price Schedule 5 year'!S18</f>
        <v>6.14</v>
      </c>
      <c r="T18" s="390">
        <f>'[21]Price Schedule 5 year'!T18</f>
        <v>1.92</v>
      </c>
      <c r="U18" s="391">
        <f>SUM(R18:T18)</f>
        <v>21.82</v>
      </c>
      <c r="V18" s="389">
        <f>'[21]Price Schedule 5 year'!V18</f>
        <v>13.419999999999998</v>
      </c>
      <c r="W18" s="390">
        <f>'[21]Price Schedule 5 year'!W18</f>
        <v>6.32</v>
      </c>
      <c r="X18" s="390">
        <f>'[21]Price Schedule 5 year'!X18</f>
        <v>1.92</v>
      </c>
      <c r="Y18" s="391">
        <f>SUM(V18:X18)</f>
        <v>21.659999999999997</v>
      </c>
    </row>
    <row r="19" spans="1:25" ht="15.95" customHeight="1" x14ac:dyDescent="0.25">
      <c r="A19" s="361"/>
      <c r="B19" s="362" t="str">
        <f>[20]Residential!B68</f>
        <v>OPCL Hot Water Type 5, 6</v>
      </c>
      <c r="C19" s="363"/>
      <c r="D19" s="363"/>
      <c r="E19" s="363" t="s">
        <v>286</v>
      </c>
      <c r="F19" s="503"/>
      <c r="G19" s="508"/>
      <c r="H19" s="508"/>
      <c r="I19" s="509"/>
      <c r="J19" s="503"/>
      <c r="K19" s="508"/>
      <c r="L19" s="508"/>
      <c r="M19" s="509"/>
      <c r="N19" s="380">
        <f>'[21]Price Schedule 5 year'!N19</f>
        <v>0</v>
      </c>
      <c r="O19" s="382">
        <f>'[21]Price Schedule 5 year'!O19</f>
        <v>0</v>
      </c>
      <c r="P19" s="382">
        <f>'[21]Price Schedule 5 year'!P19</f>
        <v>0</v>
      </c>
      <c r="Q19" s="383"/>
      <c r="R19" s="380">
        <f>'[21]Price Schedule 5 year'!R19</f>
        <v>0</v>
      </c>
      <c r="S19" s="382">
        <f>'[21]Price Schedule 5 year'!S19</f>
        <v>0</v>
      </c>
      <c r="T19" s="382">
        <f>'[21]Price Schedule 5 year'!T19</f>
        <v>0</v>
      </c>
      <c r="U19" s="383"/>
      <c r="V19" s="381">
        <f>'[21]Price Schedule 5 year'!V19</f>
        <v>0</v>
      </c>
      <c r="W19" s="382">
        <f>'[21]Price Schedule 5 year'!W19</f>
        <v>0</v>
      </c>
      <c r="X19" s="382">
        <f>'[21]Price Schedule 5 year'!X19</f>
        <v>0</v>
      </c>
      <c r="Y19" s="383"/>
    </row>
    <row r="20" spans="1:25" ht="15.95" customHeight="1" x14ac:dyDescent="0.25">
      <c r="A20" s="373"/>
      <c r="B20" s="374"/>
      <c r="C20" s="375" t="str">
        <f>[20]Residential!B69</f>
        <v>Usage</v>
      </c>
      <c r="D20" s="375"/>
      <c r="E20" s="375" t="s">
        <v>288</v>
      </c>
      <c r="F20" s="504">
        <f>'[15]2020-25 Pricing Schedule'!F20</f>
        <v>4.6199999999999998E-2</v>
      </c>
      <c r="G20" s="512">
        <f>'[15]2020-25 Pricing Schedule'!G20</f>
        <v>1.7000000000000001E-2</v>
      </c>
      <c r="H20" s="512">
        <f>'[15]2020-25 Pricing Schedule'!H20</f>
        <v>5.7999999999999996E-3</v>
      </c>
      <c r="I20" s="513">
        <f>SUM(F20:H20)</f>
        <v>6.9000000000000006E-2</v>
      </c>
      <c r="J20" s="504">
        <f>'DUoS (t)'!$L$19</f>
        <v>4.3999999999999997E-2</v>
      </c>
      <c r="K20" s="512">
        <f>'TUoS (t)'!$L$19</f>
        <v>1.7899999999999999E-2</v>
      </c>
      <c r="L20" s="512">
        <f>'JSO (t)'!$L$19</f>
        <v>5.5999999999999999E-3</v>
      </c>
      <c r="M20" s="513">
        <f>SUM(J20:L20)</f>
        <v>6.7499999999999991E-2</v>
      </c>
      <c r="N20" s="376">
        <f>'[21]Price Schedule 5 year'!N20</f>
        <v>4.1952542335530481E-2</v>
      </c>
      <c r="O20" s="378">
        <f>'[21]Price Schedule 5 year'!O20</f>
        <v>1.7804154421750734E-2</v>
      </c>
      <c r="P20" s="378">
        <f>'[21]Price Schedule 5 year'!P20</f>
        <v>5.740162660221447E-3</v>
      </c>
      <c r="Q20" s="379">
        <f>SUM(N20:P20)</f>
        <v>6.5496859417502662E-2</v>
      </c>
      <c r="R20" s="376">
        <f>'[21]Price Schedule 5 year'!R20</f>
        <v>4.0969349698367019E-2</v>
      </c>
      <c r="S20" s="378">
        <f>'[21]Price Schedule 5 year'!S20</f>
        <v>1.8301100961281829E-2</v>
      </c>
      <c r="T20" s="378">
        <f>'[21]Price Schedule 5 year'!T20</f>
        <v>5.7430986353900716E-3</v>
      </c>
      <c r="U20" s="379">
        <f>SUM(R20:T20)</f>
        <v>6.5013549295038928E-2</v>
      </c>
      <c r="V20" s="377">
        <f>'[21]Price Schedule 5 year'!V20</f>
        <v>3.9962419682561874E-2</v>
      </c>
      <c r="W20" s="378">
        <f>'[21]Price Schedule 5 year'!W20</f>
        <v>1.8811809163724137E-2</v>
      </c>
      <c r="X20" s="378">
        <f>'[21]Price Schedule 5 year'!X20</f>
        <v>5.7461401075749284E-3</v>
      </c>
      <c r="Y20" s="379">
        <f>SUM(V20:X20)</f>
        <v>6.4520368953860943E-2</v>
      </c>
    </row>
    <row r="21" spans="1:25" ht="15.95" customHeight="1" x14ac:dyDescent="0.25">
      <c r="A21" s="367"/>
      <c r="B21" s="368" t="str">
        <f>[20]Residential!B72</f>
        <v>OPCL Hot Water Type 4</v>
      </c>
      <c r="E21" s="350" t="s">
        <v>290</v>
      </c>
      <c r="F21" s="501"/>
      <c r="G21" s="510"/>
      <c r="H21" s="510"/>
      <c r="I21" s="511"/>
      <c r="J21" s="501"/>
      <c r="K21" s="510"/>
      <c r="L21" s="510"/>
      <c r="M21" s="511"/>
      <c r="N21" s="384">
        <f>'[21]Price Schedule 5 year'!N21</f>
        <v>0</v>
      </c>
      <c r="O21" s="386">
        <f>'[21]Price Schedule 5 year'!O21</f>
        <v>0</v>
      </c>
      <c r="P21" s="386">
        <f>'[21]Price Schedule 5 year'!P21</f>
        <v>0</v>
      </c>
      <c r="Q21" s="387"/>
      <c r="R21" s="384">
        <f>'[21]Price Schedule 5 year'!R21</f>
        <v>0</v>
      </c>
      <c r="S21" s="386">
        <f>'[21]Price Schedule 5 year'!S21</f>
        <v>0</v>
      </c>
      <c r="T21" s="386">
        <f>'[21]Price Schedule 5 year'!T21</f>
        <v>0</v>
      </c>
      <c r="U21" s="387"/>
      <c r="V21" s="385">
        <f>'[21]Price Schedule 5 year'!V21</f>
        <v>0</v>
      </c>
      <c r="W21" s="386">
        <f>'[21]Price Schedule 5 year'!W21</f>
        <v>0</v>
      </c>
      <c r="X21" s="386">
        <f>'[21]Price Schedule 5 year'!X21</f>
        <v>0</v>
      </c>
      <c r="Y21" s="387"/>
    </row>
    <row r="22" spans="1:25" ht="15.95" customHeight="1" x14ac:dyDescent="0.25">
      <c r="A22" s="367"/>
      <c r="C22" s="350" t="str">
        <f>[20]Residential!B73</f>
        <v>Peak Usage</v>
      </c>
      <c r="E22" s="350" t="s">
        <v>288</v>
      </c>
      <c r="F22" s="501">
        <f>'[15]2020-25 Pricing Schedule'!F22</f>
        <v>0.1154</v>
      </c>
      <c r="G22" s="510">
        <f>'[15]2020-25 Pricing Schedule'!G22</f>
        <v>4.24E-2</v>
      </c>
      <c r="H22" s="510">
        <f>'[15]2020-25 Pricing Schedule'!H22</f>
        <v>1.4500000000000001E-2</v>
      </c>
      <c r="I22" s="511">
        <f>SUM(F22:H22)</f>
        <v>0.17230000000000001</v>
      </c>
      <c r="J22" s="501">
        <f>'DUoS (t)'!$M$23</f>
        <v>0.11</v>
      </c>
      <c r="K22" s="510">
        <f>'TUoS (t)'!$M$23</f>
        <v>4.4600000000000001E-2</v>
      </c>
      <c r="L22" s="510">
        <f>'JSO (t)'!$M$23</f>
        <v>1.3899999999999999E-2</v>
      </c>
      <c r="M22" s="511">
        <f>SUM(J22:L22)</f>
        <v>0.16850000000000001</v>
      </c>
      <c r="N22" s="384">
        <f>'[21]Price Schedule 5 year'!N22</f>
        <v>0.1048813558388262</v>
      </c>
      <c r="O22" s="386">
        <f>'[21]Price Schedule 5 year'!O22</f>
        <v>4.4510386054376835E-2</v>
      </c>
      <c r="P22" s="386">
        <f>'[21]Price Schedule 5 year'!P22</f>
        <v>1.4350406650553617E-2</v>
      </c>
      <c r="Q22" s="387">
        <f>SUM(N22:P22)</f>
        <v>0.16374214854375665</v>
      </c>
      <c r="R22" s="384">
        <f>'[21]Price Schedule 5 year'!R22</f>
        <v>0.10242337424591755</v>
      </c>
      <c r="S22" s="386">
        <f>'[21]Price Schedule 5 year'!S22</f>
        <v>4.5752752403204575E-2</v>
      </c>
      <c r="T22" s="386">
        <f>'[21]Price Schedule 5 year'!T22</f>
        <v>1.4357746588475179E-2</v>
      </c>
      <c r="U22" s="387">
        <f>SUM(R22:T22)</f>
        <v>0.1625338732375973</v>
      </c>
      <c r="V22" s="385">
        <f>'[21]Price Schedule 5 year'!V22</f>
        <v>9.9906049206404682E-2</v>
      </c>
      <c r="W22" s="386">
        <f>'[21]Price Schedule 5 year'!W22</f>
        <v>4.702952290931034E-2</v>
      </c>
      <c r="X22" s="386">
        <f>'[21]Price Schedule 5 year'!X22</f>
        <v>1.4365350268937321E-2</v>
      </c>
      <c r="Y22" s="387">
        <f>SUM(V22:X22)</f>
        <v>0.16130092238465232</v>
      </c>
    </row>
    <row r="23" spans="1:25" ht="15.95" customHeight="1" x14ac:dyDescent="0.25">
      <c r="A23" s="367"/>
      <c r="C23" s="350" t="str">
        <f>[20]Residential!B74</f>
        <v>Off-Pk Usage</v>
      </c>
      <c r="E23" s="350" t="s">
        <v>288</v>
      </c>
      <c r="F23" s="501">
        <f>'[15]2020-25 Pricing Schedule'!F23</f>
        <v>4.6199999999999998E-2</v>
      </c>
      <c r="G23" s="510">
        <f>'[15]2020-25 Pricing Schedule'!G23</f>
        <v>1.7000000000000001E-2</v>
      </c>
      <c r="H23" s="510">
        <f>'[15]2020-25 Pricing Schedule'!H23</f>
        <v>5.7999999999999996E-3</v>
      </c>
      <c r="I23" s="511">
        <f>SUM(F23:H23)</f>
        <v>6.9000000000000006E-2</v>
      </c>
      <c r="J23" s="501">
        <f>'DUoS (t)'!$N$23</f>
        <v>4.3999999999999997E-2</v>
      </c>
      <c r="K23" s="510">
        <f>'TUoS (t)'!$N$23</f>
        <v>1.7899999999999999E-2</v>
      </c>
      <c r="L23" s="510">
        <f>'JSO (t)'!$N$23</f>
        <v>5.5999999999999999E-3</v>
      </c>
      <c r="M23" s="511">
        <f>SUM(J23:L23)</f>
        <v>6.7499999999999991E-2</v>
      </c>
      <c r="N23" s="384">
        <f>'[21]Price Schedule 5 year'!N23</f>
        <v>4.1952542335530481E-2</v>
      </c>
      <c r="O23" s="386">
        <f>'[21]Price Schedule 5 year'!O23</f>
        <v>1.7804154421750734E-2</v>
      </c>
      <c r="P23" s="386">
        <f>'[21]Price Schedule 5 year'!P23</f>
        <v>5.740162660221447E-3</v>
      </c>
      <c r="Q23" s="387">
        <f>SUM(N23:P23)</f>
        <v>6.5496859417502662E-2</v>
      </c>
      <c r="R23" s="384">
        <f>'[21]Price Schedule 5 year'!R23</f>
        <v>4.0969349698367019E-2</v>
      </c>
      <c r="S23" s="386">
        <f>'[21]Price Schedule 5 year'!S23</f>
        <v>1.8301100961281829E-2</v>
      </c>
      <c r="T23" s="386">
        <f>'[21]Price Schedule 5 year'!T23</f>
        <v>5.7430986353900716E-3</v>
      </c>
      <c r="U23" s="387">
        <f>SUM(R23:T23)</f>
        <v>6.5013549295038928E-2</v>
      </c>
      <c r="V23" s="385">
        <f>'[21]Price Schedule 5 year'!V23</f>
        <v>3.9962419682561874E-2</v>
      </c>
      <c r="W23" s="386">
        <f>'[21]Price Schedule 5 year'!W23</f>
        <v>1.8811809163724137E-2</v>
      </c>
      <c r="X23" s="386">
        <f>'[21]Price Schedule 5 year'!X23</f>
        <v>5.7461401075749284E-3</v>
      </c>
      <c r="Y23" s="387">
        <f>SUM(V23:X23)</f>
        <v>6.4520368953860943E-2</v>
      </c>
    </row>
    <row r="24" spans="1:25" ht="15.95" customHeight="1" thickBot="1" x14ac:dyDescent="0.3">
      <c r="A24" s="392"/>
      <c r="B24" s="393"/>
      <c r="C24" s="393" t="str">
        <f>[20]Residential!B75</f>
        <v>Solar Sponge Usage</v>
      </c>
      <c r="D24" s="393"/>
      <c r="E24" s="393" t="s">
        <v>288</v>
      </c>
      <c r="F24" s="505">
        <f>'[15]2020-25 Pricing Schedule'!F24</f>
        <v>2.3099999999999999E-2</v>
      </c>
      <c r="G24" s="514">
        <f>'[15]2020-25 Pricing Schedule'!G24</f>
        <v>8.5000000000000006E-3</v>
      </c>
      <c r="H24" s="514">
        <f>'[15]2020-25 Pricing Schedule'!H24</f>
        <v>2.8999999999999998E-3</v>
      </c>
      <c r="I24" s="515">
        <f>SUM(F24:H24)</f>
        <v>3.4500000000000003E-2</v>
      </c>
      <c r="J24" s="505">
        <f>'DUoS (t)'!$O$23</f>
        <v>2.1999999999999999E-2</v>
      </c>
      <c r="K24" s="514">
        <f>'TUoS (t)'!$O$23</f>
        <v>8.8999999999999999E-3</v>
      </c>
      <c r="L24" s="514">
        <f>'JSO (t)'!$O$23</f>
        <v>2.8E-3</v>
      </c>
      <c r="M24" s="515">
        <f>SUM(J24:L24)</f>
        <v>3.3699999999999994E-2</v>
      </c>
      <c r="N24" s="394">
        <f>'[21]Price Schedule 5 year'!N24</f>
        <v>2.097627116776524E-2</v>
      </c>
      <c r="O24" s="396">
        <f>'[21]Price Schedule 5 year'!O24</f>
        <v>8.9020772108753671E-3</v>
      </c>
      <c r="P24" s="396">
        <f>'[21]Price Schedule 5 year'!P24</f>
        <v>2.8700813301107235E-3</v>
      </c>
      <c r="Q24" s="397">
        <f>SUM(N24:P24)</f>
        <v>3.2748429708751331E-2</v>
      </c>
      <c r="R24" s="394">
        <f>'[21]Price Schedule 5 year'!R24</f>
        <v>2.048467484918351E-2</v>
      </c>
      <c r="S24" s="396">
        <f>'[21]Price Schedule 5 year'!S24</f>
        <v>9.1505504806409146E-3</v>
      </c>
      <c r="T24" s="396">
        <f>'[21]Price Schedule 5 year'!T24</f>
        <v>2.8715493176950358E-3</v>
      </c>
      <c r="U24" s="397">
        <f>SUM(R24:T24)</f>
        <v>3.2506774647519464E-2</v>
      </c>
      <c r="V24" s="395">
        <f>'[21]Price Schedule 5 year'!V24</f>
        <v>1.9981209841280937E-2</v>
      </c>
      <c r="W24" s="396">
        <f>'[21]Price Schedule 5 year'!W24</f>
        <v>9.4059045818620686E-3</v>
      </c>
      <c r="X24" s="396">
        <f>'[21]Price Schedule 5 year'!X24</f>
        <v>2.8730700537874642E-3</v>
      </c>
      <c r="Y24" s="397">
        <f>SUM(V24:X24)</f>
        <v>3.2260184476930472E-2</v>
      </c>
    </row>
    <row r="25" spans="1:25" ht="15.75" x14ac:dyDescent="0.25">
      <c r="A25" s="352" t="str">
        <f>'[20]Small Bus'!A2</f>
        <v>Small Business Customers</v>
      </c>
      <c r="B25" s="357"/>
      <c r="C25" s="357"/>
      <c r="D25" s="357"/>
      <c r="E25" s="357"/>
      <c r="F25" s="502"/>
      <c r="G25" s="506"/>
      <c r="H25" s="506"/>
      <c r="I25" s="507"/>
      <c r="J25" s="502"/>
      <c r="K25" s="506"/>
      <c r="L25" s="506"/>
      <c r="M25" s="507"/>
      <c r="N25" s="358"/>
      <c r="O25" s="357"/>
      <c r="P25" s="357"/>
      <c r="Q25" s="360"/>
      <c r="R25" s="358"/>
      <c r="S25" s="357"/>
      <c r="T25" s="357"/>
      <c r="U25" s="360"/>
      <c r="V25" s="359"/>
      <c r="W25" s="357"/>
      <c r="X25" s="357"/>
      <c r="Y25" s="360"/>
    </row>
    <row r="26" spans="1:25" x14ac:dyDescent="0.25">
      <c r="A26" s="361"/>
      <c r="B26" s="362" t="str">
        <f>'[20]Small Bus'!B68</f>
        <v>Business Single Type 6</v>
      </c>
      <c r="C26" s="363"/>
      <c r="D26" s="363"/>
      <c r="E26" s="363" t="s">
        <v>286</v>
      </c>
      <c r="F26" s="817" t="s">
        <v>674</v>
      </c>
      <c r="G26" s="508"/>
      <c r="H26" s="508"/>
      <c r="I26" s="509"/>
      <c r="J26" s="816" t="s">
        <v>286</v>
      </c>
      <c r="K26" s="508"/>
      <c r="L26" s="508"/>
      <c r="M26" s="509"/>
      <c r="N26" s="816" t="s">
        <v>286</v>
      </c>
      <c r="O26" s="363"/>
      <c r="P26" s="363"/>
      <c r="Q26" s="366"/>
      <c r="R26" s="816" t="s">
        <v>286</v>
      </c>
      <c r="S26" s="363"/>
      <c r="T26" s="363"/>
      <c r="U26" s="366"/>
      <c r="V26" s="816" t="s">
        <v>286</v>
      </c>
      <c r="W26" s="363"/>
      <c r="X26" s="363"/>
      <c r="Y26" s="366"/>
    </row>
    <row r="27" spans="1:25" x14ac:dyDescent="0.25">
      <c r="A27" s="367"/>
      <c r="B27" s="368"/>
      <c r="C27" s="350" t="str">
        <f>'[20]Small Bus'!B69</f>
        <v>Customers/Supply Ch</v>
      </c>
      <c r="E27" s="350" t="s">
        <v>287</v>
      </c>
      <c r="F27" s="727">
        <f>'[15]2020-25 Pricing Schedule'!F27</f>
        <v>169.98050000000001</v>
      </c>
      <c r="G27" s="728">
        <f>'[15]2020-25 Pricing Schedule'!G27</f>
        <v>0</v>
      </c>
      <c r="H27" s="728">
        <f>'[15]2020-25 Pricing Schedule'!H27</f>
        <v>15.001499999999998</v>
      </c>
      <c r="I27" s="729">
        <f>SUM(F27:H27)</f>
        <v>184.982</v>
      </c>
      <c r="J27" s="727">
        <f>'DUoS (t)'!$G$33*365</f>
        <v>189.98249999999999</v>
      </c>
      <c r="K27" s="728">
        <f>'TUoS (t)'!$G$33*365</f>
        <v>0</v>
      </c>
      <c r="L27" s="728">
        <f>'JSO (t)'!$G$33*365</f>
        <v>15.001499999999998</v>
      </c>
      <c r="M27" s="729">
        <f>SUM(J27:L27)</f>
        <v>204.98399999999998</v>
      </c>
      <c r="N27" s="369">
        <f>'[21]Price Schedule 5 year'!N27</f>
        <v>209.99680000000001</v>
      </c>
      <c r="O27" s="371">
        <f>'[21]Price Schedule 5 year'!O27</f>
        <v>0</v>
      </c>
      <c r="P27" s="371">
        <f>'[21]Price Schedule 5 year'!P27</f>
        <v>15</v>
      </c>
      <c r="Q27" s="372">
        <f>SUM(N27:P27)</f>
        <v>224.99680000000001</v>
      </c>
      <c r="R27" s="369">
        <f>'[21]Price Schedule 5 year'!R27</f>
        <v>229.99680000000001</v>
      </c>
      <c r="S27" s="371">
        <f>'[21]Price Schedule 5 year'!S27</f>
        <v>0</v>
      </c>
      <c r="T27" s="371">
        <f>'[21]Price Schedule 5 year'!T27</f>
        <v>15</v>
      </c>
      <c r="U27" s="372">
        <f>SUM(R27:T27)</f>
        <v>244.99680000000001</v>
      </c>
      <c r="V27" s="370">
        <f>'[21]Price Schedule 5 year'!V27</f>
        <v>249.99680000000001</v>
      </c>
      <c r="W27" s="371">
        <f>'[21]Price Schedule 5 year'!W27</f>
        <v>0</v>
      </c>
      <c r="X27" s="371">
        <f>'[21]Price Schedule 5 year'!X27</f>
        <v>15</v>
      </c>
      <c r="Y27" s="372">
        <f>SUM(V27:X27)</f>
        <v>264.99680000000001</v>
      </c>
    </row>
    <row r="28" spans="1:25" x14ac:dyDescent="0.25">
      <c r="A28" s="373"/>
      <c r="B28" s="374"/>
      <c r="C28" s="375" t="str">
        <f>'[20]Small Bus'!B70</f>
        <v>Usage</v>
      </c>
      <c r="D28" s="375"/>
      <c r="E28" s="375" t="s">
        <v>288</v>
      </c>
      <c r="F28" s="504">
        <f>'[15]2020-25 Pricing Schedule'!F28</f>
        <v>0.1045</v>
      </c>
      <c r="G28" s="512">
        <f>'[15]2020-25 Pricing Schedule'!G28</f>
        <v>3.7199999999999997E-2</v>
      </c>
      <c r="H28" s="512">
        <f>'[15]2020-25 Pricing Schedule'!H28</f>
        <v>8.3999999999999995E-3</v>
      </c>
      <c r="I28" s="513">
        <f>SUM(F28:H28)</f>
        <v>0.15009999999999998</v>
      </c>
      <c r="J28" s="504">
        <f>'DUoS (t)'!$H$33</f>
        <v>0.1016</v>
      </c>
      <c r="K28" s="512">
        <f>'TUoS (t)'!$H$33</f>
        <v>0.04</v>
      </c>
      <c r="L28" s="512">
        <f>'JSO (t)'!$H$33</f>
        <v>8.5000000000000006E-3</v>
      </c>
      <c r="M28" s="513">
        <f>SUM(J28:L28)</f>
        <v>0.15010000000000001</v>
      </c>
      <c r="N28" s="376">
        <f>'[21]Price Schedule 5 year'!N28</f>
        <v>9.9049847607125277E-2</v>
      </c>
      <c r="O28" s="378">
        <f>'[21]Price Schedule 5 year'!O28</f>
        <v>3.9713037579173528E-2</v>
      </c>
      <c r="P28" s="378">
        <f>'[21]Price Schedule 5 year'!P28</f>
        <v>8.7788367173623014E-3</v>
      </c>
      <c r="Q28" s="379">
        <f>SUM(N28:P28)</f>
        <v>0.1475417219036611</v>
      </c>
      <c r="R28" s="376">
        <f>'[21]Price Schedule 5 year'!R28</f>
        <v>0.10102369646756647</v>
      </c>
      <c r="S28" s="378">
        <f>'[21]Price Schedule 5 year'!S28</f>
        <v>4.1692756467118466E-2</v>
      </c>
      <c r="T28" s="378">
        <f>'[21]Price Schedule 5 year'!T28</f>
        <v>8.9828590316230646E-3</v>
      </c>
      <c r="U28" s="379">
        <f>SUM(R28:T28)</f>
        <v>0.15169931196630801</v>
      </c>
      <c r="V28" s="377">
        <f>'[21]Price Schedule 5 year'!V28</f>
        <v>0.10228393380344139</v>
      </c>
      <c r="W28" s="378">
        <f>'[21]Price Schedule 5 year'!W28</f>
        <v>4.3762122114744971E-2</v>
      </c>
      <c r="X28" s="378">
        <f>'[21]Price Schedule 5 year'!X28</f>
        <v>9.1977005810229828E-3</v>
      </c>
      <c r="Y28" s="379">
        <f>SUM(V28:X28)</f>
        <v>0.15524375649920935</v>
      </c>
    </row>
    <row r="29" spans="1:25" x14ac:dyDescent="0.25">
      <c r="A29" s="361"/>
      <c r="B29" s="362" t="str">
        <f>'[20]Small Bus'!B73</f>
        <v>Business 2-Rate Type 6</v>
      </c>
      <c r="C29" s="363"/>
      <c r="D29" s="363"/>
      <c r="E29" s="363" t="s">
        <v>286</v>
      </c>
      <c r="F29" s="817" t="s">
        <v>674</v>
      </c>
      <c r="G29" s="508"/>
      <c r="H29" s="508"/>
      <c r="I29" s="509"/>
      <c r="J29" s="816" t="s">
        <v>286</v>
      </c>
      <c r="K29" s="508"/>
      <c r="L29" s="508"/>
      <c r="M29" s="509"/>
      <c r="N29" s="816" t="s">
        <v>286</v>
      </c>
      <c r="O29" s="402"/>
      <c r="P29" s="402"/>
      <c r="Q29" s="403"/>
      <c r="R29" s="816" t="s">
        <v>286</v>
      </c>
      <c r="S29" s="402"/>
      <c r="T29" s="402"/>
      <c r="U29" s="403"/>
      <c r="V29" s="816" t="s">
        <v>286</v>
      </c>
      <c r="W29" s="402"/>
      <c r="X29" s="402"/>
      <c r="Y29" s="403"/>
    </row>
    <row r="30" spans="1:25" x14ac:dyDescent="0.25">
      <c r="A30" s="367"/>
      <c r="B30" s="368"/>
      <c r="C30" s="350" t="str">
        <f>'[20]Small Bus'!B74</f>
        <v>Customers/Supply Ch</v>
      </c>
      <c r="E30" s="350" t="s">
        <v>287</v>
      </c>
      <c r="F30" s="727">
        <f>'[15]2020-25 Pricing Schedule'!F30</f>
        <v>169.98050000000001</v>
      </c>
      <c r="G30" s="728">
        <f>'[15]2020-25 Pricing Schedule'!G30</f>
        <v>0</v>
      </c>
      <c r="H30" s="728">
        <f>'[15]2020-25 Pricing Schedule'!H30</f>
        <v>15.001499999999998</v>
      </c>
      <c r="I30" s="729">
        <f>SUM(F30:H30)</f>
        <v>184.982</v>
      </c>
      <c r="J30" s="727">
        <f>'DUoS (t)'!$G$35*Days_Year</f>
        <v>189.98249999999999</v>
      </c>
      <c r="K30" s="728">
        <f>'TUoS (t)'!$G$35*Days_Year</f>
        <v>0</v>
      </c>
      <c r="L30" s="728">
        <f>'JSO (t)'!$G$35*Days_Year</f>
        <v>15.001499999999998</v>
      </c>
      <c r="M30" s="729">
        <f>SUM(J30:L30)</f>
        <v>204.98399999999998</v>
      </c>
      <c r="N30" s="369">
        <f>'[21]Price Schedule 5 year'!N30</f>
        <v>209.99680000000001</v>
      </c>
      <c r="O30" s="371">
        <f>'[21]Price Schedule 5 year'!O30</f>
        <v>0</v>
      </c>
      <c r="P30" s="371">
        <f>'[21]Price Schedule 5 year'!P30</f>
        <v>15</v>
      </c>
      <c r="Q30" s="372">
        <f>SUM(N30:P30)</f>
        <v>224.99680000000001</v>
      </c>
      <c r="R30" s="369">
        <f>'[21]Price Schedule 5 year'!R30</f>
        <v>229.99680000000001</v>
      </c>
      <c r="S30" s="371">
        <f>'[21]Price Schedule 5 year'!S30</f>
        <v>0</v>
      </c>
      <c r="T30" s="371">
        <f>'[21]Price Schedule 5 year'!T30</f>
        <v>15</v>
      </c>
      <c r="U30" s="372">
        <f>SUM(R30:T30)</f>
        <v>244.99680000000001</v>
      </c>
      <c r="V30" s="370">
        <f>'[21]Price Schedule 5 year'!V30</f>
        <v>249.99680000000001</v>
      </c>
      <c r="W30" s="371">
        <f>'[21]Price Schedule 5 year'!W30</f>
        <v>0</v>
      </c>
      <c r="X30" s="371">
        <f>'[21]Price Schedule 5 year'!X30</f>
        <v>15</v>
      </c>
      <c r="Y30" s="372">
        <f>SUM(V30:X30)</f>
        <v>264.99680000000001</v>
      </c>
    </row>
    <row r="31" spans="1:25" x14ac:dyDescent="0.25">
      <c r="A31" s="367"/>
      <c r="B31" s="368"/>
      <c r="C31" s="350" t="str">
        <f>'[20]Small Bus'!B75</f>
        <v>Peak usage</v>
      </c>
      <c r="E31" s="350" t="s">
        <v>288</v>
      </c>
      <c r="F31" s="501">
        <f>'[15]2020-25 Pricing Schedule'!F31</f>
        <v>0.1178</v>
      </c>
      <c r="G31" s="510">
        <f>'[15]2020-25 Pricing Schedule'!G31</f>
        <v>4.2000000000000003E-2</v>
      </c>
      <c r="H31" s="510">
        <f>'[15]2020-25 Pricing Schedule'!H31</f>
        <v>9.4999999999999998E-3</v>
      </c>
      <c r="I31" s="511">
        <f>SUM(F31:H31)</f>
        <v>0.16930000000000001</v>
      </c>
      <c r="J31" s="501">
        <f>'DUoS (t)'!$I$35</f>
        <v>0.11459999999999999</v>
      </c>
      <c r="K31" s="510">
        <f>'TUoS (t)'!$I$35</f>
        <v>4.5100000000000001E-2</v>
      </c>
      <c r="L31" s="510">
        <f>'JSO (t)'!$I$35</f>
        <v>9.5999999999999992E-3</v>
      </c>
      <c r="M31" s="511">
        <f>SUM(J31:L31)</f>
        <v>0.16930000000000001</v>
      </c>
      <c r="N31" s="384">
        <f>'[21]Price Schedule 5 year'!N31</f>
        <v>0.11162917825323018</v>
      </c>
      <c r="O31" s="386">
        <f>'[21]Price Schedule 5 year'!O31</f>
        <v>4.4756593351728567E-2</v>
      </c>
      <c r="P31" s="386">
        <f>'[21]Price Schedule 5 year'!P31</f>
        <v>9.8937489804673141E-3</v>
      </c>
      <c r="Q31" s="387">
        <f>SUM(N31:P31)</f>
        <v>0.16627952058542608</v>
      </c>
      <c r="R31" s="384">
        <f>'[21]Price Schedule 5 year'!R31</f>
        <v>0.1138537059189474</v>
      </c>
      <c r="S31" s="386">
        <f>'[21]Price Schedule 5 year'!S31</f>
        <v>4.6987736538442515E-2</v>
      </c>
      <c r="T31" s="386">
        <f>'[21]Price Schedule 5 year'!T31</f>
        <v>1.0123682128639193E-2</v>
      </c>
      <c r="U31" s="387">
        <f>SUM(R31:T31)</f>
        <v>0.17096512458602911</v>
      </c>
      <c r="V31" s="385">
        <f>'[21]Price Schedule 5 year'!V31</f>
        <v>0.11527399339647845</v>
      </c>
      <c r="W31" s="386">
        <f>'[21]Price Schedule 5 year'!W31</f>
        <v>4.9319911623317579E-2</v>
      </c>
      <c r="X31" s="386">
        <f>'[21]Price Schedule 5 year'!X31</f>
        <v>1.0365808554812901E-2</v>
      </c>
      <c r="Y31" s="387">
        <f>SUM(V31:X31)</f>
        <v>0.17495971357460893</v>
      </c>
    </row>
    <row r="32" spans="1:25" x14ac:dyDescent="0.25">
      <c r="A32" s="373"/>
      <c r="B32" s="374"/>
      <c r="C32" s="375" t="str">
        <f>'[20]Small Bus'!B76</f>
        <v>Off-Pk Usage</v>
      </c>
      <c r="D32" s="375"/>
      <c r="E32" s="375" t="s">
        <v>288</v>
      </c>
      <c r="F32" s="504">
        <f>'[15]2020-25 Pricing Schedule'!F32</f>
        <v>5.8900000000000001E-2</v>
      </c>
      <c r="G32" s="512">
        <f>'[15]2020-25 Pricing Schedule'!G32</f>
        <v>2.1000000000000001E-2</v>
      </c>
      <c r="H32" s="512">
        <f>'[15]2020-25 Pricing Schedule'!H32</f>
        <v>4.7000000000000002E-3</v>
      </c>
      <c r="I32" s="513">
        <f>SUM(F32:H32)</f>
        <v>8.4599999999999995E-2</v>
      </c>
      <c r="J32" s="504">
        <f>'DUoS (t)'!$K$35</f>
        <v>5.7299999999999997E-2</v>
      </c>
      <c r="K32" s="512">
        <f>'TUoS (t)'!$K$35</f>
        <v>2.2599999999999999E-2</v>
      </c>
      <c r="L32" s="512">
        <f>'JSO (t)'!$K$35</f>
        <v>4.7000000000000002E-3</v>
      </c>
      <c r="M32" s="513">
        <f>SUM(J32:L32)</f>
        <v>8.4599999999999995E-2</v>
      </c>
      <c r="N32" s="376">
        <f>'[21]Price Schedule 5 year'!N32</f>
        <v>5.5814589126615091E-2</v>
      </c>
      <c r="O32" s="378">
        <f>'[21]Price Schedule 5 year'!O32</f>
        <v>2.2378296675864284E-2</v>
      </c>
      <c r="P32" s="378">
        <f>'[21]Price Schedule 5 year'!P32</f>
        <v>4.946874490233657E-3</v>
      </c>
      <c r="Q32" s="379">
        <f>SUM(N32:P32)</f>
        <v>8.3139760292713041E-2</v>
      </c>
      <c r="R32" s="376">
        <f>'[21]Price Schedule 5 year'!R32</f>
        <v>5.6926852959473702E-2</v>
      </c>
      <c r="S32" s="378">
        <f>'[21]Price Schedule 5 year'!S32</f>
        <v>2.3493868269221257E-2</v>
      </c>
      <c r="T32" s="378">
        <f>'[21]Price Schedule 5 year'!T32</f>
        <v>5.0618410643195966E-3</v>
      </c>
      <c r="U32" s="379">
        <f>SUM(R32:T32)</f>
        <v>8.5482562293014555E-2</v>
      </c>
      <c r="V32" s="377">
        <f>'[21]Price Schedule 5 year'!V32</f>
        <v>5.7636996698239226E-2</v>
      </c>
      <c r="W32" s="378">
        <f>'[21]Price Schedule 5 year'!W32</f>
        <v>2.465995581165879E-2</v>
      </c>
      <c r="X32" s="378">
        <f>'[21]Price Schedule 5 year'!X32</f>
        <v>5.1829042774064506E-3</v>
      </c>
      <c r="Y32" s="379">
        <f>SUM(V32:X32)</f>
        <v>8.7479856787304466E-2</v>
      </c>
    </row>
    <row r="33" spans="1:25" x14ac:dyDescent="0.25">
      <c r="A33" s="361"/>
      <c r="B33" s="362" t="str">
        <f>'[20]Small Bus'!B79</f>
        <v>Business TOU Type 4, 5</v>
      </c>
      <c r="C33" s="363"/>
      <c r="D33" s="363"/>
      <c r="E33" s="363" t="s">
        <v>667</v>
      </c>
      <c r="F33" s="503"/>
      <c r="G33" s="508"/>
      <c r="H33" s="508"/>
      <c r="I33" s="509"/>
      <c r="J33" s="503"/>
      <c r="K33" s="508"/>
      <c r="L33" s="508"/>
      <c r="M33" s="509"/>
      <c r="N33" s="400"/>
      <c r="O33" s="402"/>
      <c r="P33" s="402"/>
      <c r="Q33" s="403"/>
      <c r="R33" s="400"/>
      <c r="S33" s="402"/>
      <c r="T33" s="402"/>
      <c r="U33" s="403"/>
      <c r="V33" s="401"/>
      <c r="W33" s="402"/>
      <c r="X33" s="402"/>
      <c r="Y33" s="403"/>
    </row>
    <row r="34" spans="1:25" x14ac:dyDescent="0.25">
      <c r="A34" s="367"/>
      <c r="B34" s="368"/>
      <c r="C34" s="350" t="str">
        <f>'[20]Small Bus'!B80</f>
        <v>Customers/Supply Ch</v>
      </c>
      <c r="E34" s="350" t="s">
        <v>287</v>
      </c>
      <c r="F34" s="727">
        <f>'[15]2020-25 Pricing Schedule'!F34</f>
        <v>169.98050000000001</v>
      </c>
      <c r="G34" s="728">
        <f>'[15]2020-25 Pricing Schedule'!G34</f>
        <v>0</v>
      </c>
      <c r="H34" s="728">
        <f>'[15]2020-25 Pricing Schedule'!H34</f>
        <v>15.001499999999998</v>
      </c>
      <c r="I34" s="729">
        <f>SUM(F34:H34)</f>
        <v>184.982</v>
      </c>
      <c r="J34" s="727">
        <f>'DUoS (t)'!$G$39*Days_Year</f>
        <v>189.98249999999999</v>
      </c>
      <c r="K34" s="728">
        <f>'TUoS (t)'!$G$39*Days_Year</f>
        <v>0</v>
      </c>
      <c r="L34" s="728">
        <f>'JSO (t)'!$G$39*Days_Year</f>
        <v>15.001499999999998</v>
      </c>
      <c r="M34" s="729">
        <f>SUM(J34:L34)</f>
        <v>204.98399999999998</v>
      </c>
      <c r="N34" s="369">
        <f>'[21]Price Schedule 5 year'!N34</f>
        <v>209.99680000000001</v>
      </c>
      <c r="O34" s="371">
        <f>'[21]Price Schedule 5 year'!O34</f>
        <v>0</v>
      </c>
      <c r="P34" s="371">
        <f>'[21]Price Schedule 5 year'!P34</f>
        <v>15</v>
      </c>
      <c r="Q34" s="372">
        <f>SUM(N34:P34)</f>
        <v>224.99680000000001</v>
      </c>
      <c r="R34" s="369">
        <f>'[21]Price Schedule 5 year'!R34</f>
        <v>229.99680000000001</v>
      </c>
      <c r="S34" s="371">
        <f>'[21]Price Schedule 5 year'!S34</f>
        <v>0</v>
      </c>
      <c r="T34" s="371">
        <f>'[21]Price Schedule 5 year'!T34</f>
        <v>15</v>
      </c>
      <c r="U34" s="372">
        <f>SUM(R34:T34)</f>
        <v>244.99680000000001</v>
      </c>
      <c r="V34" s="370">
        <f>'[21]Price Schedule 5 year'!V34</f>
        <v>249.99680000000001</v>
      </c>
      <c r="W34" s="371">
        <f>'[21]Price Schedule 5 year'!W34</f>
        <v>0</v>
      </c>
      <c r="X34" s="371">
        <f>'[21]Price Schedule 5 year'!X34</f>
        <v>15</v>
      </c>
      <c r="Y34" s="372">
        <f>SUM(V34:X34)</f>
        <v>264.99680000000001</v>
      </c>
    </row>
    <row r="35" spans="1:25" x14ac:dyDescent="0.25">
      <c r="A35" s="367"/>
      <c r="B35" s="368"/>
      <c r="C35" s="350" t="str">
        <f>'[20]Small Bus'!B81</f>
        <v>Peak usage</v>
      </c>
      <c r="E35" s="350" t="s">
        <v>288</v>
      </c>
      <c r="F35" s="501">
        <f>'[15]2020-25 Pricing Schedule'!F35</f>
        <v>0.15679999999999999</v>
      </c>
      <c r="G35" s="510">
        <f>'[15]2020-25 Pricing Schedule'!G35</f>
        <v>5.5899999999999998E-2</v>
      </c>
      <c r="H35" s="510">
        <f>'[15]2020-25 Pricing Schedule'!H35</f>
        <v>1.26E-2</v>
      </c>
      <c r="I35" s="511">
        <f>SUM(F35:H35)</f>
        <v>0.2253</v>
      </c>
      <c r="J35" s="501">
        <f>'DUoS (t)'!$I$39</f>
        <v>0.1525</v>
      </c>
      <c r="K35" s="510">
        <f>'TUoS (t)'!$I$39</f>
        <v>0.06</v>
      </c>
      <c r="L35" s="510">
        <f>'JSO (t)'!$I$39</f>
        <v>1.2699999999999999E-2</v>
      </c>
      <c r="M35" s="511">
        <f>SUM(J35:L35)</f>
        <v>0.22519999999999998</v>
      </c>
      <c r="N35" s="384">
        <f>'[21]Price Schedule 5 year'!N35</f>
        <v>0.14857477141068792</v>
      </c>
      <c r="O35" s="386">
        <f>'[21]Price Schedule 5 year'!O35</f>
        <v>5.9569556368760296E-2</v>
      </c>
      <c r="P35" s="386">
        <f>'[21]Price Schedule 5 year'!P35</f>
        <v>1.3168255076043453E-2</v>
      </c>
      <c r="Q35" s="387">
        <f>SUM(N35:P35)</f>
        <v>0.22131258285549166</v>
      </c>
      <c r="R35" s="384">
        <f>'[21]Price Schedule 5 year'!R35</f>
        <v>0.15153554470134969</v>
      </c>
      <c r="S35" s="386">
        <f>'[21]Price Schedule 5 year'!S35</f>
        <v>6.2539134700677707E-2</v>
      </c>
      <c r="T35" s="386">
        <f>'[21]Price Schedule 5 year'!T35</f>
        <v>1.3474288547434597E-2</v>
      </c>
      <c r="U35" s="387">
        <f>SUM(R35:T35)</f>
        <v>0.227548967949462</v>
      </c>
      <c r="V35" s="385">
        <f>'[21]Price Schedule 5 year'!V35</f>
        <v>0.1534259007051621</v>
      </c>
      <c r="W35" s="386">
        <f>'[21]Price Schedule 5 year'!W35</f>
        <v>6.5643183172117453E-2</v>
      </c>
      <c r="X35" s="386">
        <f>'[21]Price Schedule 5 year'!X35</f>
        <v>1.3796550871534474E-2</v>
      </c>
      <c r="Y35" s="387">
        <f>SUM(V35:X35)</f>
        <v>0.23286563474881403</v>
      </c>
    </row>
    <row r="36" spans="1:25" x14ac:dyDescent="0.25">
      <c r="A36" s="367"/>
      <c r="B36" s="368"/>
      <c r="C36" s="350" t="str">
        <f>'[20]Small Bus'!B82</f>
        <v>Shoulder Usage</v>
      </c>
      <c r="E36" s="350" t="s">
        <v>288</v>
      </c>
      <c r="F36" s="501">
        <f>'[15]2020-25 Pricing Schedule'!F36</f>
        <v>0.1091</v>
      </c>
      <c r="G36" s="510">
        <f>'[15]2020-25 Pricing Schedule'!G36</f>
        <v>3.8899999999999997E-2</v>
      </c>
      <c r="H36" s="510">
        <f>'[15]2020-25 Pricing Schedule'!H36</f>
        <v>8.8000000000000005E-3</v>
      </c>
      <c r="I36" s="511">
        <f>SUM(F36:H36)</f>
        <v>0.15679999999999999</v>
      </c>
      <c r="J36" s="501">
        <f>'DUoS (t)'!$J$39</f>
        <v>0.1061</v>
      </c>
      <c r="K36" s="510">
        <f>'TUoS (t)'!$J$39</f>
        <v>4.1799999999999997E-2</v>
      </c>
      <c r="L36" s="510">
        <f>'JSO (t)'!$J$39</f>
        <v>8.8999999999999999E-3</v>
      </c>
      <c r="M36" s="511">
        <f>SUM(J36:L36)</f>
        <v>0.15679999999999999</v>
      </c>
      <c r="N36" s="384">
        <f>'[21]Price Schedule 5 year'!N36</f>
        <v>0.10340804090183879</v>
      </c>
      <c r="O36" s="386">
        <f>'[21]Price Schedule 5 year'!O36</f>
        <v>4.1460411232657167E-2</v>
      </c>
      <c r="P36" s="386">
        <f>'[21]Price Schedule 5 year'!P36</f>
        <v>9.1651055329262428E-3</v>
      </c>
      <c r="Q36" s="387">
        <f>SUM(N36:P36)</f>
        <v>0.15403355766742219</v>
      </c>
      <c r="R36" s="384">
        <f>'[21]Price Schedule 5 year'!R36</f>
        <v>0.1054687391121394</v>
      </c>
      <c r="S36" s="386">
        <f>'[21]Price Schedule 5 year'!S36</f>
        <v>4.352723775167168E-2</v>
      </c>
      <c r="T36" s="386">
        <f>'[21]Price Schedule 5 year'!T36</f>
        <v>9.3781048290144803E-3</v>
      </c>
      <c r="U36" s="387">
        <f>SUM(R36:T36)</f>
        <v>0.15837408169282557</v>
      </c>
      <c r="V36" s="385">
        <f>'[21]Price Schedule 5 year'!V36</f>
        <v>0.10678442689079282</v>
      </c>
      <c r="W36" s="386">
        <f>'[21]Price Schedule 5 year'!W36</f>
        <v>4.568765548779375E-2</v>
      </c>
      <c r="X36" s="386">
        <f>'[21]Price Schedule 5 year'!X36</f>
        <v>9.6023994065879952E-3</v>
      </c>
      <c r="Y36" s="387">
        <f>SUM(V36:X36)</f>
        <v>0.16207448178517456</v>
      </c>
    </row>
    <row r="37" spans="1:25" x14ac:dyDescent="0.25">
      <c r="A37" s="373"/>
      <c r="B37" s="374"/>
      <c r="C37" s="375" t="str">
        <f>'[20]Small Bus'!B83</f>
        <v>Off-Peak Usage</v>
      </c>
      <c r="D37" s="375"/>
      <c r="E37" s="375" t="s">
        <v>288</v>
      </c>
      <c r="F37" s="504">
        <f>'[15]2020-25 Pricing Schedule'!F37</f>
        <v>5.8900000000000001E-2</v>
      </c>
      <c r="G37" s="512">
        <f>'[15]2020-25 Pricing Schedule'!G37</f>
        <v>2.1000000000000001E-2</v>
      </c>
      <c r="H37" s="512">
        <f>'[15]2020-25 Pricing Schedule'!H37</f>
        <v>4.7000000000000002E-3</v>
      </c>
      <c r="I37" s="513">
        <f>SUM(F37:H37)</f>
        <v>8.4599999999999995E-2</v>
      </c>
      <c r="J37" s="504">
        <f>'DUoS (t)'!$K$39</f>
        <v>5.7299999999999997E-2</v>
      </c>
      <c r="K37" s="512">
        <f>'TUoS (t)'!$K$39</f>
        <v>2.2599999999999999E-2</v>
      </c>
      <c r="L37" s="512">
        <f>'JSO (t)'!$K$39</f>
        <v>4.7000000000000002E-3</v>
      </c>
      <c r="M37" s="513">
        <f>SUM(J37:L37)</f>
        <v>8.4599999999999995E-2</v>
      </c>
      <c r="N37" s="376">
        <f>'[21]Price Schedule 5 year'!N37</f>
        <v>5.5814589126615091E-2</v>
      </c>
      <c r="O37" s="378">
        <f>'[21]Price Schedule 5 year'!O37</f>
        <v>2.2378296675864284E-2</v>
      </c>
      <c r="P37" s="378">
        <f>'[21]Price Schedule 5 year'!P37</f>
        <v>4.946874490233657E-3</v>
      </c>
      <c r="Q37" s="379">
        <f>SUM(N37:P37)</f>
        <v>8.3139760292713041E-2</v>
      </c>
      <c r="R37" s="376">
        <f>'[21]Price Schedule 5 year'!R37</f>
        <v>5.6926852959473702E-2</v>
      </c>
      <c r="S37" s="378">
        <f>'[21]Price Schedule 5 year'!S37</f>
        <v>2.3493868269221257E-2</v>
      </c>
      <c r="T37" s="378">
        <f>'[21]Price Schedule 5 year'!T37</f>
        <v>5.0618410643195966E-3</v>
      </c>
      <c r="U37" s="379">
        <f>SUM(R37:T37)</f>
        <v>8.5482562293014555E-2</v>
      </c>
      <c r="V37" s="377">
        <f>'[21]Price Schedule 5 year'!V37</f>
        <v>5.7636996698239226E-2</v>
      </c>
      <c r="W37" s="378">
        <f>'[21]Price Schedule 5 year'!W37</f>
        <v>2.465995581165879E-2</v>
      </c>
      <c r="X37" s="378">
        <f>'[21]Price Schedule 5 year'!X37</f>
        <v>5.1829042774064506E-3</v>
      </c>
      <c r="Y37" s="379">
        <f>SUM(V37:X37)</f>
        <v>8.7479856787304466E-2</v>
      </c>
    </row>
    <row r="38" spans="1:25" x14ac:dyDescent="0.25">
      <c r="A38" s="361"/>
      <c r="B38" s="362" t="str">
        <f>'[20]Small Bus'!B86</f>
        <v>Business TOU+MD &gt;120 kVA</v>
      </c>
      <c r="C38" s="363"/>
      <c r="D38" s="363"/>
      <c r="E38" s="363" t="s">
        <v>671</v>
      </c>
      <c r="F38" s="503"/>
      <c r="G38" s="508"/>
      <c r="H38" s="508"/>
      <c r="I38" s="509"/>
      <c r="J38" s="503"/>
      <c r="K38" s="508"/>
      <c r="L38" s="508"/>
      <c r="M38" s="509"/>
      <c r="N38" s="400"/>
      <c r="O38" s="402"/>
      <c r="P38" s="402"/>
      <c r="Q38" s="403"/>
      <c r="R38" s="400"/>
      <c r="S38" s="402"/>
      <c r="T38" s="402"/>
      <c r="U38" s="403"/>
      <c r="V38" s="401"/>
      <c r="W38" s="402"/>
      <c r="X38" s="402"/>
      <c r="Y38" s="403"/>
    </row>
    <row r="39" spans="1:25" x14ac:dyDescent="0.25">
      <c r="A39" s="367"/>
      <c r="B39" s="368"/>
      <c r="C39" s="350" t="str">
        <f>'[20]Small Bus'!B87</f>
        <v>Customers/Supply Ch</v>
      </c>
      <c r="E39" s="350" t="s">
        <v>287</v>
      </c>
      <c r="F39" s="727">
        <f>'[15]2020-25 Pricing Schedule'!F39</f>
        <v>169.98050000000001</v>
      </c>
      <c r="G39" s="728">
        <f>'[15]2020-25 Pricing Schedule'!G39</f>
        <v>0</v>
      </c>
      <c r="H39" s="728">
        <f>'[15]2020-25 Pricing Schedule'!H39</f>
        <v>15.001499999999998</v>
      </c>
      <c r="I39" s="729">
        <f>SUM(F39:H39)</f>
        <v>184.982</v>
      </c>
      <c r="J39" s="727">
        <f>'DUoS (t)'!$G$40*Days_Year</f>
        <v>189.98249999999999</v>
      </c>
      <c r="K39" s="728">
        <f>'TUoS (t)'!$G$40*Days_Year</f>
        <v>0</v>
      </c>
      <c r="L39" s="728">
        <f>'JSO (t)'!$G$40*Days_Year</f>
        <v>15.001499999999998</v>
      </c>
      <c r="M39" s="729">
        <f>SUM(J39:L39)</f>
        <v>204.98399999999998</v>
      </c>
      <c r="N39" s="369">
        <f>'[21]Price Schedule 5 year'!N39</f>
        <v>209.99680000000001</v>
      </c>
      <c r="O39" s="371">
        <f>'[21]Price Schedule 5 year'!O39</f>
        <v>0</v>
      </c>
      <c r="P39" s="371">
        <f>'[21]Price Schedule 5 year'!P39</f>
        <v>15</v>
      </c>
      <c r="Q39" s="372">
        <f>SUM(N39:P39)</f>
        <v>224.99680000000001</v>
      </c>
      <c r="R39" s="369">
        <f>'[21]Price Schedule 5 year'!R39</f>
        <v>229.99680000000001</v>
      </c>
      <c r="S39" s="371">
        <f>'[21]Price Schedule 5 year'!S39</f>
        <v>0</v>
      </c>
      <c r="T39" s="371">
        <f>'[21]Price Schedule 5 year'!T39</f>
        <v>15</v>
      </c>
      <c r="U39" s="372">
        <f>SUM(R39:T39)</f>
        <v>244.99680000000001</v>
      </c>
      <c r="V39" s="370">
        <f>'[21]Price Schedule 5 year'!V39</f>
        <v>249.99680000000001</v>
      </c>
      <c r="W39" s="371">
        <f>'[21]Price Schedule 5 year'!W39</f>
        <v>0</v>
      </c>
      <c r="X39" s="371">
        <f>'[21]Price Schedule 5 year'!X39</f>
        <v>15</v>
      </c>
      <c r="Y39" s="372">
        <f>SUM(V39:X39)</f>
        <v>264.99680000000001</v>
      </c>
    </row>
    <row r="40" spans="1:25" x14ac:dyDescent="0.25">
      <c r="A40" s="367"/>
      <c r="B40" s="368"/>
      <c r="C40" s="350" t="str">
        <f>'[20]Small Bus'!B88</f>
        <v>Anytime Max Demand</v>
      </c>
      <c r="D40" s="350">
        <v>3</v>
      </c>
      <c r="E40" s="350" t="s">
        <v>294</v>
      </c>
      <c r="F40" s="727">
        <f>'[15]2020-25 Pricing Schedule'!F40</f>
        <v>29.710999999999999</v>
      </c>
      <c r="G40" s="728">
        <f>'[15]2020-25 Pricing Schedule'!G40</f>
        <v>0</v>
      </c>
      <c r="H40" s="728">
        <f>'[15]2020-25 Pricing Schedule'!H40</f>
        <v>0</v>
      </c>
      <c r="I40" s="729">
        <f>SUM(F40:H40)</f>
        <v>29.710999999999999</v>
      </c>
      <c r="J40" s="727">
        <f>'DUoS (t)'!$T$40*Days_Year</f>
        <v>28.908000000000001</v>
      </c>
      <c r="K40" s="728">
        <f>'TUoS (t)'!$T$40*Days_Year</f>
        <v>0</v>
      </c>
      <c r="L40" s="728">
        <f>'JSO (t)'!$T$40*Days_Year</f>
        <v>0</v>
      </c>
      <c r="M40" s="729">
        <f>SUM(J40:L40)</f>
        <v>28.908000000000001</v>
      </c>
      <c r="N40" s="369">
        <f>'[21]Price Schedule 5 year'!N40</f>
        <v>28.1</v>
      </c>
      <c r="O40" s="371">
        <f>'[21]Price Schedule 5 year'!O40</f>
        <v>0</v>
      </c>
      <c r="P40" s="371">
        <f>'[21]Price Schedule 5 year'!P40</f>
        <v>0</v>
      </c>
      <c r="Q40" s="372">
        <f>SUM(N40:P40)</f>
        <v>28.1</v>
      </c>
      <c r="R40" s="369">
        <f>'[21]Price Schedule 5 year'!R40</f>
        <v>28.7</v>
      </c>
      <c r="S40" s="371">
        <f>'[21]Price Schedule 5 year'!S40</f>
        <v>0</v>
      </c>
      <c r="T40" s="371">
        <f>'[21]Price Schedule 5 year'!T40</f>
        <v>0</v>
      </c>
      <c r="U40" s="372">
        <f>SUM(R40:T40)</f>
        <v>28.7</v>
      </c>
      <c r="V40" s="370">
        <f>'[21]Price Schedule 5 year'!V40</f>
        <v>29.1</v>
      </c>
      <c r="W40" s="371">
        <f>'[21]Price Schedule 5 year'!W40</f>
        <v>0</v>
      </c>
      <c r="X40" s="371">
        <f>'[21]Price Schedule 5 year'!X40</f>
        <v>0</v>
      </c>
      <c r="Y40" s="372">
        <f>SUM(V40:X40)</f>
        <v>29.1</v>
      </c>
    </row>
    <row r="41" spans="1:25" x14ac:dyDescent="0.25">
      <c r="A41" s="367"/>
      <c r="B41" s="368"/>
      <c r="C41" s="350" t="str">
        <f>'[20]Small Bus'!B89</f>
        <v>Peak usage</v>
      </c>
      <c r="E41" s="350" t="s">
        <v>288</v>
      </c>
      <c r="F41" s="501">
        <f>'[15]2020-25 Pricing Schedule'!F41</f>
        <v>0.1255</v>
      </c>
      <c r="G41" s="510">
        <f>'[15]2020-25 Pricing Schedule'!G41</f>
        <v>4.4699999999999997E-2</v>
      </c>
      <c r="H41" s="510">
        <f>'[15]2020-25 Pricing Schedule'!H41</f>
        <v>1.01E-2</v>
      </c>
      <c r="I41" s="511">
        <f>SUM(F41:H41)</f>
        <v>0.18029999999999999</v>
      </c>
      <c r="J41" s="501">
        <f>'DUoS (t)'!$I$40</f>
        <v>0.122</v>
      </c>
      <c r="K41" s="510">
        <f>'TUoS (t)'!$I$40</f>
        <v>4.8000000000000001E-2</v>
      </c>
      <c r="L41" s="510">
        <f>'JSO (t)'!$I$40</f>
        <v>1.0200000000000001E-2</v>
      </c>
      <c r="M41" s="511">
        <f>SUM(J41:L41)</f>
        <v>0.18019999999999997</v>
      </c>
      <c r="N41" s="384">
        <f>'[21]Price Schedule 5 year'!N41</f>
        <v>0.11885981712855034</v>
      </c>
      <c r="O41" s="386">
        <f>'[21]Price Schedule 5 year'!O41</f>
        <v>4.7655645095008241E-2</v>
      </c>
      <c r="P41" s="386">
        <f>'[21]Price Schedule 5 year'!P41</f>
        <v>1.0534604060834764E-2</v>
      </c>
      <c r="Q41" s="387">
        <f>SUM(N41:P41)</f>
        <v>0.17705006628439335</v>
      </c>
      <c r="R41" s="384">
        <f>'[21]Price Schedule 5 year'!R41</f>
        <v>0.12122843576107978</v>
      </c>
      <c r="S41" s="386">
        <f>'[21]Price Schedule 5 year'!S41</f>
        <v>5.0031307760542168E-2</v>
      </c>
      <c r="T41" s="386">
        <f>'[21]Price Schedule 5 year'!T41</f>
        <v>1.077943083794768E-2</v>
      </c>
      <c r="U41" s="387">
        <f>SUM(R41:T41)</f>
        <v>0.18203917435956962</v>
      </c>
      <c r="V41" s="385">
        <f>'[21]Price Schedule 5 year'!V41</f>
        <v>0.12274072056412969</v>
      </c>
      <c r="W41" s="386">
        <f>'[21]Price Schedule 5 year'!W41</f>
        <v>5.2514546537693975E-2</v>
      </c>
      <c r="X41" s="386">
        <f>'[21]Price Schedule 5 year'!X41</f>
        <v>1.1037240697227581E-2</v>
      </c>
      <c r="Y41" s="387">
        <f>SUM(V41:X41)</f>
        <v>0.18629250779905124</v>
      </c>
    </row>
    <row r="42" spans="1:25" x14ac:dyDescent="0.25">
      <c r="A42" s="367"/>
      <c r="B42" s="368"/>
      <c r="C42" s="350" t="str">
        <f>'[20]Small Bus'!B90</f>
        <v>Shoulder Usage</v>
      </c>
      <c r="E42" s="350" t="s">
        <v>288</v>
      </c>
      <c r="F42" s="501">
        <f>'[15]2020-25 Pricing Schedule'!F42</f>
        <v>8.7300000000000003E-2</v>
      </c>
      <c r="G42" s="510">
        <f>'[15]2020-25 Pricing Schedule'!G42</f>
        <v>3.1099999999999999E-2</v>
      </c>
      <c r="H42" s="510">
        <f>'[15]2020-25 Pricing Schedule'!H42</f>
        <v>7.0000000000000001E-3</v>
      </c>
      <c r="I42" s="511">
        <f>SUM(F42:H42)</f>
        <v>0.12540000000000001</v>
      </c>
      <c r="J42" s="501">
        <f>'DUoS (t)'!$J$40</f>
        <v>8.4900000000000003E-2</v>
      </c>
      <c r="K42" s="510">
        <f>'TUoS (t)'!$J$40</f>
        <v>3.3399999999999999E-2</v>
      </c>
      <c r="L42" s="510">
        <f>'JSO (t)'!$J$40</f>
        <v>7.1000000000000004E-3</v>
      </c>
      <c r="M42" s="511">
        <f>SUM(J42:L42)</f>
        <v>0.12540000000000001</v>
      </c>
      <c r="N42" s="384">
        <f>'[21]Price Schedule 5 year'!N42</f>
        <v>8.2726432721471038E-2</v>
      </c>
      <c r="O42" s="386">
        <f>'[21]Price Schedule 5 year'!O42</f>
        <v>3.3168328986125734E-2</v>
      </c>
      <c r="P42" s="386">
        <f>'[21]Price Schedule 5 year'!P42</f>
        <v>7.3320844263409946E-3</v>
      </c>
      <c r="Q42" s="387">
        <f>SUM(N42:P42)</f>
        <v>0.12322684613393776</v>
      </c>
      <c r="R42" s="384">
        <f>'[21]Price Schedule 5 year'!R42</f>
        <v>8.4374991289711515E-2</v>
      </c>
      <c r="S42" s="386">
        <f>'[21]Price Schedule 5 year'!S42</f>
        <v>3.4821790201337348E-2</v>
      </c>
      <c r="T42" s="386">
        <f>'[21]Price Schedule 5 year'!T42</f>
        <v>7.5024838632115837E-3</v>
      </c>
      <c r="U42" s="387">
        <f>SUM(R42:T42)</f>
        <v>0.12669926535426046</v>
      </c>
      <c r="V42" s="385">
        <f>'[21]Price Schedule 5 year'!V42</f>
        <v>8.542754151263425E-2</v>
      </c>
      <c r="W42" s="386">
        <f>'[21]Price Schedule 5 year'!W42</f>
        <v>3.6550124390235E-2</v>
      </c>
      <c r="X42" s="386">
        <f>'[21]Price Schedule 5 year'!X42</f>
        <v>7.6819195252703955E-3</v>
      </c>
      <c r="Y42" s="387">
        <f>SUM(V42:X42)</f>
        <v>0.12965958542813966</v>
      </c>
    </row>
    <row r="43" spans="1:25" x14ac:dyDescent="0.25">
      <c r="A43" s="373"/>
      <c r="B43" s="374"/>
      <c r="C43" s="375" t="str">
        <f>'[20]Small Bus'!B91</f>
        <v>Off-Peak Usage</v>
      </c>
      <c r="D43" s="375"/>
      <c r="E43" s="375" t="s">
        <v>288</v>
      </c>
      <c r="F43" s="504">
        <f>'[15]2020-25 Pricing Schedule'!F43</f>
        <v>4.7100000000000003E-2</v>
      </c>
      <c r="G43" s="512">
        <f>'[15]2020-25 Pricing Schedule'!G43</f>
        <v>1.6799999999999999E-2</v>
      </c>
      <c r="H43" s="512">
        <f>'[15]2020-25 Pricing Schedule'!H43</f>
        <v>3.8E-3</v>
      </c>
      <c r="I43" s="513">
        <f>SUM(F43:H43)</f>
        <v>6.7699999999999996E-2</v>
      </c>
      <c r="J43" s="504">
        <f>'DUoS (t)'!$K$40</f>
        <v>4.58E-2</v>
      </c>
      <c r="K43" s="512">
        <f>'TUoS (t)'!$K$40</f>
        <v>1.7999999999999999E-2</v>
      </c>
      <c r="L43" s="512">
        <f>'JSO (t)'!$K$40</f>
        <v>3.8E-3</v>
      </c>
      <c r="M43" s="513">
        <f>SUM(J43:L43)</f>
        <v>6.7599999999999993E-2</v>
      </c>
      <c r="N43" s="376">
        <f>'[21]Price Schedule 5 year'!N43</f>
        <v>4.4651671301292079E-2</v>
      </c>
      <c r="O43" s="378">
        <f>'[21]Price Schedule 5 year'!O43</f>
        <v>1.7902637340691429E-2</v>
      </c>
      <c r="P43" s="378">
        <f>'[21]Price Schedule 5 year'!P43</f>
        <v>3.957499592186926E-3</v>
      </c>
      <c r="Q43" s="379">
        <f>SUM(N43:P43)</f>
        <v>6.6511808234170439E-2</v>
      </c>
      <c r="R43" s="376">
        <f>'[21]Price Schedule 5 year'!R43</f>
        <v>4.5541482367578968E-2</v>
      </c>
      <c r="S43" s="378">
        <f>'[21]Price Schedule 5 year'!S43</f>
        <v>1.8795094615377005E-2</v>
      </c>
      <c r="T43" s="378">
        <f>'[21]Price Schedule 5 year'!T43</f>
        <v>4.0494728514556778E-3</v>
      </c>
      <c r="U43" s="379">
        <f>SUM(R43:T43)</f>
        <v>6.8386049834411655E-2</v>
      </c>
      <c r="V43" s="377">
        <f>'[21]Price Schedule 5 year'!V43</f>
        <v>4.6109597358591381E-2</v>
      </c>
      <c r="W43" s="378">
        <f>'[21]Price Schedule 5 year'!W43</f>
        <v>1.9727964649327034E-2</v>
      </c>
      <c r="X43" s="378">
        <f>'[21]Price Schedule 5 year'!X43</f>
        <v>4.146323421925161E-3</v>
      </c>
      <c r="Y43" s="379">
        <f>SUM(V43:X43)</f>
        <v>6.9983885429843573E-2</v>
      </c>
    </row>
    <row r="44" spans="1:25" x14ac:dyDescent="0.25">
      <c r="A44" s="367"/>
      <c r="B44" s="368" t="str">
        <f>'[20]Small Bus'!B94</f>
        <v>Small Business Actual Demand</v>
      </c>
      <c r="C44" s="404"/>
      <c r="D44" s="404"/>
      <c r="E44" s="350" t="s">
        <v>286</v>
      </c>
      <c r="F44" s="501"/>
      <c r="G44" s="510"/>
      <c r="H44" s="510"/>
      <c r="I44" s="511"/>
      <c r="J44" s="501"/>
      <c r="K44" s="510"/>
      <c r="L44" s="510"/>
      <c r="M44" s="511"/>
      <c r="N44" s="384"/>
      <c r="O44" s="386"/>
      <c r="P44" s="386"/>
      <c r="Q44" s="387"/>
      <c r="R44" s="384"/>
      <c r="S44" s="386"/>
      <c r="T44" s="386"/>
      <c r="U44" s="387"/>
      <c r="V44" s="385"/>
      <c r="W44" s="386"/>
      <c r="X44" s="386"/>
      <c r="Y44" s="387"/>
    </row>
    <row r="45" spans="1:25" x14ac:dyDescent="0.25">
      <c r="A45" s="367"/>
      <c r="C45" s="350" t="str">
        <f>'[20]Small Bus'!B95</f>
        <v>Customers/Supply Ch</v>
      </c>
      <c r="E45" s="350" t="s">
        <v>287</v>
      </c>
      <c r="F45" s="727">
        <f>'[15]2020-25 Pricing Schedule'!F45</f>
        <v>999.9905</v>
      </c>
      <c r="G45" s="728">
        <f>'[15]2020-25 Pricing Schedule'!G45</f>
        <v>0</v>
      </c>
      <c r="H45" s="728">
        <f>'[15]2020-25 Pricing Schedule'!H45</f>
        <v>15.001499999999998</v>
      </c>
      <c r="I45" s="729">
        <f>SUM(F45:H45)</f>
        <v>1014.992</v>
      </c>
      <c r="J45" s="727">
        <f>'DUoS (t)'!$G$41*Days_Year</f>
        <v>1999.981</v>
      </c>
      <c r="K45" s="728">
        <f>'TUoS (t)'!$G$41*Days_Year</f>
        <v>0</v>
      </c>
      <c r="L45" s="728">
        <f>'JSO (t)'!$G$41*Days_Year</f>
        <v>15.001499999999998</v>
      </c>
      <c r="M45" s="729">
        <f>SUM(J45:L45)</f>
        <v>2014.9825000000001</v>
      </c>
      <c r="N45" s="821">
        <f>'[21]Price Schedule 5 year'!N45</f>
        <v>2999.9967999999999</v>
      </c>
      <c r="O45" s="819">
        <f>'[21]Price Schedule 5 year'!O45</f>
        <v>0</v>
      </c>
      <c r="P45" s="819">
        <f>'[21]Price Schedule 5 year'!P45</f>
        <v>15</v>
      </c>
      <c r="Q45" s="820">
        <f>SUM(N45:P45)</f>
        <v>3014.9967999999999</v>
      </c>
      <c r="R45" s="821">
        <f>'[21]Price Schedule 5 year'!R45</f>
        <v>3999.9967999999999</v>
      </c>
      <c r="S45" s="819">
        <f>'[21]Price Schedule 5 year'!S45</f>
        <v>0</v>
      </c>
      <c r="T45" s="819">
        <f>'[21]Price Schedule 5 year'!T45</f>
        <v>15</v>
      </c>
      <c r="U45" s="820">
        <f>SUM(R45:T45)</f>
        <v>4014.9967999999999</v>
      </c>
      <c r="V45" s="822">
        <f>'[21]Price Schedule 5 year'!V45</f>
        <v>4999.9967999999999</v>
      </c>
      <c r="W45" s="819">
        <f>'[21]Price Schedule 5 year'!W45</f>
        <v>0</v>
      </c>
      <c r="X45" s="819">
        <f>'[21]Price Schedule 5 year'!X45</f>
        <v>15</v>
      </c>
      <c r="Y45" s="820">
        <f>SUM(V45:X45)</f>
        <v>5014.9967999999999</v>
      </c>
    </row>
    <row r="46" spans="1:25" x14ac:dyDescent="0.25">
      <c r="A46" s="367"/>
      <c r="C46" s="350" t="str">
        <f>'[20]Small Bus'!B96</f>
        <v>Peak Actual Demand</v>
      </c>
      <c r="D46" s="350">
        <v>1</v>
      </c>
      <c r="E46" s="350" t="s">
        <v>672</v>
      </c>
      <c r="F46" s="727">
        <f>'[15]2020-25 Pricing Schedule'!F46</f>
        <v>9.3438800000000004</v>
      </c>
      <c r="G46" s="728">
        <f>'[15]2020-25 Pricing Schedule'!G46</f>
        <v>2.6213600000000001</v>
      </c>
      <c r="H46" s="728">
        <f>'[15]2020-25 Pricing Schedule'!H46</f>
        <v>0</v>
      </c>
      <c r="I46" s="729">
        <f>SUM(F46:H46)</f>
        <v>11.965240000000001</v>
      </c>
      <c r="J46" s="727">
        <f>'DUoS (t)'!$Q$41*Days_Summer_Demand/5</f>
        <v>9.3438800000000004</v>
      </c>
      <c r="K46" s="728">
        <f>'TUoS (t)'!$Q$41*Days_Summer_Demand/5</f>
        <v>2.6213600000000001</v>
      </c>
      <c r="L46" s="728">
        <f>'JSO (t)'!$Q$41*Days_Summer_Demand</f>
        <v>0</v>
      </c>
      <c r="M46" s="729">
        <f>SUM(J46:L46)</f>
        <v>11.965240000000001</v>
      </c>
      <c r="N46" s="369">
        <f>'[21]Price Schedule 5 year'!N46</f>
        <v>9.3449600000000004</v>
      </c>
      <c r="O46" s="371">
        <f>'[21]Price Schedule 5 year'!O46</f>
        <v>2.6204799999999997</v>
      </c>
      <c r="P46" s="371">
        <f>'[21]Price Schedule 5 year'!P46</f>
        <v>0</v>
      </c>
      <c r="Q46" s="372">
        <f>SUM(N46:P46)</f>
        <v>11.965440000000001</v>
      </c>
      <c r="R46" s="369">
        <f>'[21]Price Schedule 5 year'!R46</f>
        <v>9.3449600000000004</v>
      </c>
      <c r="S46" s="371">
        <f>'[21]Price Schedule 5 year'!S46</f>
        <v>2.6204799999999997</v>
      </c>
      <c r="T46" s="371">
        <f>'[21]Price Schedule 5 year'!T46</f>
        <v>0</v>
      </c>
      <c r="U46" s="372">
        <f>SUM(R46:T46)</f>
        <v>11.965440000000001</v>
      </c>
      <c r="V46" s="370">
        <f>'[21]Price Schedule 5 year'!V46</f>
        <v>9.3449600000000004</v>
      </c>
      <c r="W46" s="371">
        <f>'[21]Price Schedule 5 year'!W46</f>
        <v>2.6204799999999997</v>
      </c>
      <c r="X46" s="371">
        <f>'[21]Price Schedule 5 year'!X46</f>
        <v>0</v>
      </c>
      <c r="Y46" s="372">
        <f>SUM(V46:X46)</f>
        <v>11.965440000000001</v>
      </c>
    </row>
    <row r="47" spans="1:25" x14ac:dyDescent="0.25">
      <c r="A47" s="367"/>
      <c r="C47" s="350" t="str">
        <f>'[20]Small Bus'!B97</f>
        <v>Shoulder Actual Demand</v>
      </c>
      <c r="D47" s="350">
        <v>2</v>
      </c>
      <c r="E47" s="350" t="s">
        <v>672</v>
      </c>
      <c r="F47" s="727">
        <f>'[15]2020-25 Pricing Schedule'!F47</f>
        <v>4.6567916666666669</v>
      </c>
      <c r="G47" s="728">
        <f>'[15]2020-25 Pricing Schedule'!G47</f>
        <v>1.304875</v>
      </c>
      <c r="H47" s="728">
        <f>'[15]2020-25 Pricing Schedule'!H47</f>
        <v>0</v>
      </c>
      <c r="I47" s="729">
        <f>SUM(F47:H47)</f>
        <v>5.9616666666666669</v>
      </c>
      <c r="J47" s="727">
        <f>'DUoS (t)'!$R$41*Days_Year/12</f>
        <v>4.6567916666666669</v>
      </c>
      <c r="K47" s="728">
        <f>'TUoS (t)'!$R$41*Days_Year/12</f>
        <v>1.304875</v>
      </c>
      <c r="L47" s="728">
        <f>'JSO (t)'!$R$41*Days_Year</f>
        <v>0</v>
      </c>
      <c r="M47" s="729">
        <f>SUM(J47:L47)</f>
        <v>5.9616666666666669</v>
      </c>
      <c r="N47" s="369">
        <f>'[21]Price Schedule 5 year'!N47</f>
        <v>4.6573500000000001</v>
      </c>
      <c r="O47" s="371">
        <f>'[21]Price Schedule 5 year'!O47</f>
        <v>1.3053999999999999</v>
      </c>
      <c r="P47" s="371">
        <f>'[21]Price Schedule 5 year'!P47</f>
        <v>0</v>
      </c>
      <c r="Q47" s="372">
        <f>SUM(N47:P47)</f>
        <v>5.9627499999999998</v>
      </c>
      <c r="R47" s="369">
        <f>'[21]Price Schedule 5 year'!R47</f>
        <v>4.6573500000000001</v>
      </c>
      <c r="S47" s="371">
        <f>'[21]Price Schedule 5 year'!S47</f>
        <v>1.3053999999999999</v>
      </c>
      <c r="T47" s="371">
        <f>'[21]Price Schedule 5 year'!T47</f>
        <v>0</v>
      </c>
      <c r="U47" s="372">
        <f>SUM(R47:T47)</f>
        <v>5.9627499999999998</v>
      </c>
      <c r="V47" s="370">
        <f>'[21]Price Schedule 5 year'!V47</f>
        <v>4.6573500000000001</v>
      </c>
      <c r="W47" s="371">
        <f>'[21]Price Schedule 5 year'!W47</f>
        <v>1.3053999999999999</v>
      </c>
      <c r="X47" s="371">
        <f>'[21]Price Schedule 5 year'!X47</f>
        <v>0</v>
      </c>
      <c r="Y47" s="372">
        <f>SUM(V47:X47)</f>
        <v>5.9627499999999998</v>
      </c>
    </row>
    <row r="48" spans="1:25" x14ac:dyDescent="0.25">
      <c r="A48" s="367"/>
      <c r="C48" s="350" t="str">
        <f>'[20]Small Bus'!B98</f>
        <v>Usage</v>
      </c>
      <c r="E48" s="350" t="s">
        <v>288</v>
      </c>
      <c r="F48" s="501">
        <f>'[15]2020-25 Pricing Schedule'!F48</f>
        <v>5.1499999999999997E-2</v>
      </c>
      <c r="G48" s="510">
        <f>'[15]2020-25 Pricing Schedule'!G48</f>
        <v>2.0299999999999999E-2</v>
      </c>
      <c r="H48" s="510">
        <f>'[15]2020-25 Pricing Schedule'!H48</f>
        <v>7.1000000000000004E-3</v>
      </c>
      <c r="I48" s="511">
        <f>SUM(F48:H48)</f>
        <v>7.8899999999999998E-2</v>
      </c>
      <c r="J48" s="501">
        <f>'DUoS (t)'!$H$41</f>
        <v>5.8699999999999995E-2</v>
      </c>
      <c r="K48" s="510">
        <f>'TUoS (t)'!$H$41</f>
        <v>2.3100000000000002E-2</v>
      </c>
      <c r="L48" s="510">
        <f>'JSO (t)'!$H$41</f>
        <v>7.1000000000000004E-3</v>
      </c>
      <c r="M48" s="511">
        <f>SUM(J48:L48)</f>
        <v>8.8899999999999993E-2</v>
      </c>
      <c r="N48" s="384">
        <f>'[21]Price Schedule 5 year'!N48</f>
        <v>6.59E-2</v>
      </c>
      <c r="O48" s="386">
        <f>'[21]Price Schedule 5 year'!O48</f>
        <v>2.5900000000000003E-2</v>
      </c>
      <c r="P48" s="386">
        <f>'[21]Price Schedule 5 year'!P48</f>
        <v>7.1000000000000004E-3</v>
      </c>
      <c r="Q48" s="387">
        <f>SUM(N48:P48)</f>
        <v>9.8900000000000002E-2</v>
      </c>
      <c r="R48" s="384">
        <f>'[21]Price Schedule 5 year'!R48</f>
        <v>7.3099999999999998E-2</v>
      </c>
      <c r="S48" s="386">
        <f>'[21]Price Schedule 5 year'!S48</f>
        <v>2.8700000000000003E-2</v>
      </c>
      <c r="T48" s="386">
        <f>'[21]Price Schedule 5 year'!T48</f>
        <v>7.1000000000000004E-3</v>
      </c>
      <c r="U48" s="387">
        <f>SUM(R48:T48)</f>
        <v>0.1089</v>
      </c>
      <c r="V48" s="385">
        <f>'[21]Price Schedule 5 year'!V48</f>
        <v>8.0299999999999996E-2</v>
      </c>
      <c r="W48" s="386">
        <f>'[21]Price Schedule 5 year'!W48</f>
        <v>3.15E-2</v>
      </c>
      <c r="X48" s="386">
        <f>'[21]Price Schedule 5 year'!X48</f>
        <v>7.1000000000000004E-3</v>
      </c>
      <c r="Y48" s="387">
        <f>SUM(V48:X48)</f>
        <v>0.11889999999999999</v>
      </c>
    </row>
    <row r="49" spans="1:25" x14ac:dyDescent="0.25">
      <c r="A49" s="361"/>
      <c r="B49" s="362" t="s">
        <v>296</v>
      </c>
      <c r="C49" s="363"/>
      <c r="D49" s="363"/>
      <c r="E49" s="363" t="s">
        <v>297</v>
      </c>
      <c r="F49" s="503"/>
      <c r="G49" s="508"/>
      <c r="H49" s="508"/>
      <c r="I49" s="509"/>
      <c r="J49" s="503"/>
      <c r="K49" s="508"/>
      <c r="L49" s="508"/>
      <c r="M49" s="509"/>
      <c r="N49" s="380"/>
      <c r="O49" s="382"/>
      <c r="P49" s="382"/>
      <c r="Q49" s="383"/>
      <c r="R49" s="380"/>
      <c r="S49" s="382"/>
      <c r="T49" s="382"/>
      <c r="U49" s="383"/>
      <c r="V49" s="381"/>
      <c r="W49" s="382"/>
      <c r="X49" s="382"/>
      <c r="Y49" s="383"/>
    </row>
    <row r="50" spans="1:25" x14ac:dyDescent="0.25">
      <c r="A50" s="367"/>
      <c r="B50" s="812"/>
      <c r="C50" s="500" t="str">
        <f>C28</f>
        <v>Usage</v>
      </c>
      <c r="D50" s="500"/>
      <c r="E50" s="500" t="s">
        <v>288</v>
      </c>
      <c r="F50" s="501">
        <f>'[15]2020-25 Pricing Schedule'!F50</f>
        <v>4.6199999999999998E-2</v>
      </c>
      <c r="G50" s="510">
        <f>'[15]2020-25 Pricing Schedule'!G50</f>
        <v>1.7000000000000001E-2</v>
      </c>
      <c r="H50" s="510">
        <f>'[15]2020-25 Pricing Schedule'!H50</f>
        <v>5.7999999999999996E-3</v>
      </c>
      <c r="I50" s="511">
        <f>SUM(F50:H50)</f>
        <v>6.9000000000000006E-2</v>
      </c>
      <c r="J50" s="501">
        <f>J20</f>
        <v>4.3999999999999997E-2</v>
      </c>
      <c r="K50" s="510">
        <f>K20</f>
        <v>1.7899999999999999E-2</v>
      </c>
      <c r="L50" s="510">
        <f>L20</f>
        <v>5.5999999999999999E-3</v>
      </c>
      <c r="M50" s="511">
        <f>SUM(J50:L50)</f>
        <v>6.7499999999999991E-2</v>
      </c>
      <c r="N50" s="384">
        <f>'[21]Price Schedule 5 year'!N50</f>
        <v>4.1952542335530481E-2</v>
      </c>
      <c r="O50" s="813">
        <f>'[21]Price Schedule 5 year'!O50</f>
        <v>1.7804154421750734E-2</v>
      </c>
      <c r="P50" s="813">
        <f>'[21]Price Schedule 5 year'!P50</f>
        <v>8.7788367173623014E-3</v>
      </c>
      <c r="Q50" s="387">
        <f>SUM(N50:P50)</f>
        <v>6.8535533474643515E-2</v>
      </c>
      <c r="R50" s="384">
        <f>'[21]Price Schedule 5 year'!R50</f>
        <v>4.0969349698367019E-2</v>
      </c>
      <c r="S50" s="813">
        <f>'[21]Price Schedule 5 year'!S50</f>
        <v>1.8301100961281829E-2</v>
      </c>
      <c r="T50" s="813">
        <f>'[21]Price Schedule 5 year'!T50</f>
        <v>8.9828590316230646E-3</v>
      </c>
      <c r="U50" s="387">
        <f>SUM(R50:T50)</f>
        <v>6.8253309691271913E-2</v>
      </c>
      <c r="V50" s="384">
        <f>'[21]Price Schedule 5 year'!V50</f>
        <v>3.9962419682561874E-2</v>
      </c>
      <c r="W50" s="813">
        <f>'[21]Price Schedule 5 year'!W50</f>
        <v>1.8811809163724137E-2</v>
      </c>
      <c r="X50" s="813">
        <f>'[21]Price Schedule 5 year'!X50</f>
        <v>9.1977005810229828E-3</v>
      </c>
      <c r="Y50" s="387">
        <f>SUM(V50:X50)</f>
        <v>6.7971929427308994E-2</v>
      </c>
    </row>
    <row r="51" spans="1:25" ht="15.75" x14ac:dyDescent="0.25">
      <c r="A51" s="398"/>
      <c r="B51" s="399" t="s">
        <v>291</v>
      </c>
      <c r="C51" s="362"/>
      <c r="D51" s="363"/>
      <c r="E51" s="363" t="s">
        <v>292</v>
      </c>
      <c r="F51" s="503"/>
      <c r="G51" s="508"/>
      <c r="H51" s="508"/>
      <c r="I51" s="509"/>
      <c r="J51" s="503"/>
      <c r="K51" s="508"/>
      <c r="L51" s="508"/>
      <c r="M51" s="509"/>
      <c r="N51" s="364"/>
      <c r="O51" s="363"/>
      <c r="P51" s="363"/>
      <c r="Q51" s="366"/>
      <c r="R51" s="364"/>
      <c r="S51" s="363"/>
      <c r="T51" s="363"/>
      <c r="U51" s="366"/>
      <c r="V51" s="365"/>
      <c r="W51" s="363"/>
      <c r="X51" s="363"/>
      <c r="Y51" s="366"/>
    </row>
    <row r="52" spans="1:25" ht="16.5" thickBot="1" x14ac:dyDescent="0.3">
      <c r="A52" s="814"/>
      <c r="B52" s="815"/>
      <c r="C52" s="393" t="s">
        <v>293</v>
      </c>
      <c r="D52" s="393"/>
      <c r="E52" s="393" t="s">
        <v>288</v>
      </c>
      <c r="F52" s="505">
        <f>'[15]2020-25 Pricing Schedule'!F52</f>
        <v>6.8000000000000005E-2</v>
      </c>
      <c r="G52" s="514">
        <f>'[15]2020-25 Pricing Schedule'!G52</f>
        <v>2.52E-2</v>
      </c>
      <c r="H52" s="514">
        <f>'[15]2020-25 Pricing Schedule'!H52</f>
        <v>5.1999999999999998E-3</v>
      </c>
      <c r="I52" s="515">
        <f>SUM(F52:H52)</f>
        <v>9.8400000000000001E-2</v>
      </c>
      <c r="J52" s="505">
        <f>'DUoS (t)'!$H$30</f>
        <v>6.6400000000000001E-2</v>
      </c>
      <c r="K52" s="514">
        <f>'TUoS (t)'!$H$30</f>
        <v>2.75E-2</v>
      </c>
      <c r="L52" s="514">
        <f>'JSO (t)'!$H$30</f>
        <v>5.0999999999999995E-3</v>
      </c>
      <c r="M52" s="515">
        <f>SUM(J52:L52)</f>
        <v>9.8999999999999991E-2</v>
      </c>
      <c r="N52" s="394">
        <f>'[21]Price Schedule 5 year'!N52</f>
        <v>6.477860033505993E-2</v>
      </c>
      <c r="O52" s="396">
        <f>'[21]Price Schedule 5 year'!O52</f>
        <v>2.7282856816892215E-2</v>
      </c>
      <c r="P52" s="396">
        <f>'[21]Price Schedule 5 year'!P52</f>
        <v>5.7413592131549456E-3</v>
      </c>
      <c r="Q52" s="397">
        <f>SUM(N52:P52)</f>
        <v>9.7802816365107084E-2</v>
      </c>
      <c r="R52" s="394">
        <f>'[21]Price Schedule 5 year'!R52</f>
        <v>6.6069497489788478E-2</v>
      </c>
      <c r="S52" s="396">
        <f>'[21]Price Schedule 5 year'!S52</f>
        <v>2.8642923692910389E-2</v>
      </c>
      <c r="T52" s="396">
        <f>'[21]Price Schedule 5 year'!T52</f>
        <v>5.8747898066814847E-3</v>
      </c>
      <c r="U52" s="397">
        <f>SUM(R52:T52)</f>
        <v>0.10058721098938037</v>
      </c>
      <c r="V52" s="395">
        <f>'[21]Price Schedule 5 year'!V52</f>
        <v>6.6893692707450672E-2</v>
      </c>
      <c r="W52" s="396">
        <f>'[21]Price Schedule 5 year'!W52</f>
        <v>3.0064577892829798E-2</v>
      </c>
      <c r="X52" s="396">
        <f>'[21]Price Schedule 5 year'!X52</f>
        <v>6.0152961799890313E-3</v>
      </c>
      <c r="Y52" s="397">
        <f>SUM(V52:X52)</f>
        <v>0.1029735667802695</v>
      </c>
    </row>
    <row r="53" spans="1:25" x14ac:dyDescent="0.25">
      <c r="A53" s="350" t="s">
        <v>298</v>
      </c>
      <c r="G53" s="500"/>
      <c r="H53" s="500"/>
      <c r="I53" s="500"/>
      <c r="J53" s="500"/>
      <c r="K53" s="500"/>
      <c r="L53" s="500"/>
      <c r="M53" s="500"/>
    </row>
    <row r="54" spans="1:25" x14ac:dyDescent="0.25">
      <c r="B54" s="350">
        <v>1</v>
      </c>
      <c r="C54" s="350" t="s">
        <v>299</v>
      </c>
      <c r="G54" s="500"/>
      <c r="H54" s="500"/>
      <c r="I54" s="500"/>
      <c r="J54" s="500"/>
      <c r="K54" s="500"/>
      <c r="L54" s="500"/>
      <c r="M54" s="500"/>
    </row>
    <row r="55" spans="1:25" x14ac:dyDescent="0.25">
      <c r="B55" s="350">
        <v>2</v>
      </c>
      <c r="C55" s="350" t="s">
        <v>300</v>
      </c>
      <c r="G55" s="500"/>
      <c r="H55" s="500"/>
      <c r="I55" s="500"/>
      <c r="J55" s="500"/>
      <c r="K55" s="500"/>
      <c r="L55" s="500"/>
      <c r="M55" s="500"/>
    </row>
    <row r="56" spans="1:25" x14ac:dyDescent="0.25">
      <c r="B56" s="350">
        <v>3</v>
      </c>
      <c r="C56" s="350" t="s">
        <v>301</v>
      </c>
      <c r="G56" s="500"/>
      <c r="H56" s="500"/>
      <c r="I56" s="500"/>
      <c r="J56" s="500"/>
      <c r="K56" s="500"/>
      <c r="L56" s="500"/>
      <c r="M56" s="500"/>
    </row>
    <row r="57" spans="1:25" x14ac:dyDescent="0.25">
      <c r="B57" s="350">
        <v>4</v>
      </c>
      <c r="C57" s="350" t="s">
        <v>302</v>
      </c>
      <c r="G57" s="500"/>
      <c r="H57" s="500"/>
      <c r="I57" s="500"/>
      <c r="J57" s="500"/>
      <c r="K57" s="500"/>
      <c r="L57" s="500"/>
      <c r="M57" s="500"/>
    </row>
    <row r="58" spans="1:25" x14ac:dyDescent="0.25">
      <c r="B58" s="350">
        <v>5</v>
      </c>
      <c r="C58" s="350" t="s">
        <v>303</v>
      </c>
      <c r="G58" s="500"/>
      <c r="H58" s="500"/>
      <c r="I58" s="500"/>
      <c r="J58" s="500"/>
      <c r="K58" s="500"/>
      <c r="L58" s="500"/>
      <c r="M58" s="500"/>
    </row>
    <row r="59" spans="1:25" ht="15.75" thickBot="1" x14ac:dyDescent="0.3">
      <c r="F59" s="393"/>
      <c r="G59" s="393"/>
      <c r="H59" s="393"/>
      <c r="I59" s="393"/>
      <c r="J59" s="393"/>
      <c r="K59" s="393"/>
      <c r="L59" s="393"/>
      <c r="M59" s="393"/>
    </row>
    <row r="60" spans="1:25" ht="15.75" x14ac:dyDescent="0.25">
      <c r="B60" s="351" t="s">
        <v>304</v>
      </c>
      <c r="F60" s="933" t="s">
        <v>713</v>
      </c>
      <c r="G60" s="934"/>
      <c r="H60" s="934"/>
      <c r="I60" s="935"/>
      <c r="J60" s="933" t="s">
        <v>714</v>
      </c>
      <c r="K60" s="934"/>
      <c r="L60" s="934"/>
      <c r="M60" s="935"/>
      <c r="N60" s="933" t="s">
        <v>316</v>
      </c>
      <c r="O60" s="934"/>
      <c r="P60" s="934"/>
      <c r="Q60" s="935"/>
      <c r="R60" s="933" t="s">
        <v>317</v>
      </c>
      <c r="S60" s="934"/>
      <c r="T60" s="934"/>
      <c r="U60" s="935"/>
      <c r="V60" s="933" t="s">
        <v>318</v>
      </c>
      <c r="W60" s="934"/>
      <c r="X60" s="934"/>
      <c r="Y60" s="935"/>
    </row>
    <row r="61" spans="1:25" ht="16.5" thickBot="1" x14ac:dyDescent="0.3">
      <c r="B61" s="351" t="s">
        <v>281</v>
      </c>
      <c r="F61" s="353" t="s">
        <v>282</v>
      </c>
      <c r="G61" s="355" t="s">
        <v>283</v>
      </c>
      <c r="H61" s="355" t="s">
        <v>284</v>
      </c>
      <c r="I61" s="356" t="s">
        <v>285</v>
      </c>
      <c r="J61" s="353" t="s">
        <v>282</v>
      </c>
      <c r="K61" s="355" t="s">
        <v>283</v>
      </c>
      <c r="L61" s="355" t="s">
        <v>284</v>
      </c>
      <c r="M61" s="356" t="s">
        <v>285</v>
      </c>
      <c r="N61" s="353" t="s">
        <v>282</v>
      </c>
      <c r="O61" s="355" t="s">
        <v>283</v>
      </c>
      <c r="P61" s="355" t="s">
        <v>284</v>
      </c>
      <c r="Q61" s="356" t="s">
        <v>285</v>
      </c>
      <c r="R61" s="353" t="s">
        <v>282</v>
      </c>
      <c r="S61" s="355" t="s">
        <v>283</v>
      </c>
      <c r="T61" s="355" t="s">
        <v>284</v>
      </c>
      <c r="U61" s="356" t="s">
        <v>285</v>
      </c>
      <c r="V61" s="354" t="s">
        <v>282</v>
      </c>
      <c r="W61" s="355" t="s">
        <v>283</v>
      </c>
      <c r="X61" s="355" t="s">
        <v>284</v>
      </c>
      <c r="Y61" s="356" t="s">
        <v>285</v>
      </c>
    </row>
    <row r="62" spans="1:25" ht="15.75" x14ac:dyDescent="0.25">
      <c r="A62" s="352" t="str">
        <f>'[20]Large LV Bus'!A2</f>
        <v>Large LV Business Customers</v>
      </c>
      <c r="B62" s="357"/>
      <c r="C62" s="357"/>
      <c r="D62" s="357"/>
      <c r="E62" s="357"/>
      <c r="F62" s="502"/>
      <c r="G62" s="506"/>
      <c r="H62" s="506"/>
      <c r="I62" s="507"/>
      <c r="J62" s="502"/>
      <c r="K62" s="506"/>
      <c r="L62" s="506"/>
      <c r="M62" s="507"/>
      <c r="N62" s="358"/>
      <c r="O62" s="357"/>
      <c r="P62" s="357"/>
      <c r="Q62" s="360"/>
      <c r="R62" s="358"/>
      <c r="S62" s="357"/>
      <c r="T62" s="357"/>
      <c r="U62" s="360"/>
      <c r="V62" s="359"/>
      <c r="W62" s="357"/>
      <c r="X62" s="357"/>
      <c r="Y62" s="360"/>
    </row>
    <row r="63" spans="1:25" x14ac:dyDescent="0.25">
      <c r="A63" s="361"/>
      <c r="B63" s="362" t="s">
        <v>307</v>
      </c>
      <c r="C63" s="363"/>
      <c r="D63" s="363"/>
      <c r="E63" s="363" t="s">
        <v>308</v>
      </c>
      <c r="F63" s="503"/>
      <c r="G63" s="508"/>
      <c r="H63" s="508"/>
      <c r="I63" s="509"/>
      <c r="J63" s="503"/>
      <c r="K63" s="508"/>
      <c r="L63" s="508"/>
      <c r="M63" s="509"/>
      <c r="N63" s="364"/>
      <c r="O63" s="363"/>
      <c r="P63" s="363"/>
      <c r="Q63" s="366"/>
      <c r="R63" s="364"/>
      <c r="S63" s="363"/>
      <c r="T63" s="363"/>
      <c r="U63" s="366"/>
      <c r="V63" s="365"/>
      <c r="W63" s="363"/>
      <c r="X63" s="363"/>
      <c r="Y63" s="366"/>
    </row>
    <row r="64" spans="1:25" x14ac:dyDescent="0.25">
      <c r="A64" s="367"/>
      <c r="C64" s="350" t="str">
        <f>'[20]Large LV Bus'!B92</f>
        <v>Customers/Supply Ch</v>
      </c>
      <c r="E64" s="350" t="s">
        <v>287</v>
      </c>
      <c r="F64" s="730">
        <f>'[15]2020-25 Pricing Schedule'!F64</f>
        <v>2499.9945000000002</v>
      </c>
      <c r="G64" s="731">
        <f>'[15]2020-25 Pricing Schedule'!G64</f>
        <v>0</v>
      </c>
      <c r="H64" s="731">
        <f>'[15]2020-25 Pricing Schedule'!H64</f>
        <v>0</v>
      </c>
      <c r="I64" s="732">
        <f>SUM(F64:H64)</f>
        <v>2499.9945000000002</v>
      </c>
      <c r="J64" s="730">
        <f>'DUoS (t)'!$G$49*Days_Year</f>
        <v>2480.1750000000002</v>
      </c>
      <c r="K64" s="731">
        <f>'TUoS (t)'!$G$49*Days_Year</f>
        <v>0</v>
      </c>
      <c r="L64" s="731">
        <f>'JSO (t)'!$G$49*Days_Year</f>
        <v>0</v>
      </c>
      <c r="M64" s="732">
        <f>SUM(J64:L64)</f>
        <v>2480.1750000000002</v>
      </c>
      <c r="N64" s="405">
        <f>'[21]Price Schedule 5 year'!N64</f>
        <v>2384.9634734328779</v>
      </c>
      <c r="O64" s="407">
        <f>'[21]Price Schedule 5 year'!O64</f>
        <v>0</v>
      </c>
      <c r="P64" s="407">
        <f>'[21]Price Schedule 5 year'!P64</f>
        <v>0</v>
      </c>
      <c r="Q64" s="408">
        <f>SUM(N64:P64)</f>
        <v>2384.9634734328779</v>
      </c>
      <c r="R64" s="405">
        <f>'[21]Price Schedule 5 year'!R64</f>
        <v>2443.9913194003416</v>
      </c>
      <c r="S64" s="407">
        <f>'[21]Price Schedule 5 year'!S64</f>
        <v>0</v>
      </c>
      <c r="T64" s="407">
        <f>'[21]Price Schedule 5 year'!T64</f>
        <v>0</v>
      </c>
      <c r="U64" s="408">
        <f>SUM(R64:T64)</f>
        <v>2443.9913194003416</v>
      </c>
      <c r="V64" s="406">
        <f>'[21]Price Schedule 5 year'!V64</f>
        <v>2500.5986779072014</v>
      </c>
      <c r="W64" s="407">
        <f>'[21]Price Schedule 5 year'!W64</f>
        <v>0</v>
      </c>
      <c r="X64" s="407">
        <f>'[21]Price Schedule 5 year'!X64</f>
        <v>0</v>
      </c>
      <c r="Y64" s="408">
        <f>SUM(V64:X64)</f>
        <v>2500.5986779072014</v>
      </c>
    </row>
    <row r="65" spans="1:25" x14ac:dyDescent="0.25">
      <c r="A65" s="367"/>
      <c r="C65" s="350" t="str">
        <f>'[20]Large LV Bus'!B93</f>
        <v>Peak Annual Max Demand</v>
      </c>
      <c r="D65" s="350">
        <v>3</v>
      </c>
      <c r="E65" s="350" t="s">
        <v>673</v>
      </c>
      <c r="F65" s="727">
        <f>'[15]2020-25 Pricing Schedule'!F65</f>
        <v>52.924999999999997</v>
      </c>
      <c r="G65" s="728">
        <f>'[15]2020-25 Pricing Schedule'!G65</f>
        <v>39.529499999999999</v>
      </c>
      <c r="H65" s="728">
        <f>'[15]2020-25 Pricing Schedule'!H65</f>
        <v>0</v>
      </c>
      <c r="I65" s="729">
        <f>SUM(F65:H65)</f>
        <v>92.454499999999996</v>
      </c>
      <c r="J65" s="727">
        <f>'DUoS (t)'!$S$49*Days_Year</f>
        <v>52.487000000000002</v>
      </c>
      <c r="K65" s="728">
        <f>'TUoS (t)'!$S$49*Days_Year</f>
        <v>42.3765</v>
      </c>
      <c r="L65" s="728">
        <f>'JSO (t)'!$S$49*Days_Year</f>
        <v>0</v>
      </c>
      <c r="M65" s="729">
        <f>SUM(J65:L65)</f>
        <v>94.863500000000002</v>
      </c>
      <c r="N65" s="369">
        <f>'[21]Price Schedule 5 year'!N65</f>
        <v>50.5</v>
      </c>
      <c r="O65" s="371">
        <f>'[21]Price Schedule 5 year'!O65</f>
        <v>42.5</v>
      </c>
      <c r="P65" s="371">
        <f>'[21]Price Schedule 5 year'!P65</f>
        <v>0</v>
      </c>
      <c r="Q65" s="372">
        <f>SUM(N65:P65)</f>
        <v>93</v>
      </c>
      <c r="R65" s="369">
        <f>'[21]Price Schedule 5 year'!R65</f>
        <v>51.7</v>
      </c>
      <c r="S65" s="371">
        <f>'[21]Price Schedule 5 year'!S65</f>
        <v>44.5</v>
      </c>
      <c r="T65" s="371">
        <f>'[21]Price Schedule 5 year'!T65</f>
        <v>0</v>
      </c>
      <c r="U65" s="372">
        <f>SUM(R65:T65)</f>
        <v>96.2</v>
      </c>
      <c r="V65" s="370">
        <f>'[21]Price Schedule 5 year'!V65</f>
        <v>52.9</v>
      </c>
      <c r="W65" s="371">
        <f>'[21]Price Schedule 5 year'!W65</f>
        <v>46.5</v>
      </c>
      <c r="X65" s="371">
        <f>'[21]Price Schedule 5 year'!X65</f>
        <v>0</v>
      </c>
      <c r="Y65" s="372">
        <f>SUM(V65:X65)</f>
        <v>99.4</v>
      </c>
    </row>
    <row r="66" spans="1:25" x14ac:dyDescent="0.25">
      <c r="A66" s="367"/>
      <c r="C66" s="350" t="str">
        <f>'[20]Large LV Bus'!B94</f>
        <v>Anytime Actual Demand</v>
      </c>
      <c r="D66" s="350">
        <v>3</v>
      </c>
      <c r="E66" s="350" t="s">
        <v>673</v>
      </c>
      <c r="F66" s="727">
        <f>'[15]2020-25 Pricing Schedule'!F66</f>
        <v>37.814</v>
      </c>
      <c r="G66" s="728">
        <f>'[15]2020-25 Pricing Schedule'!G66</f>
        <v>0</v>
      </c>
      <c r="H66" s="728">
        <f>'[15]2020-25 Pricing Schedule'!H66</f>
        <v>0</v>
      </c>
      <c r="I66" s="729">
        <f>SUM(F66:H66)</f>
        <v>37.814</v>
      </c>
      <c r="J66" s="727">
        <f>'DUoS (t)'!$T$49*Days_Year</f>
        <v>37.521999999999998</v>
      </c>
      <c r="K66" s="728">
        <f>'TUoS (t)'!$T$49*Days_Year</f>
        <v>0</v>
      </c>
      <c r="L66" s="728">
        <f>'JSO (t)'!$T$49*Days_Year</f>
        <v>0</v>
      </c>
      <c r="M66" s="729">
        <f>SUM(J66:L66)</f>
        <v>37.521999999999998</v>
      </c>
      <c r="N66" s="369">
        <f>'[21]Price Schedule 5 year'!N66</f>
        <v>36</v>
      </c>
      <c r="O66" s="371">
        <f>'[21]Price Schedule 5 year'!O66</f>
        <v>0</v>
      </c>
      <c r="P66" s="371">
        <f>'[21]Price Schedule 5 year'!P66</f>
        <v>0</v>
      </c>
      <c r="Q66" s="372">
        <f>SUM(N66:P66)</f>
        <v>36</v>
      </c>
      <c r="R66" s="369">
        <f>'[21]Price Schedule 5 year'!R66</f>
        <v>36.9</v>
      </c>
      <c r="S66" s="371">
        <f>'[21]Price Schedule 5 year'!S66</f>
        <v>0</v>
      </c>
      <c r="T66" s="371">
        <f>'[21]Price Schedule 5 year'!T66</f>
        <v>0</v>
      </c>
      <c r="U66" s="372">
        <f>SUM(R66:T66)</f>
        <v>36.9</v>
      </c>
      <c r="V66" s="370">
        <f>'[21]Price Schedule 5 year'!V66</f>
        <v>37.799999999999997</v>
      </c>
      <c r="W66" s="371">
        <f>'[21]Price Schedule 5 year'!W66</f>
        <v>0</v>
      </c>
      <c r="X66" s="371">
        <f>'[21]Price Schedule 5 year'!X66</f>
        <v>0</v>
      </c>
      <c r="Y66" s="372">
        <f>SUM(V66:X66)</f>
        <v>37.799999999999997</v>
      </c>
    </row>
    <row r="67" spans="1:25" x14ac:dyDescent="0.25">
      <c r="A67" s="367"/>
      <c r="C67" s="350" t="str">
        <f>'[20]Large LV Bus'!B95</f>
        <v>Peak Usage</v>
      </c>
      <c r="E67" s="350" t="s">
        <v>288</v>
      </c>
      <c r="F67" s="501">
        <f>'[15]2020-25 Pricing Schedule'!F67</f>
        <v>4.2099999999999999E-2</v>
      </c>
      <c r="G67" s="510">
        <f>'[15]2020-25 Pricing Schedule'!G67</f>
        <v>1.7600000000000001E-2</v>
      </c>
      <c r="H67" s="510">
        <f>'[15]2020-25 Pricing Schedule'!H67</f>
        <v>6.4999999999999997E-3</v>
      </c>
      <c r="I67" s="511">
        <f>SUM(F67:H67)</f>
        <v>6.6200000000000009E-2</v>
      </c>
      <c r="J67" s="501">
        <f>'DUoS (t)'!$I$49</f>
        <v>4.1799999999999997E-2</v>
      </c>
      <c r="K67" s="510">
        <f>'TUoS (t)'!$I$49</f>
        <v>1.89E-2</v>
      </c>
      <c r="L67" s="510">
        <f>'JSO (t)'!$I$49</f>
        <v>6.6E-3</v>
      </c>
      <c r="M67" s="511">
        <f>SUM(J67:L67)</f>
        <v>6.7299999999999999E-2</v>
      </c>
      <c r="N67" s="384">
        <f>'[21]Price Schedule 5 year'!N67</f>
        <v>4.0143705184822208E-2</v>
      </c>
      <c r="O67" s="386">
        <f>'[21]Price Schedule 5 year'!O67</f>
        <v>1.8939209923524266E-2</v>
      </c>
      <c r="P67" s="386">
        <f>'[21]Price Schedule 5 year'!P67</f>
        <v>6.7112414077694915E-3</v>
      </c>
      <c r="Q67" s="387">
        <f>SUM(N67:P67)</f>
        <v>6.5794156516115962E-2</v>
      </c>
      <c r="R67" s="384">
        <f>'[21]Price Schedule 5 year'!R67</f>
        <v>4.1137261888146558E-2</v>
      </c>
      <c r="S67" s="386">
        <f>'[21]Price Schedule 5 year'!S67</f>
        <v>1.9819518519055425E-2</v>
      </c>
      <c r="T67" s="386">
        <f>'[21]Price Schedule 5 year'!T67</f>
        <v>6.8502060418470789E-3</v>
      </c>
      <c r="U67" s="387">
        <f>SUM(R67:T67)</f>
        <v>6.7806986449049061E-2</v>
      </c>
      <c r="V67" s="385">
        <f>'[21]Price Schedule 5 year'!V67</f>
        <v>4.2090076946534022E-2</v>
      </c>
      <c r="W67" s="386">
        <f>'[21]Price Schedule 5 year'!W67</f>
        <v>2.0731216370931976E-2</v>
      </c>
      <c r="X67" s="386">
        <f>'[21]Price Schedule 5 year'!X67</f>
        <v>6.9958126714100878E-3</v>
      </c>
      <c r="Y67" s="387">
        <f>SUM(V67:X67)</f>
        <v>6.9817105988876083E-2</v>
      </c>
    </row>
    <row r="68" spans="1:25" x14ac:dyDescent="0.25">
      <c r="A68" s="373"/>
      <c r="B68" s="375"/>
      <c r="C68" s="375" t="str">
        <f>'[20]Large LV Bus'!B96</f>
        <v>Off-Peak Usage</v>
      </c>
      <c r="D68" s="375"/>
      <c r="E68" s="375" t="s">
        <v>288</v>
      </c>
      <c r="F68" s="504">
        <f>'[15]2020-25 Pricing Schedule'!F68</f>
        <v>2.63E-2</v>
      </c>
      <c r="G68" s="512">
        <f>'[15]2020-25 Pricing Schedule'!G68</f>
        <v>1.0999999999999999E-2</v>
      </c>
      <c r="H68" s="512">
        <f>'[15]2020-25 Pricing Schedule'!H68</f>
        <v>4.1000000000000003E-3</v>
      </c>
      <c r="I68" s="513">
        <f>SUM(F68:H68)</f>
        <v>4.1399999999999999E-2</v>
      </c>
      <c r="J68" s="504">
        <f>'DUoS (t)'!$K$49</f>
        <v>2.6100000000000002E-2</v>
      </c>
      <c r="K68" s="512">
        <f>'TUoS (t)'!$K$49</f>
        <v>1.18E-2</v>
      </c>
      <c r="L68" s="512">
        <f>'JSO (t)'!$K$49</f>
        <v>4.1000000000000003E-3</v>
      </c>
      <c r="M68" s="513">
        <f>SUM(J68:L68)</f>
        <v>4.2000000000000003E-2</v>
      </c>
      <c r="N68" s="376">
        <f>'[21]Price Schedule 5 year'!N68</f>
        <v>2.5089815740513877E-2</v>
      </c>
      <c r="O68" s="378">
        <f>'[21]Price Schedule 5 year'!O68</f>
        <v>1.1837006202202668E-2</v>
      </c>
      <c r="P68" s="378">
        <f>'[21]Price Schedule 5 year'!P68</f>
        <v>4.1945258798559322E-3</v>
      </c>
      <c r="Q68" s="379">
        <f>SUM(N68:P68)</f>
        <v>4.1121347822572471E-2</v>
      </c>
      <c r="R68" s="376">
        <f>'[21]Price Schedule 5 year'!R68</f>
        <v>2.5710788680091596E-2</v>
      </c>
      <c r="S68" s="378">
        <f>'[21]Price Schedule 5 year'!S68</f>
        <v>1.2387199074409643E-2</v>
      </c>
      <c r="T68" s="378">
        <f>'[21]Price Schedule 5 year'!T68</f>
        <v>4.2813787761544243E-3</v>
      </c>
      <c r="U68" s="379">
        <f>SUM(R68:T68)</f>
        <v>4.237936653065566E-2</v>
      </c>
      <c r="V68" s="377">
        <f>'[21]Price Schedule 5 year'!V68</f>
        <v>2.6306298091583764E-2</v>
      </c>
      <c r="W68" s="378">
        <f>'[21]Price Schedule 5 year'!W68</f>
        <v>1.2957010231832487E-2</v>
      </c>
      <c r="X68" s="378">
        <f>'[21]Price Schedule 5 year'!X68</f>
        <v>4.3723829196313044E-3</v>
      </c>
      <c r="Y68" s="379">
        <f>SUM(V68:X68)</f>
        <v>4.3635691243047552E-2</v>
      </c>
    </row>
    <row r="69" spans="1:25" x14ac:dyDescent="0.25">
      <c r="A69" s="361"/>
      <c r="B69" s="362" t="s">
        <v>305</v>
      </c>
      <c r="C69" s="363"/>
      <c r="D69" s="363"/>
      <c r="E69" s="363" t="s">
        <v>306</v>
      </c>
      <c r="F69" s="503"/>
      <c r="G69" s="508"/>
      <c r="H69" s="508"/>
      <c r="I69" s="509"/>
      <c r="J69" s="503"/>
      <c r="K69" s="508"/>
      <c r="L69" s="508"/>
      <c r="M69" s="509"/>
      <c r="N69" s="364"/>
      <c r="O69" s="363"/>
      <c r="P69" s="363"/>
      <c r="Q69" s="366"/>
      <c r="R69" s="364"/>
      <c r="S69" s="363"/>
      <c r="T69" s="363"/>
      <c r="U69" s="366"/>
      <c r="V69" s="365"/>
      <c r="W69" s="363"/>
      <c r="X69" s="363"/>
      <c r="Y69" s="366"/>
    </row>
    <row r="70" spans="1:25" x14ac:dyDescent="0.25">
      <c r="A70" s="367"/>
      <c r="C70" s="350" t="str">
        <f>'[20]Large LV Bus'!B84</f>
        <v>Customers/Supply Ch</v>
      </c>
      <c r="E70" s="350" t="s">
        <v>287</v>
      </c>
      <c r="F70" s="730">
        <f>'[15]2020-25 Pricing Schedule'!F70</f>
        <v>2499.9945000000002</v>
      </c>
      <c r="G70" s="731">
        <f>'[15]2020-25 Pricing Schedule'!G70</f>
        <v>0</v>
      </c>
      <c r="H70" s="731">
        <f>'[15]2020-25 Pricing Schedule'!H70</f>
        <v>0</v>
      </c>
      <c r="I70" s="732">
        <f>SUM(F70:H70)</f>
        <v>2499.9945000000002</v>
      </c>
      <c r="J70" s="730">
        <f>'DUoS (t)'!$G$50*Days_Year</f>
        <v>2480.1750000000002</v>
      </c>
      <c r="K70" s="731">
        <f>'TUoS (t)'!$G$50*Days_Year</f>
        <v>0</v>
      </c>
      <c r="L70" s="731">
        <f>'JSO (t)'!$G$50*Days_Year</f>
        <v>0</v>
      </c>
      <c r="M70" s="732">
        <f>SUM(J70:L70)</f>
        <v>2480.1750000000002</v>
      </c>
      <c r="N70" s="405">
        <f>'[21]Price Schedule 5 year'!N70</f>
        <v>2384.9634734328779</v>
      </c>
      <c r="O70" s="407">
        <f>'[21]Price Schedule 5 year'!O70</f>
        <v>0</v>
      </c>
      <c r="P70" s="407">
        <f>'[21]Price Schedule 5 year'!P70</f>
        <v>0</v>
      </c>
      <c r="Q70" s="408">
        <f>SUM(N70:P70)</f>
        <v>2384.9634734328779</v>
      </c>
      <c r="R70" s="405">
        <f>'[21]Price Schedule 5 year'!R70</f>
        <v>2443.9913194003416</v>
      </c>
      <c r="S70" s="407">
        <f>'[21]Price Schedule 5 year'!S70</f>
        <v>0</v>
      </c>
      <c r="T70" s="407">
        <f>'[21]Price Schedule 5 year'!T70</f>
        <v>0</v>
      </c>
      <c r="U70" s="408">
        <f>SUM(R70:T70)</f>
        <v>2443.9913194003416</v>
      </c>
      <c r="V70" s="406">
        <f>'[21]Price Schedule 5 year'!V70</f>
        <v>2500.5986779072014</v>
      </c>
      <c r="W70" s="407">
        <f>'[21]Price Schedule 5 year'!W70</f>
        <v>0</v>
      </c>
      <c r="X70" s="407">
        <f>'[21]Price Schedule 5 year'!X70</f>
        <v>0</v>
      </c>
      <c r="Y70" s="408">
        <f>SUM(V70:X70)</f>
        <v>2500.5986779072014</v>
      </c>
    </row>
    <row r="71" spans="1:25" x14ac:dyDescent="0.25">
      <c r="A71" s="367"/>
      <c r="C71" s="350" t="str">
        <f>'[20]Large LV Bus'!B85</f>
        <v>Peak Actual Monthly Demand</v>
      </c>
      <c r="D71" s="350">
        <v>1</v>
      </c>
      <c r="E71" s="350" t="s">
        <v>672</v>
      </c>
      <c r="F71" s="727">
        <f>'[15]2020-25 Pricing Schedule'!F71</f>
        <v>15.876139999999998</v>
      </c>
      <c r="G71" s="728">
        <f>'[15]2020-25 Pricing Schedule'!G71</f>
        <v>11.85652</v>
      </c>
      <c r="H71" s="728">
        <f>'[15]2020-25 Pricing Schedule'!H71</f>
        <v>0</v>
      </c>
      <c r="I71" s="729">
        <f>SUM(F71:H71)</f>
        <v>27.732659999999996</v>
      </c>
      <c r="J71" s="727">
        <f>'DUoS (t)'!$P$50*Days_Summer_Demand/5</f>
        <v>15.7493</v>
      </c>
      <c r="K71" s="728">
        <f>'TUoS (t)'!$P$50*Days_Summer_Demand/5</f>
        <v>12.708160000000001</v>
      </c>
      <c r="L71" s="728">
        <f>'JSO (t)'!$P$50*Days_Summer_Demand/5</f>
        <v>0</v>
      </c>
      <c r="M71" s="729">
        <f>SUM(J71:L71)</f>
        <v>28.457460000000001</v>
      </c>
      <c r="N71" s="369">
        <f>'[21]Price Schedule 5 year'!N71</f>
        <v>15.15</v>
      </c>
      <c r="O71" s="371">
        <f>'[21]Price Schedule 5 year'!O71</f>
        <v>12.75</v>
      </c>
      <c r="P71" s="371">
        <f>'[21]Price Schedule 5 year'!P71</f>
        <v>0</v>
      </c>
      <c r="Q71" s="372">
        <f>SUM(N71:P71)</f>
        <v>27.9</v>
      </c>
      <c r="R71" s="369">
        <f>'[21]Price Schedule 5 year'!R71</f>
        <v>15.510000000000002</v>
      </c>
      <c r="S71" s="371">
        <f>'[21]Price Schedule 5 year'!S71</f>
        <v>13.35</v>
      </c>
      <c r="T71" s="371">
        <f>'[21]Price Schedule 5 year'!T71</f>
        <v>0</v>
      </c>
      <c r="U71" s="372">
        <f>SUM(R71:T71)</f>
        <v>28.86</v>
      </c>
      <c r="V71" s="370">
        <f>'[21]Price Schedule 5 year'!V71</f>
        <v>15.87</v>
      </c>
      <c r="W71" s="371">
        <f>'[21]Price Schedule 5 year'!W71</f>
        <v>13.95</v>
      </c>
      <c r="X71" s="371">
        <f>'[21]Price Schedule 5 year'!X71</f>
        <v>0</v>
      </c>
      <c r="Y71" s="372">
        <f>SUM(V71:X71)</f>
        <v>29.82</v>
      </c>
    </row>
    <row r="72" spans="1:25" x14ac:dyDescent="0.25">
      <c r="A72" s="367"/>
      <c r="C72" s="350" t="str">
        <f>'[20]Large LV Bus'!B86</f>
        <v>Anytime Actual Demand</v>
      </c>
      <c r="D72" s="350">
        <v>3</v>
      </c>
      <c r="E72" s="350" t="s">
        <v>294</v>
      </c>
      <c r="F72" s="727">
        <f>'[15]2020-25 Pricing Schedule'!F72</f>
        <v>37.814</v>
      </c>
      <c r="G72" s="728">
        <f>'[15]2020-25 Pricing Schedule'!G72</f>
        <v>0</v>
      </c>
      <c r="H72" s="728">
        <f>'[15]2020-25 Pricing Schedule'!H72</f>
        <v>0</v>
      </c>
      <c r="I72" s="729">
        <f>SUM(F72:H72)</f>
        <v>37.814</v>
      </c>
      <c r="J72" s="727">
        <f>'DUoS (t)'!$T$50*Days_Year</f>
        <v>37.521999999999998</v>
      </c>
      <c r="K72" s="728">
        <f>'TUoS (t)'!$T$50*Days_Year</f>
        <v>0</v>
      </c>
      <c r="L72" s="728">
        <f>'JSO (t)'!$T$50*Days_Year</f>
        <v>0</v>
      </c>
      <c r="M72" s="729">
        <f>SUM(J72:L72)</f>
        <v>37.521999999999998</v>
      </c>
      <c r="N72" s="369">
        <f>'[21]Price Schedule 5 year'!N72</f>
        <v>36</v>
      </c>
      <c r="O72" s="371">
        <f>'[21]Price Schedule 5 year'!O72</f>
        <v>0</v>
      </c>
      <c r="P72" s="371">
        <f>'[21]Price Schedule 5 year'!P72</f>
        <v>0</v>
      </c>
      <c r="Q72" s="372">
        <f>SUM(N72:P72)</f>
        <v>36</v>
      </c>
      <c r="R72" s="369">
        <f>'[21]Price Schedule 5 year'!R72</f>
        <v>36.9</v>
      </c>
      <c r="S72" s="371">
        <f>'[21]Price Schedule 5 year'!S72</f>
        <v>0</v>
      </c>
      <c r="T72" s="371">
        <f>'[21]Price Schedule 5 year'!T72</f>
        <v>0</v>
      </c>
      <c r="U72" s="372">
        <f>SUM(R72:T72)</f>
        <v>36.9</v>
      </c>
      <c r="V72" s="370">
        <f>'[21]Price Schedule 5 year'!V72</f>
        <v>37.799999999999997</v>
      </c>
      <c r="W72" s="371">
        <f>'[21]Price Schedule 5 year'!W72</f>
        <v>0</v>
      </c>
      <c r="X72" s="371">
        <f>'[21]Price Schedule 5 year'!X72</f>
        <v>0</v>
      </c>
      <c r="Y72" s="372">
        <f>SUM(V72:X72)</f>
        <v>37.799999999999997</v>
      </c>
    </row>
    <row r="73" spans="1:25" x14ac:dyDescent="0.25">
      <c r="A73" s="367"/>
      <c r="C73" s="350" t="str">
        <f>'[20]Large LV Bus'!B87</f>
        <v>Peak Usage</v>
      </c>
      <c r="E73" s="350" t="s">
        <v>294</v>
      </c>
      <c r="F73" s="501">
        <f>'[15]2020-25 Pricing Schedule'!F73</f>
        <v>4.2099999999999999E-2</v>
      </c>
      <c r="G73" s="510">
        <f>'[15]2020-25 Pricing Schedule'!G73</f>
        <v>1.7600000000000001E-2</v>
      </c>
      <c r="H73" s="510">
        <f>'[15]2020-25 Pricing Schedule'!H73</f>
        <v>6.4999999999999997E-3</v>
      </c>
      <c r="I73" s="511">
        <f>SUM(F73:H73)</f>
        <v>6.6200000000000009E-2</v>
      </c>
      <c r="J73" s="501">
        <f>'DUoS (t)'!$I$50</f>
        <v>4.1799999999999997E-2</v>
      </c>
      <c r="K73" s="510">
        <f>'TUoS (t)'!$I$50</f>
        <v>1.89E-2</v>
      </c>
      <c r="L73" s="510">
        <f>'JSO (t)'!$I$50</f>
        <v>6.6E-3</v>
      </c>
      <c r="M73" s="511">
        <f>SUM(J73:L73)</f>
        <v>6.7299999999999999E-2</v>
      </c>
      <c r="N73" s="384">
        <f>'[21]Price Schedule 5 year'!N73</f>
        <v>4.0143705184822208E-2</v>
      </c>
      <c r="O73" s="386">
        <f>'[21]Price Schedule 5 year'!O73</f>
        <v>1.8939209923524266E-2</v>
      </c>
      <c r="P73" s="386">
        <f>'[21]Price Schedule 5 year'!P73</f>
        <v>6.7112414077694915E-3</v>
      </c>
      <c r="Q73" s="387">
        <f>SUM(N73:P73)</f>
        <v>6.5794156516115962E-2</v>
      </c>
      <c r="R73" s="384">
        <f>'[21]Price Schedule 5 year'!R73</f>
        <v>4.1137261888146558E-2</v>
      </c>
      <c r="S73" s="386">
        <f>'[21]Price Schedule 5 year'!S73</f>
        <v>1.9819518519055425E-2</v>
      </c>
      <c r="T73" s="386">
        <f>'[21]Price Schedule 5 year'!T73</f>
        <v>6.8502060418470789E-3</v>
      </c>
      <c r="U73" s="387">
        <f>SUM(R73:T73)</f>
        <v>6.7806986449049061E-2</v>
      </c>
      <c r="V73" s="385">
        <f>'[21]Price Schedule 5 year'!V73</f>
        <v>4.2090076946534022E-2</v>
      </c>
      <c r="W73" s="386">
        <f>'[21]Price Schedule 5 year'!W73</f>
        <v>2.0731216370931976E-2</v>
      </c>
      <c r="X73" s="386">
        <f>'[21]Price Schedule 5 year'!X73</f>
        <v>6.9958126714100878E-3</v>
      </c>
      <c r="Y73" s="387">
        <f>SUM(V73:X73)</f>
        <v>6.9817105988876083E-2</v>
      </c>
    </row>
    <row r="74" spans="1:25" x14ac:dyDescent="0.25">
      <c r="A74" s="373"/>
      <c r="B74" s="375"/>
      <c r="C74" s="375" t="str">
        <f>'[20]Large LV Bus'!B88</f>
        <v>Off-Peak Usage</v>
      </c>
      <c r="D74" s="375"/>
      <c r="E74" s="375" t="s">
        <v>288</v>
      </c>
      <c r="F74" s="504">
        <f>'[15]2020-25 Pricing Schedule'!F74</f>
        <v>2.63E-2</v>
      </c>
      <c r="G74" s="512">
        <f>'[15]2020-25 Pricing Schedule'!G74</f>
        <v>1.0999999999999999E-2</v>
      </c>
      <c r="H74" s="512">
        <f>'[15]2020-25 Pricing Schedule'!H74</f>
        <v>4.1000000000000003E-3</v>
      </c>
      <c r="I74" s="513">
        <f>SUM(F74:H74)</f>
        <v>4.1399999999999999E-2</v>
      </c>
      <c r="J74" s="504">
        <f>'DUoS (t)'!$K$50</f>
        <v>2.6100000000000002E-2</v>
      </c>
      <c r="K74" s="512">
        <f>'TUoS (t)'!$K$50</f>
        <v>1.18E-2</v>
      </c>
      <c r="L74" s="512">
        <f>'JSO (t)'!$K$50</f>
        <v>4.1000000000000003E-3</v>
      </c>
      <c r="M74" s="513">
        <f>SUM(J74:L74)</f>
        <v>4.2000000000000003E-2</v>
      </c>
      <c r="N74" s="376">
        <f>'[21]Price Schedule 5 year'!N74</f>
        <v>2.5089815740513877E-2</v>
      </c>
      <c r="O74" s="378">
        <f>'[21]Price Schedule 5 year'!O74</f>
        <v>1.1837006202202668E-2</v>
      </c>
      <c r="P74" s="378">
        <f>'[21]Price Schedule 5 year'!P74</f>
        <v>4.1945258798559322E-3</v>
      </c>
      <c r="Q74" s="379">
        <f>SUM(N74:P74)</f>
        <v>4.1121347822572471E-2</v>
      </c>
      <c r="R74" s="376">
        <f>'[21]Price Schedule 5 year'!R74</f>
        <v>2.5710788680091596E-2</v>
      </c>
      <c r="S74" s="378">
        <f>'[21]Price Schedule 5 year'!S74</f>
        <v>1.2387199074409643E-2</v>
      </c>
      <c r="T74" s="378">
        <f>'[21]Price Schedule 5 year'!T74</f>
        <v>4.2813787761544243E-3</v>
      </c>
      <c r="U74" s="379">
        <f>SUM(R74:T74)</f>
        <v>4.237936653065566E-2</v>
      </c>
      <c r="V74" s="377">
        <f>'[21]Price Schedule 5 year'!V74</f>
        <v>2.6306298091583764E-2</v>
      </c>
      <c r="W74" s="378">
        <f>'[21]Price Schedule 5 year'!W74</f>
        <v>1.2957010231832487E-2</v>
      </c>
      <c r="X74" s="378">
        <f>'[21]Price Schedule 5 year'!X74</f>
        <v>4.3723829196313044E-3</v>
      </c>
      <c r="Y74" s="379">
        <f>SUM(V74:X74)</f>
        <v>4.3635691243047552E-2</v>
      </c>
    </row>
    <row r="75" spans="1:25" x14ac:dyDescent="0.25">
      <c r="A75" s="361"/>
      <c r="B75" s="362" t="str">
        <f>'[20]Large LV Bus'!B68</f>
        <v>Large LV Bus Actual Demand</v>
      </c>
      <c r="C75" s="363"/>
      <c r="D75" s="363"/>
      <c r="E75" s="363" t="s">
        <v>286</v>
      </c>
      <c r="F75" s="503"/>
      <c r="G75" s="508"/>
      <c r="H75" s="508"/>
      <c r="I75" s="509"/>
      <c r="J75" s="503"/>
      <c r="K75" s="508"/>
      <c r="L75" s="508"/>
      <c r="M75" s="509"/>
      <c r="N75" s="364"/>
      <c r="O75" s="363"/>
      <c r="P75" s="363"/>
      <c r="Q75" s="366"/>
      <c r="R75" s="364"/>
      <c r="S75" s="363"/>
      <c r="T75" s="363"/>
      <c r="U75" s="366"/>
      <c r="V75" s="365"/>
      <c r="W75" s="363"/>
      <c r="X75" s="363"/>
      <c r="Y75" s="366"/>
    </row>
    <row r="76" spans="1:25" x14ac:dyDescent="0.25">
      <c r="A76" s="367"/>
      <c r="C76" s="350" t="str">
        <f>'[20]Large LV Bus'!B69</f>
        <v>Customers/Supply Ch</v>
      </c>
      <c r="E76" s="350" t="s">
        <v>287</v>
      </c>
      <c r="F76" s="730">
        <f>'[15]2020-25 Pricing Schedule'!F76</f>
        <v>999.9905</v>
      </c>
      <c r="G76" s="731">
        <f>'[15]2020-25 Pricing Schedule'!G76</f>
        <v>0</v>
      </c>
      <c r="H76" s="731">
        <f>'[15]2020-25 Pricing Schedule'!H76</f>
        <v>0</v>
      </c>
      <c r="I76" s="732">
        <f>SUM(F76:H76)</f>
        <v>999.9905</v>
      </c>
      <c r="J76" s="730">
        <f>'DUoS (t)'!$G$52*Days_Year</f>
        <v>1999.981</v>
      </c>
      <c r="K76" s="731">
        <f>'TUoS (t)'!$G$52*Days_Year</f>
        <v>0</v>
      </c>
      <c r="L76" s="731">
        <f>'JSO (t)'!$G$52*Days_Year</f>
        <v>0</v>
      </c>
      <c r="M76" s="732">
        <f>SUM(J76:L76)</f>
        <v>1999.981</v>
      </c>
      <c r="N76" s="369">
        <f>'[21]Price Schedule 5 year'!N76</f>
        <v>2999.9967999999999</v>
      </c>
      <c r="O76" s="371">
        <f>'[21]Price Schedule 5 year'!O76</f>
        <v>0</v>
      </c>
      <c r="P76" s="371">
        <f>'[21]Price Schedule 5 year'!P76</f>
        <v>0</v>
      </c>
      <c r="Q76" s="372">
        <f>SUM(N76:P76)</f>
        <v>2999.9967999999999</v>
      </c>
      <c r="R76" s="369">
        <f>'[21]Price Schedule 5 year'!R76</f>
        <v>3999.9967999999999</v>
      </c>
      <c r="S76" s="371">
        <f>'[21]Price Schedule 5 year'!S76</f>
        <v>0</v>
      </c>
      <c r="T76" s="371">
        <f>'[21]Price Schedule 5 year'!T76</f>
        <v>0</v>
      </c>
      <c r="U76" s="372">
        <f>SUM(R76:T76)</f>
        <v>3999.9967999999999</v>
      </c>
      <c r="V76" s="370">
        <f>'[21]Price Schedule 5 year'!V76</f>
        <v>4999.9967999999999</v>
      </c>
      <c r="W76" s="371">
        <f>'[21]Price Schedule 5 year'!W76</f>
        <v>0</v>
      </c>
      <c r="X76" s="371">
        <f>'[21]Price Schedule 5 year'!X76</f>
        <v>0</v>
      </c>
      <c r="Y76" s="372">
        <f>SUM(V76:X76)</f>
        <v>4999.9967999999999</v>
      </c>
    </row>
    <row r="77" spans="1:25" x14ac:dyDescent="0.25">
      <c r="A77" s="367"/>
      <c r="C77" s="350" t="str">
        <f>'[20]Large LV Bus'!B70</f>
        <v>Peak Actual Demand</v>
      </c>
      <c r="D77" s="350">
        <v>1</v>
      </c>
      <c r="E77" s="350" t="s">
        <v>295</v>
      </c>
      <c r="F77" s="727">
        <f>'[15]2020-25 Pricing Schedule'!F77</f>
        <v>9.3438800000000004</v>
      </c>
      <c r="G77" s="728">
        <f>'[15]2020-25 Pricing Schedule'!G77</f>
        <v>2.6213600000000001</v>
      </c>
      <c r="H77" s="728">
        <f>'[15]2020-25 Pricing Schedule'!H77</f>
        <v>0</v>
      </c>
      <c r="I77" s="729">
        <f>SUM(F77:H77)</f>
        <v>11.965240000000001</v>
      </c>
      <c r="J77" s="727">
        <f>'DUoS (t)'!$Q$52*Days_Summer_Demand/5</f>
        <v>9.3438800000000004</v>
      </c>
      <c r="K77" s="728">
        <f>'TUoS (t)'!$Q$52*Days_Summer_Demand/5</f>
        <v>2.6213600000000001</v>
      </c>
      <c r="L77" s="728">
        <f>'JSO (t)'!$Q$52*Days_Summer_Demand/5</f>
        <v>0</v>
      </c>
      <c r="M77" s="729">
        <f>SUM(J77:L77)</f>
        <v>11.965240000000001</v>
      </c>
      <c r="N77" s="369">
        <f>'[21]Price Schedule 5 year'!N77</f>
        <v>9.3449600000000004</v>
      </c>
      <c r="O77" s="371">
        <f>'[21]Price Schedule 5 year'!O77</f>
        <v>2.6204799999999997</v>
      </c>
      <c r="P77" s="371">
        <f>'[21]Price Schedule 5 year'!P77</f>
        <v>0</v>
      </c>
      <c r="Q77" s="372">
        <f>SUM(N77:P77)</f>
        <v>11.965440000000001</v>
      </c>
      <c r="R77" s="369">
        <f>'[21]Price Schedule 5 year'!R77</f>
        <v>9.3449600000000004</v>
      </c>
      <c r="S77" s="371">
        <f>'[21]Price Schedule 5 year'!S77</f>
        <v>2.6204799999999997</v>
      </c>
      <c r="T77" s="371">
        <f>'[21]Price Schedule 5 year'!T77</f>
        <v>0</v>
      </c>
      <c r="U77" s="372">
        <f>SUM(R77:T77)</f>
        <v>11.965440000000001</v>
      </c>
      <c r="V77" s="370">
        <f>'[21]Price Schedule 5 year'!V77</f>
        <v>9.3449600000000004</v>
      </c>
      <c r="W77" s="371">
        <f>'[21]Price Schedule 5 year'!W77</f>
        <v>2.6204799999999997</v>
      </c>
      <c r="X77" s="371">
        <f>'[21]Price Schedule 5 year'!X77</f>
        <v>0</v>
      </c>
      <c r="Y77" s="372">
        <f>SUM(V77:X77)</f>
        <v>11.965440000000001</v>
      </c>
    </row>
    <row r="78" spans="1:25" x14ac:dyDescent="0.25">
      <c r="A78" s="367"/>
      <c r="C78" s="350" t="str">
        <f>'[20]Large LV Bus'!B71</f>
        <v>Shoulder Actual Demand</v>
      </c>
      <c r="D78" s="350">
        <v>2</v>
      </c>
      <c r="E78" s="350" t="s">
        <v>295</v>
      </c>
      <c r="F78" s="727">
        <f>'[15]2020-25 Pricing Schedule'!F78</f>
        <v>4.6567916666666669</v>
      </c>
      <c r="G78" s="728">
        <f>'[15]2020-25 Pricing Schedule'!G78</f>
        <v>1.304875</v>
      </c>
      <c r="H78" s="728">
        <f>'[15]2020-25 Pricing Schedule'!H78</f>
        <v>0</v>
      </c>
      <c r="I78" s="729">
        <f>SUM(F78:H78)</f>
        <v>5.9616666666666669</v>
      </c>
      <c r="J78" s="727">
        <f>'DUoS (t)'!$R$52*Days_Year/12</f>
        <v>4.6567916666666669</v>
      </c>
      <c r="K78" s="728">
        <f>'TUoS (t)'!$R$52*Days_Year/12</f>
        <v>1.304875</v>
      </c>
      <c r="L78" s="728">
        <f>'JSO (t)'!$R$52*Days_Year/12</f>
        <v>0</v>
      </c>
      <c r="M78" s="729">
        <f>SUM(J78:L78)</f>
        <v>5.9616666666666669</v>
      </c>
      <c r="N78" s="369">
        <f>'[21]Price Schedule 5 year'!N78</f>
        <v>4.6573500000000001</v>
      </c>
      <c r="O78" s="371">
        <f>'[21]Price Schedule 5 year'!O78</f>
        <v>1.3053999999999999</v>
      </c>
      <c r="P78" s="371">
        <f>'[21]Price Schedule 5 year'!P78</f>
        <v>0</v>
      </c>
      <c r="Q78" s="372">
        <f>SUM(N78:P78)</f>
        <v>5.9627499999999998</v>
      </c>
      <c r="R78" s="369">
        <f>'[21]Price Schedule 5 year'!R78</f>
        <v>4.6573500000000001</v>
      </c>
      <c r="S78" s="371">
        <f>'[21]Price Schedule 5 year'!S78</f>
        <v>1.3053999999999999</v>
      </c>
      <c r="T78" s="371">
        <f>'[21]Price Schedule 5 year'!T78</f>
        <v>0</v>
      </c>
      <c r="U78" s="372">
        <f>SUM(R78:T78)</f>
        <v>5.9627499999999998</v>
      </c>
      <c r="V78" s="370">
        <f>'[21]Price Schedule 5 year'!V78</f>
        <v>4.6573500000000001</v>
      </c>
      <c r="W78" s="371">
        <f>'[21]Price Schedule 5 year'!W78</f>
        <v>1.3053999999999999</v>
      </c>
      <c r="X78" s="371">
        <f>'[21]Price Schedule 5 year'!X78</f>
        <v>0</v>
      </c>
      <c r="Y78" s="372">
        <f>SUM(V78:X78)</f>
        <v>5.9627499999999998</v>
      </c>
    </row>
    <row r="79" spans="1:25" x14ac:dyDescent="0.25">
      <c r="A79" s="373"/>
      <c r="B79" s="375"/>
      <c r="C79" s="375" t="str">
        <f>'[20]Large LV Bus'!B72</f>
        <v>Usage</v>
      </c>
      <c r="D79" s="375"/>
      <c r="E79" s="375" t="s">
        <v>288</v>
      </c>
      <c r="F79" s="504">
        <f>'[15]2020-25 Pricing Schedule'!F79</f>
        <v>5.1499999999999997E-2</v>
      </c>
      <c r="G79" s="512">
        <f>'[15]2020-25 Pricing Schedule'!G79</f>
        <v>2.0299999999999999E-2</v>
      </c>
      <c r="H79" s="512">
        <f>'[15]2020-25 Pricing Schedule'!H79</f>
        <v>5.1999999999999998E-3</v>
      </c>
      <c r="I79" s="513">
        <f>SUM(F79:H79)</f>
        <v>7.6999999999999999E-2</v>
      </c>
      <c r="J79" s="504">
        <f>'DUoS (t)'!$H$52</f>
        <v>5.8699999999999995E-2</v>
      </c>
      <c r="K79" s="512">
        <f>'TUoS (t)'!$H$52</f>
        <v>2.3100000000000002E-2</v>
      </c>
      <c r="L79" s="512">
        <f>'JSO (t)'!$H$52</f>
        <v>5.1999999999999998E-3</v>
      </c>
      <c r="M79" s="513">
        <f>SUM(J79:L79)</f>
        <v>8.6999999999999994E-2</v>
      </c>
      <c r="N79" s="376">
        <f>'[21]Price Schedule 5 year'!N79</f>
        <v>6.59E-2</v>
      </c>
      <c r="O79" s="378">
        <f>'[21]Price Schedule 5 year'!O79</f>
        <v>2.5900000000000003E-2</v>
      </c>
      <c r="P79" s="378">
        <f>'[21]Price Schedule 5 year'!P79</f>
        <v>5.1999999999999998E-3</v>
      </c>
      <c r="Q79" s="379">
        <f>SUM(N79:P79)</f>
        <v>9.7000000000000003E-2</v>
      </c>
      <c r="R79" s="376">
        <f>'[21]Price Schedule 5 year'!R79</f>
        <v>7.3099999999999998E-2</v>
      </c>
      <c r="S79" s="378">
        <f>'[21]Price Schedule 5 year'!S79</f>
        <v>2.8700000000000003E-2</v>
      </c>
      <c r="T79" s="378">
        <f>'[21]Price Schedule 5 year'!T79</f>
        <v>5.1999999999999998E-3</v>
      </c>
      <c r="U79" s="379">
        <f>SUM(R79:T79)</f>
        <v>0.107</v>
      </c>
      <c r="V79" s="377">
        <f>'[21]Price Schedule 5 year'!V79</f>
        <v>8.0299999999999996E-2</v>
      </c>
      <c r="W79" s="378">
        <f>'[21]Price Schedule 5 year'!W79</f>
        <v>3.15E-2</v>
      </c>
      <c r="X79" s="378">
        <f>'[21]Price Schedule 5 year'!X79</f>
        <v>5.1999999999999998E-3</v>
      </c>
      <c r="Y79" s="379">
        <f>SUM(V79:X79)</f>
        <v>0.11699999999999999</v>
      </c>
    </row>
    <row r="80" spans="1:25" x14ac:dyDescent="0.25">
      <c r="A80" s="361"/>
      <c r="B80" s="362" t="s">
        <v>310</v>
      </c>
      <c r="C80" s="363"/>
      <c r="D80" s="363"/>
      <c r="E80" s="363" t="s">
        <v>286</v>
      </c>
      <c r="F80" s="503"/>
      <c r="G80" s="508"/>
      <c r="H80" s="508"/>
      <c r="I80" s="509"/>
      <c r="J80" s="503"/>
      <c r="K80" s="508"/>
      <c r="L80" s="508"/>
      <c r="M80" s="509"/>
      <c r="N80" s="364"/>
      <c r="O80" s="363"/>
      <c r="P80" s="363"/>
      <c r="Q80" s="366"/>
      <c r="R80" s="364"/>
      <c r="S80" s="363"/>
      <c r="T80" s="363"/>
      <c r="U80" s="366"/>
      <c r="V80" s="365"/>
      <c r="W80" s="363"/>
      <c r="X80" s="363"/>
      <c r="Y80" s="366"/>
    </row>
    <row r="81" spans="1:25" x14ac:dyDescent="0.25">
      <c r="A81" s="367"/>
      <c r="C81" s="350" t="str">
        <f>C27</f>
        <v>Customers/Supply Ch</v>
      </c>
      <c r="E81" s="350" t="str">
        <f>E27</f>
        <v>$ pa</v>
      </c>
      <c r="F81" s="727">
        <f>'[15]2020-25 Pricing Schedule'!F81</f>
        <v>169.98050000000001</v>
      </c>
      <c r="G81" s="728">
        <f>'[15]2020-25 Pricing Schedule'!G81</f>
        <v>0</v>
      </c>
      <c r="H81" s="728">
        <f>'[15]2020-25 Pricing Schedule'!H81</f>
        <v>15.001499999999998</v>
      </c>
      <c r="I81" s="729">
        <f>SUM(F81:H81)</f>
        <v>184.982</v>
      </c>
      <c r="J81" s="727">
        <f>'DUoS (t)'!$G$44*Days_Year</f>
        <v>189.98249999999999</v>
      </c>
      <c r="K81" s="728">
        <f>'TUoS (t)'!$G$44*Days_Year</f>
        <v>0</v>
      </c>
      <c r="L81" s="728">
        <f>'JSO (t)'!$G$44*Days_Year</f>
        <v>15.001499999999998</v>
      </c>
      <c r="M81" s="729">
        <f>SUM(J81:L81)</f>
        <v>204.98399999999998</v>
      </c>
      <c r="N81" s="369">
        <f>'[21]Price Schedule 5 year'!N81</f>
        <v>209.99680000000001</v>
      </c>
      <c r="O81" s="371">
        <f>'[21]Price Schedule 5 year'!O81</f>
        <v>0</v>
      </c>
      <c r="P81" s="371">
        <f>'[21]Price Schedule 5 year'!P81</f>
        <v>0</v>
      </c>
      <c r="Q81" s="372">
        <f>SUM(N81:P81)</f>
        <v>209.99680000000001</v>
      </c>
      <c r="R81" s="369">
        <f>'[21]Price Schedule 5 year'!R81</f>
        <v>229.99680000000001</v>
      </c>
      <c r="S81" s="371">
        <f>'[21]Price Schedule 5 year'!S81</f>
        <v>0</v>
      </c>
      <c r="T81" s="371">
        <f>'[21]Price Schedule 5 year'!T81</f>
        <v>0</v>
      </c>
      <c r="U81" s="372">
        <f>SUM(R81:T81)</f>
        <v>229.99680000000001</v>
      </c>
      <c r="V81" s="370">
        <f>'[21]Price Schedule 5 year'!V81</f>
        <v>249.99680000000001</v>
      </c>
      <c r="W81" s="371">
        <f>'[21]Price Schedule 5 year'!W81</f>
        <v>0</v>
      </c>
      <c r="X81" s="371">
        <f>'[21]Price Schedule 5 year'!X81</f>
        <v>0</v>
      </c>
      <c r="Y81" s="372">
        <f>SUM(V81:X81)</f>
        <v>249.99680000000001</v>
      </c>
    </row>
    <row r="82" spans="1:25" x14ac:dyDescent="0.25">
      <c r="A82" s="373"/>
      <c r="B82" s="375"/>
      <c r="C82" s="375" t="str">
        <f>C28</f>
        <v>Usage</v>
      </c>
      <c r="D82" s="375"/>
      <c r="E82" s="375" t="str">
        <f>E28</f>
        <v>$/kWh</v>
      </c>
      <c r="F82" s="504">
        <f>'[15]2020-25 Pricing Schedule'!F82</f>
        <v>0.1255</v>
      </c>
      <c r="G82" s="512">
        <f>'[15]2020-25 Pricing Schedule'!G82</f>
        <v>4.4699999999999997E-2</v>
      </c>
      <c r="H82" s="512">
        <f>'[15]2020-25 Pricing Schedule'!H82</f>
        <v>1.01E-2</v>
      </c>
      <c r="I82" s="513">
        <f>SUM(F82:H82)</f>
        <v>0.18029999999999999</v>
      </c>
      <c r="J82" s="504">
        <f>'DUoS (t)'!$H$44</f>
        <v>0.12189999999999999</v>
      </c>
      <c r="K82" s="512">
        <f>'TUoS (t)'!$H$44</f>
        <v>4.8000000000000001E-2</v>
      </c>
      <c r="L82" s="512">
        <f>'JSO (t)'!$H$44</f>
        <v>1.0200000000000001E-2</v>
      </c>
      <c r="M82" s="513">
        <f>SUM(J82:L82)</f>
        <v>0.18009999999999998</v>
      </c>
      <c r="N82" s="376">
        <f>'[21]Price Schedule 5 year'!N82</f>
        <v>0.11885981712855033</v>
      </c>
      <c r="O82" s="378">
        <f>'[21]Price Schedule 5 year'!O82</f>
        <v>4.7655645095008234E-2</v>
      </c>
      <c r="P82" s="378">
        <f>'[21]Price Schedule 5 year'!P82</f>
        <v>5.8807252835580172E-3</v>
      </c>
      <c r="Q82" s="379">
        <f>SUM(N82:P82)</f>
        <v>0.17239618750711658</v>
      </c>
      <c r="R82" s="376">
        <f>'[21]Price Schedule 5 year'!R82</f>
        <v>0.12122843576107975</v>
      </c>
      <c r="S82" s="378">
        <f>'[21]Price Schedule 5 year'!S82</f>
        <v>5.0031307760542161E-2</v>
      </c>
      <c r="T82" s="378">
        <f>'[21]Price Schedule 5 year'!T82</f>
        <v>6.0024930441685024E-3</v>
      </c>
      <c r="U82" s="379">
        <f>SUM(R82:T82)</f>
        <v>0.1772622365657904</v>
      </c>
      <c r="V82" s="377">
        <f>'[21]Price Schedule 5 year'!V82</f>
        <v>0.12274072056412966</v>
      </c>
      <c r="W82" s="378">
        <f>'[21]Price Schedule 5 year'!W82</f>
        <v>5.2514546537693961E-2</v>
      </c>
      <c r="X82" s="378">
        <f>'[21]Price Schedule 5 year'!X82</f>
        <v>6.1300808533230888E-3</v>
      </c>
      <c r="Y82" s="379">
        <f>SUM(V82:X82)</f>
        <v>0.18138534795514671</v>
      </c>
    </row>
    <row r="83" spans="1:25" x14ac:dyDescent="0.25">
      <c r="A83" s="361"/>
      <c r="B83" s="362" t="s">
        <v>311</v>
      </c>
      <c r="C83" s="363"/>
      <c r="D83" s="363"/>
      <c r="E83" s="363" t="s">
        <v>286</v>
      </c>
      <c r="F83" s="503"/>
      <c r="G83" s="508"/>
      <c r="H83" s="508"/>
      <c r="I83" s="509"/>
      <c r="J83" s="503"/>
      <c r="K83" s="508"/>
      <c r="L83" s="508"/>
      <c r="M83" s="509"/>
      <c r="N83" s="364"/>
      <c r="O83" s="363"/>
      <c r="P83" s="363"/>
      <c r="Q83" s="366"/>
      <c r="R83" s="364"/>
      <c r="S83" s="363"/>
      <c r="T83" s="363"/>
      <c r="U83" s="366"/>
      <c r="V83" s="365"/>
      <c r="W83" s="363"/>
      <c r="X83" s="363"/>
      <c r="Y83" s="366"/>
    </row>
    <row r="84" spans="1:25" x14ac:dyDescent="0.25">
      <c r="A84" s="367"/>
      <c r="C84" s="350" t="str">
        <f>C30</f>
        <v>Customers/Supply Ch</v>
      </c>
      <c r="E84" s="350" t="str">
        <f>E30</f>
        <v>$ pa</v>
      </c>
      <c r="F84" s="727">
        <f>'[15]2020-25 Pricing Schedule'!F84</f>
        <v>169.98050000000001</v>
      </c>
      <c r="G84" s="728">
        <f>'[15]2020-25 Pricing Schedule'!G84</f>
        <v>0</v>
      </c>
      <c r="H84" s="728">
        <f>'[15]2020-25 Pricing Schedule'!H84</f>
        <v>15.001499999999998</v>
      </c>
      <c r="I84" s="729">
        <f>SUM(F84:H84)</f>
        <v>184.982</v>
      </c>
      <c r="J84" s="727">
        <f>'DUoS (t)'!$G$46*Days_Year</f>
        <v>189.98249999999999</v>
      </c>
      <c r="K84" s="728">
        <f>'TUoS (t)'!$G$46*Days_Year</f>
        <v>0</v>
      </c>
      <c r="L84" s="728">
        <f>'JSO (t)'!$G$46*Days_Year</f>
        <v>15.001499999999998</v>
      </c>
      <c r="M84" s="729">
        <f>SUM(J84:L84)</f>
        <v>204.98399999999998</v>
      </c>
      <c r="N84" s="369">
        <f>'[21]Price Schedule 5 year'!N84</f>
        <v>209.99680000000001</v>
      </c>
      <c r="O84" s="371">
        <f>'[21]Price Schedule 5 year'!O84</f>
        <v>0</v>
      </c>
      <c r="P84" s="371">
        <f>'[21]Price Schedule 5 year'!P84</f>
        <v>0</v>
      </c>
      <c r="Q84" s="372">
        <f>SUM(N84:P84)</f>
        <v>209.99680000000001</v>
      </c>
      <c r="R84" s="369">
        <f>'[21]Price Schedule 5 year'!R84</f>
        <v>229.99680000000001</v>
      </c>
      <c r="S84" s="371">
        <f>'[21]Price Schedule 5 year'!S84</f>
        <v>0</v>
      </c>
      <c r="T84" s="371">
        <f>'[21]Price Schedule 5 year'!T84</f>
        <v>0</v>
      </c>
      <c r="U84" s="372">
        <f>SUM(R84:T84)</f>
        <v>229.99680000000001</v>
      </c>
      <c r="V84" s="370">
        <f>'[21]Price Schedule 5 year'!V84</f>
        <v>249.99680000000001</v>
      </c>
      <c r="W84" s="371">
        <f>'[21]Price Schedule 5 year'!W84</f>
        <v>0</v>
      </c>
      <c r="X84" s="371">
        <f>'[21]Price Schedule 5 year'!X84</f>
        <v>0</v>
      </c>
      <c r="Y84" s="372">
        <f>SUM(V84:X84)</f>
        <v>249.99680000000001</v>
      </c>
    </row>
    <row r="85" spans="1:25" x14ac:dyDescent="0.25">
      <c r="A85" s="367"/>
      <c r="C85" s="350" t="str">
        <f>C31</f>
        <v>Peak usage</v>
      </c>
      <c r="E85" s="350" t="str">
        <f>E31</f>
        <v>$/kWh</v>
      </c>
      <c r="F85" s="501">
        <f>'[15]2020-25 Pricing Schedule'!F85</f>
        <v>0.1414</v>
      </c>
      <c r="G85" s="510">
        <f>'[15]2020-25 Pricing Schedule'!G85</f>
        <v>5.04E-2</v>
      </c>
      <c r="H85" s="510">
        <f>'[15]2020-25 Pricing Schedule'!H85</f>
        <v>1.14E-2</v>
      </c>
      <c r="I85" s="511">
        <f>SUM(F85:H85)</f>
        <v>0.20319999999999999</v>
      </c>
      <c r="J85" s="501">
        <f>'DUoS (t)'!$I$46</f>
        <v>0.13750000000000001</v>
      </c>
      <c r="K85" s="510">
        <f>'TUoS (t)'!$I$46</f>
        <v>5.4100000000000002E-2</v>
      </c>
      <c r="L85" s="510">
        <f>'JSO (t)'!$I$46</f>
        <v>1.15E-2</v>
      </c>
      <c r="M85" s="511">
        <f>SUM(J85:L85)</f>
        <v>0.20310000000000003</v>
      </c>
      <c r="N85" s="384">
        <f>'[21]Price Schedule 5 year'!N85</f>
        <v>0.13395501390387621</v>
      </c>
      <c r="O85" s="386">
        <f>'[21]Price Schedule 5 year'!O85</f>
        <v>5.3707912022074276E-2</v>
      </c>
      <c r="P85" s="386">
        <f>'[21]Price Schedule 5 year'!P85</f>
        <v>6.7112414077694915E-3</v>
      </c>
      <c r="Q85" s="387">
        <f>SUM(N85:P85)</f>
        <v>0.19437416733371998</v>
      </c>
      <c r="R85" s="384">
        <f>'[21]Price Schedule 5 year'!R85</f>
        <v>0.13662444710273688</v>
      </c>
      <c r="S85" s="386">
        <f>'[21]Price Schedule 5 year'!S85</f>
        <v>5.6385283846131014E-2</v>
      </c>
      <c r="T85" s="386">
        <f>'[21]Price Schedule 5 year'!T85</f>
        <v>6.8502060418470789E-3</v>
      </c>
      <c r="U85" s="387">
        <f>SUM(R85:T85)</f>
        <v>0.19985993699071497</v>
      </c>
      <c r="V85" s="385">
        <f>'[21]Price Schedule 5 year'!V85</f>
        <v>0.13832879207577414</v>
      </c>
      <c r="W85" s="386">
        <f>'[21]Price Schedule 5 year'!W85</f>
        <v>5.9183893947981091E-2</v>
      </c>
      <c r="X85" s="386">
        <f>'[21]Price Schedule 5 year'!X85</f>
        <v>6.9958126714100878E-3</v>
      </c>
      <c r="Y85" s="387">
        <f>SUM(V85:X85)</f>
        <v>0.20450849869516532</v>
      </c>
    </row>
    <row r="86" spans="1:25" x14ac:dyDescent="0.25">
      <c r="A86" s="367"/>
      <c r="B86" s="500"/>
      <c r="C86" s="500" t="str">
        <f>C32</f>
        <v>Off-Pk Usage</v>
      </c>
      <c r="D86" s="500"/>
      <c r="E86" s="500" t="str">
        <f>E32</f>
        <v>$/kWh</v>
      </c>
      <c r="F86" s="501">
        <f>'[15]2020-25 Pricing Schedule'!F86</f>
        <v>7.0699999999999999E-2</v>
      </c>
      <c r="G86" s="510">
        <f>'[15]2020-25 Pricing Schedule'!G86</f>
        <v>2.52E-2</v>
      </c>
      <c r="H86" s="510">
        <f>'[15]2020-25 Pricing Schedule'!H86</f>
        <v>5.7000000000000002E-3</v>
      </c>
      <c r="I86" s="511">
        <f>SUM(F86:H86)</f>
        <v>0.1016</v>
      </c>
      <c r="J86" s="501">
        <f>'DUoS (t)'!$K$46</f>
        <v>6.88E-2</v>
      </c>
      <c r="K86" s="510">
        <f>'TUoS (t)'!$K$46</f>
        <v>2.7099999999999999E-2</v>
      </c>
      <c r="L86" s="510">
        <f>'JSO (t)'!$K$46</f>
        <v>5.5999999999999999E-3</v>
      </c>
      <c r="M86" s="511">
        <f>SUM(J86:L86)</f>
        <v>0.10149999999999999</v>
      </c>
      <c r="N86" s="384">
        <f>'[21]Price Schedule 5 year'!N86</f>
        <v>6.6977506951938104E-2</v>
      </c>
      <c r="O86" s="813">
        <f>'[21]Price Schedule 5 year'!O86</f>
        <v>2.6853956011037138E-2</v>
      </c>
      <c r="P86" s="813">
        <f>'[21]Price Schedule 5 year'!P86</f>
        <v>4.1945258798559322E-3</v>
      </c>
      <c r="Q86" s="387">
        <f>SUM(N86:P86)</f>
        <v>9.8025988842831174E-2</v>
      </c>
      <c r="R86" s="384">
        <f>'[21]Price Schedule 5 year'!R86</f>
        <v>6.8312223551368442E-2</v>
      </c>
      <c r="S86" s="813">
        <f>'[21]Price Schedule 5 year'!S86</f>
        <v>2.8192641923065507E-2</v>
      </c>
      <c r="T86" s="813">
        <f>'[21]Price Schedule 5 year'!T86</f>
        <v>4.2813787761544243E-3</v>
      </c>
      <c r="U86" s="387">
        <f>SUM(R86:T86)</f>
        <v>0.10078624425058837</v>
      </c>
      <c r="V86" s="499">
        <f>'[21]Price Schedule 5 year'!V86</f>
        <v>6.9164396037887071E-2</v>
      </c>
      <c r="W86" s="813">
        <f>'[21]Price Schedule 5 year'!W86</f>
        <v>2.9591946973990545E-2</v>
      </c>
      <c r="X86" s="813">
        <f>'[21]Price Schedule 5 year'!X86</f>
        <v>4.3723829196313044E-3</v>
      </c>
      <c r="Y86" s="387">
        <f>SUM(V86:X86)</f>
        <v>0.10312872593150893</v>
      </c>
    </row>
    <row r="87" spans="1:25" x14ac:dyDescent="0.25">
      <c r="A87" s="361"/>
      <c r="B87" s="362" t="str">
        <f>'[20]Large LV Bus'!B139</f>
        <v>Large Bus Generation Supplies</v>
      </c>
      <c r="C87" s="363"/>
      <c r="D87" s="363"/>
      <c r="E87" s="363" t="s">
        <v>309</v>
      </c>
      <c r="F87" s="503"/>
      <c r="G87" s="508"/>
      <c r="H87" s="508"/>
      <c r="I87" s="509"/>
      <c r="J87" s="503"/>
      <c r="K87" s="508"/>
      <c r="L87" s="508"/>
      <c r="M87" s="509"/>
      <c r="N87" s="364"/>
      <c r="O87" s="363"/>
      <c r="P87" s="363"/>
      <c r="Q87" s="366"/>
      <c r="R87" s="364"/>
      <c r="S87" s="363"/>
      <c r="T87" s="363"/>
      <c r="U87" s="366"/>
      <c r="V87" s="364"/>
      <c r="W87" s="363"/>
      <c r="X87" s="363"/>
      <c r="Y87" s="366"/>
    </row>
    <row r="88" spans="1:25" x14ac:dyDescent="0.25">
      <c r="A88" s="367"/>
      <c r="B88" s="500"/>
      <c r="C88" s="500" t="str">
        <f>'[20]Large LV Bus'!B140</f>
        <v>Customers/Supply Ch</v>
      </c>
      <c r="D88" s="500"/>
      <c r="E88" s="500" t="s">
        <v>287</v>
      </c>
      <c r="F88" s="730">
        <f>'[15]2020-25 Pricing Schedule'!F88</f>
        <v>2499.9945000000002</v>
      </c>
      <c r="G88" s="731">
        <f>'[15]2020-25 Pricing Schedule'!G88</f>
        <v>0</v>
      </c>
      <c r="H88" s="731">
        <f>'[15]2020-25 Pricing Schedule'!H88</f>
        <v>0</v>
      </c>
      <c r="I88" s="732">
        <f>SUM(F88:H88)</f>
        <v>2499.9945000000002</v>
      </c>
      <c r="J88" s="730">
        <f>'DUoS (t)'!$G$53*Days_Year</f>
        <v>2480.1750000000002</v>
      </c>
      <c r="K88" s="731">
        <f>'TUoS (t)'!$G$53*Days_Year</f>
        <v>0</v>
      </c>
      <c r="L88" s="731">
        <f>'JSO (t)'!$G$53*Days_Year</f>
        <v>0</v>
      </c>
      <c r="M88" s="732">
        <f>SUM(J88:L88)</f>
        <v>2480.1750000000002</v>
      </c>
      <c r="N88" s="405">
        <f>'[21]Price Schedule 5 year'!N88</f>
        <v>2384.9634734328779</v>
      </c>
      <c r="O88" s="407">
        <f>'[21]Price Schedule 5 year'!O88</f>
        <v>0</v>
      </c>
      <c r="P88" s="407">
        <f>'[21]Price Schedule 5 year'!P88</f>
        <v>0</v>
      </c>
      <c r="Q88" s="408">
        <f>SUM(N88:P88)</f>
        <v>2384.9634734328779</v>
      </c>
      <c r="R88" s="405">
        <f>'[21]Price Schedule 5 year'!R88</f>
        <v>2443.9913194003416</v>
      </c>
      <c r="S88" s="407">
        <f>'[21]Price Schedule 5 year'!S88</f>
        <v>0</v>
      </c>
      <c r="T88" s="407">
        <f>'[21]Price Schedule 5 year'!T88</f>
        <v>0</v>
      </c>
      <c r="U88" s="408">
        <f>SUM(R88:T88)</f>
        <v>2443.9913194003416</v>
      </c>
      <c r="V88" s="405">
        <f>'[21]Price Schedule 5 year'!V88</f>
        <v>2500.5986779072014</v>
      </c>
      <c r="W88" s="407">
        <f>'[21]Price Schedule 5 year'!W88</f>
        <v>0</v>
      </c>
      <c r="X88" s="407">
        <f>'[21]Price Schedule 5 year'!X88</f>
        <v>0</v>
      </c>
      <c r="Y88" s="408">
        <f>SUM(V88:X88)</f>
        <v>2500.5986779072014</v>
      </c>
    </row>
    <row r="89" spans="1:25" x14ac:dyDescent="0.25">
      <c r="A89" s="367"/>
      <c r="B89" s="500"/>
      <c r="C89" s="500" t="str">
        <f>'[20]Large LV Bus'!B141</f>
        <v>Peak Annual Max Demand</v>
      </c>
      <c r="D89" s="500">
        <v>4</v>
      </c>
      <c r="E89" s="500" t="s">
        <v>294</v>
      </c>
      <c r="F89" s="727">
        <f>'[15]2020-25 Pricing Schedule'!F89</f>
        <v>52.924999999999997</v>
      </c>
      <c r="G89" s="728">
        <f>'[15]2020-25 Pricing Schedule'!G89</f>
        <v>39.529499999999999</v>
      </c>
      <c r="H89" s="728">
        <f>'[15]2020-25 Pricing Schedule'!H89</f>
        <v>0</v>
      </c>
      <c r="I89" s="729">
        <f>SUM(F89:H89)</f>
        <v>92.454499999999996</v>
      </c>
      <c r="J89" s="727">
        <f>'DUoS (t)'!$S$53*Days_Year</f>
        <v>52.487000000000002</v>
      </c>
      <c r="K89" s="728">
        <f>'TUoS (t)'!$S$53*Days_Year</f>
        <v>42.3765</v>
      </c>
      <c r="L89" s="728">
        <f>'JSO (t)'!$S$53*Days_Year</f>
        <v>0</v>
      </c>
      <c r="M89" s="729">
        <f>SUM(J89:L89)</f>
        <v>94.863500000000002</v>
      </c>
      <c r="N89" s="369">
        <f>'[21]Price Schedule 5 year'!N89</f>
        <v>50.5</v>
      </c>
      <c r="O89" s="371">
        <f>'[21]Price Schedule 5 year'!O89</f>
        <v>42.5</v>
      </c>
      <c r="P89" s="371">
        <f>'[21]Price Schedule 5 year'!P89</f>
        <v>0</v>
      </c>
      <c r="Q89" s="372">
        <f>SUM(N89:P89)</f>
        <v>93</v>
      </c>
      <c r="R89" s="369">
        <f>'[21]Price Schedule 5 year'!R89</f>
        <v>51.7</v>
      </c>
      <c r="S89" s="371">
        <f>'[21]Price Schedule 5 year'!S89</f>
        <v>44.5</v>
      </c>
      <c r="T89" s="371">
        <f>'[21]Price Schedule 5 year'!T89</f>
        <v>0</v>
      </c>
      <c r="U89" s="372">
        <f>SUM(R89:T89)</f>
        <v>96.2</v>
      </c>
      <c r="V89" s="369">
        <f>'[21]Price Schedule 5 year'!V89</f>
        <v>52.9</v>
      </c>
      <c r="W89" s="371">
        <f>'[21]Price Schedule 5 year'!W89</f>
        <v>46.5</v>
      </c>
      <c r="X89" s="371">
        <f>'[21]Price Schedule 5 year'!X89</f>
        <v>0</v>
      </c>
      <c r="Y89" s="372">
        <f>SUM(V89:X89)</f>
        <v>99.4</v>
      </c>
    </row>
    <row r="90" spans="1:25" x14ac:dyDescent="0.25">
      <c r="A90" s="367"/>
      <c r="B90" s="500"/>
      <c r="C90" s="500" t="str">
        <f>'[20]Large LV Bus'!B142</f>
        <v>Anytime Actual Demand</v>
      </c>
      <c r="D90" s="500">
        <v>4</v>
      </c>
      <c r="E90" s="500" t="s">
        <v>294</v>
      </c>
      <c r="F90" s="727">
        <f>'[15]2020-25 Pricing Schedule'!F90</f>
        <v>37.814</v>
      </c>
      <c r="G90" s="728">
        <f>'[15]2020-25 Pricing Schedule'!G90</f>
        <v>0</v>
      </c>
      <c r="H90" s="728">
        <f>'[15]2020-25 Pricing Schedule'!H90</f>
        <v>0</v>
      </c>
      <c r="I90" s="729">
        <f>SUM(F90:H90)</f>
        <v>37.814</v>
      </c>
      <c r="J90" s="727">
        <f>'DUoS (t)'!$T$53*Days_Year</f>
        <v>37.521999999999998</v>
      </c>
      <c r="K90" s="728">
        <f>'TUoS (t)'!$T$53*Days_Year</f>
        <v>0</v>
      </c>
      <c r="L90" s="728">
        <f>'JSO (t)'!$T$53*Days_Year</f>
        <v>0</v>
      </c>
      <c r="M90" s="729">
        <f>SUM(J90:L90)</f>
        <v>37.521999999999998</v>
      </c>
      <c r="N90" s="369">
        <f>'[21]Price Schedule 5 year'!N90</f>
        <v>36</v>
      </c>
      <c r="O90" s="371">
        <f>'[21]Price Schedule 5 year'!O90</f>
        <v>0</v>
      </c>
      <c r="P90" s="371">
        <f>'[21]Price Schedule 5 year'!P90</f>
        <v>0</v>
      </c>
      <c r="Q90" s="372">
        <f>SUM(N90:P90)</f>
        <v>36</v>
      </c>
      <c r="R90" s="369">
        <f>'[21]Price Schedule 5 year'!R90</f>
        <v>36.9</v>
      </c>
      <c r="S90" s="371">
        <f>'[21]Price Schedule 5 year'!S90</f>
        <v>0</v>
      </c>
      <c r="T90" s="371">
        <f>'[21]Price Schedule 5 year'!T90</f>
        <v>0</v>
      </c>
      <c r="U90" s="372">
        <f>SUM(R90:T90)</f>
        <v>36.9</v>
      </c>
      <c r="V90" s="369">
        <f>'[21]Price Schedule 5 year'!V90</f>
        <v>37.799999999999997</v>
      </c>
      <c r="W90" s="371">
        <f>'[21]Price Schedule 5 year'!W90</f>
        <v>0</v>
      </c>
      <c r="X90" s="371">
        <f>'[21]Price Schedule 5 year'!X90</f>
        <v>0</v>
      </c>
      <c r="Y90" s="372">
        <f>SUM(V90:X90)</f>
        <v>37.799999999999997</v>
      </c>
    </row>
    <row r="91" spans="1:25" x14ac:dyDescent="0.25">
      <c r="A91" s="367"/>
      <c r="B91" s="500"/>
      <c r="C91" s="500" t="str">
        <f>'[20]Large LV Bus'!B143</f>
        <v>Peak Usage</v>
      </c>
      <c r="D91" s="500"/>
      <c r="E91" s="500" t="s">
        <v>288</v>
      </c>
      <c r="F91" s="501">
        <f>'[15]DUoS (t)'!$I$51</f>
        <v>0</v>
      </c>
      <c r="G91" s="510">
        <f>'[15]TUoS (t)'!$I$51</f>
        <v>0</v>
      </c>
      <c r="H91" s="510">
        <f>'[15]JSO (t)'!$I$51</f>
        <v>0</v>
      </c>
      <c r="I91" s="511">
        <f>SUM(F91:H91)</f>
        <v>0</v>
      </c>
      <c r="J91" s="501">
        <f>'DUoS (t)'!I53</f>
        <v>0</v>
      </c>
      <c r="K91" s="510">
        <f>'TUoS (t)'!I53</f>
        <v>0</v>
      </c>
      <c r="L91" s="510">
        <f>'JSO (t)'!I53</f>
        <v>0</v>
      </c>
      <c r="M91" s="511">
        <f>SUM(J91:L91)</f>
        <v>0</v>
      </c>
      <c r="N91" s="384">
        <f>'[21]Price Schedule 5 year'!N91</f>
        <v>0</v>
      </c>
      <c r="O91" s="386">
        <f>'[21]Price Schedule 5 year'!O91</f>
        <v>0</v>
      </c>
      <c r="P91" s="386">
        <f>'[21]Price Schedule 5 year'!P91</f>
        <v>0</v>
      </c>
      <c r="Q91" s="387">
        <f>SUM(N91:P91)</f>
        <v>0</v>
      </c>
      <c r="R91" s="384">
        <f>'[21]Price Schedule 5 year'!R91</f>
        <v>0</v>
      </c>
      <c r="S91" s="386">
        <f>'[21]Price Schedule 5 year'!S91</f>
        <v>0</v>
      </c>
      <c r="T91" s="386">
        <f>'[21]Price Schedule 5 year'!T91</f>
        <v>0</v>
      </c>
      <c r="U91" s="387">
        <f>SUM(R91:T91)</f>
        <v>0</v>
      </c>
      <c r="V91" s="384">
        <f>'[21]Price Schedule 5 year'!V91</f>
        <v>0</v>
      </c>
      <c r="W91" s="386">
        <f>'[21]Price Schedule 5 year'!W91</f>
        <v>0</v>
      </c>
      <c r="X91" s="386">
        <f>'[21]Price Schedule 5 year'!X91</f>
        <v>0</v>
      </c>
      <c r="Y91" s="387">
        <f>SUM(V91:X91)</f>
        <v>0</v>
      </c>
    </row>
    <row r="92" spans="1:25" ht="15.75" thickBot="1" x14ac:dyDescent="0.3">
      <c r="A92" s="392"/>
      <c r="B92" s="393"/>
      <c r="C92" s="393" t="str">
        <f>'[20]Large LV Bus'!B144</f>
        <v>Off-Peak Usage</v>
      </c>
      <c r="D92" s="393"/>
      <c r="E92" s="393" t="s">
        <v>288</v>
      </c>
      <c r="F92" s="504">
        <f>'[15]DUoS (t)'!$K$51</f>
        <v>0</v>
      </c>
      <c r="G92" s="512">
        <f>'[15]TUoS (t)'!$K$51</f>
        <v>0</v>
      </c>
      <c r="H92" s="512">
        <f>'[15]JSO (t)'!$K$51</f>
        <v>0</v>
      </c>
      <c r="I92" s="513">
        <f>SUM(F92:H92)</f>
        <v>0</v>
      </c>
      <c r="J92" s="504">
        <f>'DUoS (t)'!K53</f>
        <v>0</v>
      </c>
      <c r="K92" s="512">
        <f>'TUoS (t)'!K53</f>
        <v>0</v>
      </c>
      <c r="L92" s="512">
        <f>'JSO (t)'!K53</f>
        <v>0</v>
      </c>
      <c r="M92" s="513">
        <f>SUM(J92:L92)</f>
        <v>0</v>
      </c>
      <c r="N92" s="376">
        <f>'[21]Price Schedule 5 year'!N92</f>
        <v>0</v>
      </c>
      <c r="O92" s="378">
        <f>'[21]Price Schedule 5 year'!O92</f>
        <v>0</v>
      </c>
      <c r="P92" s="378">
        <f>'[21]Price Schedule 5 year'!P92</f>
        <v>0</v>
      </c>
      <c r="Q92" s="379">
        <f>SUM(N92:P92)</f>
        <v>0</v>
      </c>
      <c r="R92" s="376">
        <f>'[21]Price Schedule 5 year'!R92</f>
        <v>0</v>
      </c>
      <c r="S92" s="378">
        <f>'[21]Price Schedule 5 year'!S92</f>
        <v>0</v>
      </c>
      <c r="T92" s="378">
        <f>'[21]Price Schedule 5 year'!T92</f>
        <v>0</v>
      </c>
      <c r="U92" s="379">
        <f>SUM(R92:T92)</f>
        <v>0</v>
      </c>
      <c r="V92" s="376">
        <f>'[21]Price Schedule 5 year'!V92</f>
        <v>0</v>
      </c>
      <c r="W92" s="378">
        <f>'[21]Price Schedule 5 year'!W92</f>
        <v>0</v>
      </c>
      <c r="X92" s="378">
        <f>'[21]Price Schedule 5 year'!X92</f>
        <v>0</v>
      </c>
      <c r="Y92" s="379">
        <f>SUM(V92:X92)</f>
        <v>0</v>
      </c>
    </row>
    <row r="93" spans="1:25" x14ac:dyDescent="0.25">
      <c r="A93" s="350" t="str">
        <f>A53</f>
        <v>Notes on Demand Elements</v>
      </c>
      <c r="J93" s="500"/>
    </row>
    <row r="94" spans="1:25" x14ac:dyDescent="0.25">
      <c r="B94" s="350">
        <f t="shared" ref="B94:C98" si="0">B54</f>
        <v>1</v>
      </c>
      <c r="C94" s="350" t="str">
        <f t="shared" si="0"/>
        <v>highest daily demand each of five months Nov-March charged per month</v>
      </c>
      <c r="J94" s="500"/>
    </row>
    <row r="95" spans="1:25" x14ac:dyDescent="0.25">
      <c r="B95" s="350">
        <f t="shared" si="0"/>
        <v>2</v>
      </c>
      <c r="C95" s="350" t="str">
        <f t="shared" si="0"/>
        <v>highest daily demand each of twelve months July-June charged per month</v>
      </c>
      <c r="J95" s="500"/>
    </row>
    <row r="96" spans="1:25" x14ac:dyDescent="0.25">
      <c r="B96" s="350">
        <f t="shared" si="0"/>
        <v>3</v>
      </c>
      <c r="C96" s="350" t="str">
        <f t="shared" si="0"/>
        <v>12 month rolling reset charged proportionally each month</v>
      </c>
      <c r="J96" s="500"/>
    </row>
    <row r="97" spans="1:25" x14ac:dyDescent="0.25">
      <c r="B97" s="350">
        <f t="shared" si="0"/>
        <v>4</v>
      </c>
      <c r="C97" s="350" t="str">
        <f t="shared" si="0"/>
        <v>agreed demand charged proportionally each month</v>
      </c>
      <c r="J97" s="500"/>
    </row>
    <row r="98" spans="1:25" x14ac:dyDescent="0.25">
      <c r="B98" s="350">
        <f t="shared" si="0"/>
        <v>5</v>
      </c>
      <c r="C98" s="350" t="str">
        <f t="shared" si="0"/>
        <v>Peak demand not applicable to backup, incurred by principal supply</v>
      </c>
      <c r="J98" s="500"/>
    </row>
    <row r="99" spans="1:25" ht="15.75" thickBot="1" x14ac:dyDescent="0.3">
      <c r="J99" s="500"/>
    </row>
    <row r="100" spans="1:25" ht="15.75" x14ac:dyDescent="0.25">
      <c r="B100" s="351" t="s">
        <v>312</v>
      </c>
      <c r="F100" s="933" t="s">
        <v>713</v>
      </c>
      <c r="G100" s="934"/>
      <c r="H100" s="934"/>
      <c r="I100" s="935"/>
      <c r="J100" s="933" t="s">
        <v>714</v>
      </c>
      <c r="K100" s="934"/>
      <c r="L100" s="934"/>
      <c r="M100" s="935"/>
      <c r="N100" s="933" t="s">
        <v>316</v>
      </c>
      <c r="O100" s="934"/>
      <c r="P100" s="934"/>
      <c r="Q100" s="935"/>
      <c r="R100" s="933" t="s">
        <v>317</v>
      </c>
      <c r="S100" s="934"/>
      <c r="T100" s="934"/>
      <c r="U100" s="935"/>
      <c r="V100" s="933" t="s">
        <v>318</v>
      </c>
      <c r="W100" s="934"/>
      <c r="X100" s="934"/>
      <c r="Y100" s="935"/>
    </row>
    <row r="101" spans="1:25" ht="16.5" thickBot="1" x14ac:dyDescent="0.3">
      <c r="B101" s="351" t="s">
        <v>281</v>
      </c>
      <c r="F101" s="353" t="s">
        <v>282</v>
      </c>
      <c r="G101" s="355" t="s">
        <v>283</v>
      </c>
      <c r="H101" s="355" t="s">
        <v>284</v>
      </c>
      <c r="I101" s="356" t="s">
        <v>285</v>
      </c>
      <c r="J101" s="353" t="s">
        <v>282</v>
      </c>
      <c r="K101" s="355" t="s">
        <v>283</v>
      </c>
      <c r="L101" s="355" t="s">
        <v>284</v>
      </c>
      <c r="M101" s="356" t="s">
        <v>285</v>
      </c>
      <c r="N101" s="353" t="s">
        <v>282</v>
      </c>
      <c r="O101" s="355" t="s">
        <v>283</v>
      </c>
      <c r="P101" s="355" t="s">
        <v>284</v>
      </c>
      <c r="Q101" s="356" t="s">
        <v>285</v>
      </c>
      <c r="R101" s="353" t="s">
        <v>282</v>
      </c>
      <c r="S101" s="355" t="s">
        <v>283</v>
      </c>
      <c r="T101" s="355" t="s">
        <v>284</v>
      </c>
      <c r="U101" s="356" t="s">
        <v>285</v>
      </c>
      <c r="V101" s="354" t="s">
        <v>282</v>
      </c>
      <c r="W101" s="355" t="s">
        <v>283</v>
      </c>
      <c r="X101" s="355" t="s">
        <v>284</v>
      </c>
      <c r="Y101" s="356" t="s">
        <v>285</v>
      </c>
    </row>
    <row r="102" spans="1:25" ht="15.75" x14ac:dyDescent="0.25">
      <c r="A102" s="352" t="str">
        <f>'[20]HV Bus'!A2</f>
        <v>HV Business Customers</v>
      </c>
      <c r="B102" s="357"/>
      <c r="C102" s="357"/>
      <c r="D102" s="357"/>
      <c r="E102" s="357"/>
      <c r="F102" s="502"/>
      <c r="G102" s="506"/>
      <c r="H102" s="506"/>
      <c r="I102" s="507"/>
      <c r="J102" s="502"/>
      <c r="K102" s="506"/>
      <c r="L102" s="506"/>
      <c r="M102" s="507"/>
      <c r="N102" s="358"/>
      <c r="O102" s="357"/>
      <c r="P102" s="357"/>
      <c r="Q102" s="360"/>
      <c r="R102" s="358"/>
      <c r="S102" s="357"/>
      <c r="T102" s="357"/>
      <c r="U102" s="360"/>
      <c r="V102" s="359"/>
      <c r="W102" s="357"/>
      <c r="X102" s="357"/>
      <c r="Y102" s="360"/>
    </row>
    <row r="103" spans="1:25" x14ac:dyDescent="0.25">
      <c r="A103" s="361"/>
      <c r="B103" s="362" t="s">
        <v>104</v>
      </c>
      <c r="C103" s="363"/>
      <c r="D103" s="363"/>
      <c r="E103" s="363" t="s">
        <v>308</v>
      </c>
      <c r="F103" s="503"/>
      <c r="G103" s="508"/>
      <c r="H103" s="508"/>
      <c r="I103" s="509"/>
      <c r="J103" s="503"/>
      <c r="K103" s="508"/>
      <c r="L103" s="508"/>
      <c r="M103" s="509"/>
      <c r="N103" s="364"/>
      <c r="O103" s="363"/>
      <c r="P103" s="363"/>
      <c r="Q103" s="366"/>
      <c r="R103" s="364"/>
      <c r="S103" s="363"/>
      <c r="T103" s="363"/>
      <c r="U103" s="366"/>
      <c r="V103" s="365"/>
      <c r="W103" s="363"/>
      <c r="X103" s="363"/>
      <c r="Y103" s="366"/>
    </row>
    <row r="104" spans="1:25" x14ac:dyDescent="0.25">
      <c r="A104" s="367"/>
      <c r="C104" s="350" t="str">
        <f>'[20]HV Bus'!B98</f>
        <v>Customers/Supply Ch</v>
      </c>
      <c r="E104" s="350" t="s">
        <v>287</v>
      </c>
      <c r="F104" s="730">
        <f>'[15]2020-25 Pricing Schedule'!F104</f>
        <v>15000.003500000001</v>
      </c>
      <c r="G104" s="731">
        <f>'[15]2020-25 Pricing Schedule'!G104</f>
        <v>0</v>
      </c>
      <c r="H104" s="731">
        <f>'[15]2020-25 Pricing Schedule'!H104</f>
        <v>0</v>
      </c>
      <c r="I104" s="732">
        <f>SUM(F104:H104)</f>
        <v>15000.003500000001</v>
      </c>
      <c r="J104" s="730">
        <f>'DUoS (t)'!$G$72*Days_Year</f>
        <v>14586.349</v>
      </c>
      <c r="K104" s="731">
        <f>'TUoS (t)'!$G$72*Days_Year</f>
        <v>0</v>
      </c>
      <c r="L104" s="731">
        <f>'JSO (t)'!$G$72*Days_Year</f>
        <v>0</v>
      </c>
      <c r="M104" s="732">
        <f>SUM(J104:L104)</f>
        <v>14586.349</v>
      </c>
      <c r="N104" s="405">
        <f>'[21]Price Schedule 5 year'!N104</f>
        <v>13263.435318727577</v>
      </c>
      <c r="O104" s="407">
        <f>'[21]Price Schedule 5 year'!O104</f>
        <v>0</v>
      </c>
      <c r="P104" s="407">
        <f>'[21]Price Schedule 5 year'!P104</f>
        <v>0</v>
      </c>
      <c r="Q104" s="408">
        <f>SUM(N104:P104)</f>
        <v>13263.435318727577</v>
      </c>
      <c r="R104" s="405">
        <f>'[21]Price Schedule 5 year'!R104</f>
        <v>13552.916320314198</v>
      </c>
      <c r="S104" s="407">
        <f>'[21]Price Schedule 5 year'!S104</f>
        <v>0</v>
      </c>
      <c r="T104" s="407">
        <f>'[21]Price Schedule 5 year'!T104</f>
        <v>0</v>
      </c>
      <c r="U104" s="408">
        <f>SUM(R104:T104)</f>
        <v>13552.916320314198</v>
      </c>
      <c r="V104" s="405">
        <f>'[21]Price Schedule 5 year'!V104</f>
        <v>13851.080479361111</v>
      </c>
      <c r="W104" s="407">
        <f>'[21]Price Schedule 5 year'!W104</f>
        <v>0</v>
      </c>
      <c r="X104" s="407">
        <f>'[21]Price Schedule 5 year'!X104</f>
        <v>0</v>
      </c>
      <c r="Y104" s="408">
        <f>SUM(V104:X104)</f>
        <v>13851.080479361111</v>
      </c>
    </row>
    <row r="105" spans="1:25" x14ac:dyDescent="0.25">
      <c r="A105" s="367"/>
      <c r="C105" s="350" t="str">
        <f>'[20]HV Bus'!B99</f>
        <v>Peak Annual Max Demand</v>
      </c>
      <c r="D105" s="350">
        <v>3</v>
      </c>
      <c r="E105" s="350" t="s">
        <v>673</v>
      </c>
      <c r="F105" s="727">
        <f>'[15]2020-25 Pricing Schedule'!F105</f>
        <v>38.872500000000002</v>
      </c>
      <c r="G105" s="728">
        <f>'[15]2020-25 Pricing Schedule'!G105</f>
        <v>39.529499999999999</v>
      </c>
      <c r="H105" s="728">
        <f>'[15]2020-25 Pricing Schedule'!H105</f>
        <v>0</v>
      </c>
      <c r="I105" s="729">
        <f>SUM(F105:H105)</f>
        <v>78.402000000000001</v>
      </c>
      <c r="J105" s="727">
        <f>'DUoS (t)'!$S$72*Days_Year</f>
        <v>37.814</v>
      </c>
      <c r="K105" s="728">
        <f>'TUoS (t)'!$S$72*Days_Year</f>
        <v>42.412999999999997</v>
      </c>
      <c r="L105" s="728">
        <f>'JSO (t)'!$S$72*Days_Year</f>
        <v>0</v>
      </c>
      <c r="M105" s="729">
        <f>SUM(J105:L105)</f>
        <v>80.227000000000004</v>
      </c>
      <c r="N105" s="369">
        <f>'[21]Price Schedule 5 year'!N105</f>
        <v>34.4</v>
      </c>
      <c r="O105" s="371">
        <f>'[21]Price Schedule 5 year'!O105</f>
        <v>40.5</v>
      </c>
      <c r="P105" s="371">
        <f>'[21]Price Schedule 5 year'!P105</f>
        <v>0</v>
      </c>
      <c r="Q105" s="372">
        <f>SUM(N105:P105)</f>
        <v>74.900000000000006</v>
      </c>
      <c r="R105" s="369">
        <f>'[21]Price Schedule 5 year'!R105</f>
        <v>35.200000000000003</v>
      </c>
      <c r="S105" s="371">
        <f>'[21]Price Schedule 5 year'!S105</f>
        <v>42.4</v>
      </c>
      <c r="T105" s="371">
        <f>'[21]Price Schedule 5 year'!T105</f>
        <v>0</v>
      </c>
      <c r="U105" s="372">
        <f>SUM(R105:T105)</f>
        <v>77.599999999999994</v>
      </c>
      <c r="V105" s="369">
        <f>'[21]Price Schedule 5 year'!V105</f>
        <v>36</v>
      </c>
      <c r="W105" s="371">
        <f>'[21]Price Schedule 5 year'!W105</f>
        <v>44.4</v>
      </c>
      <c r="X105" s="371">
        <f>'[21]Price Schedule 5 year'!X105</f>
        <v>0</v>
      </c>
      <c r="Y105" s="372">
        <f>SUM(V105:X105)</f>
        <v>80.400000000000006</v>
      </c>
    </row>
    <row r="106" spans="1:25" x14ac:dyDescent="0.25">
      <c r="A106" s="367"/>
      <c r="C106" s="350" t="str">
        <f>'[20]HV Bus'!B100</f>
        <v>Anytime Actual Demand</v>
      </c>
      <c r="D106" s="350">
        <v>3</v>
      </c>
      <c r="E106" s="350" t="s">
        <v>673</v>
      </c>
      <c r="F106" s="727">
        <f>'[15]2020-25 Pricing Schedule'!F106</f>
        <v>37.814</v>
      </c>
      <c r="G106" s="728">
        <f>'[15]2020-25 Pricing Schedule'!G106</f>
        <v>0</v>
      </c>
      <c r="H106" s="728">
        <f>'[15]2020-25 Pricing Schedule'!H106</f>
        <v>0</v>
      </c>
      <c r="I106" s="729">
        <f>SUM(F106:H106)</f>
        <v>37.814</v>
      </c>
      <c r="J106" s="727">
        <f>'DUoS (t)'!$T$72*Days_Year</f>
        <v>36.755499999999998</v>
      </c>
      <c r="K106" s="728">
        <f>'TUoS (t)'!$T$72*Days_Year</f>
        <v>0</v>
      </c>
      <c r="L106" s="728">
        <f>'JSO (t)'!$T$72*Days_Year</f>
        <v>0</v>
      </c>
      <c r="M106" s="729">
        <f>SUM(J106:L106)</f>
        <v>36.755499999999998</v>
      </c>
      <c r="N106" s="369">
        <f>'[21]Price Schedule 5 year'!N106</f>
        <v>33.4</v>
      </c>
      <c r="O106" s="371">
        <f>'[21]Price Schedule 5 year'!O106</f>
        <v>0</v>
      </c>
      <c r="P106" s="371">
        <f>'[21]Price Schedule 5 year'!P106</f>
        <v>0</v>
      </c>
      <c r="Q106" s="372">
        <f>SUM(N106:P106)</f>
        <v>33.4</v>
      </c>
      <c r="R106" s="369">
        <f>'[21]Price Schedule 5 year'!R106</f>
        <v>34.1</v>
      </c>
      <c r="S106" s="371">
        <f>'[21]Price Schedule 5 year'!S106</f>
        <v>0</v>
      </c>
      <c r="T106" s="371">
        <f>'[21]Price Schedule 5 year'!T106</f>
        <v>0</v>
      </c>
      <c r="U106" s="372">
        <f>SUM(R106:T106)</f>
        <v>34.1</v>
      </c>
      <c r="V106" s="369">
        <f>'[21]Price Schedule 5 year'!V106</f>
        <v>34.9</v>
      </c>
      <c r="W106" s="371">
        <f>'[21]Price Schedule 5 year'!W106</f>
        <v>0</v>
      </c>
      <c r="X106" s="371">
        <f>'[21]Price Schedule 5 year'!X106</f>
        <v>0</v>
      </c>
      <c r="Y106" s="372">
        <f>SUM(V106:X106)</f>
        <v>34.9</v>
      </c>
    </row>
    <row r="107" spans="1:25" x14ac:dyDescent="0.25">
      <c r="A107" s="367"/>
      <c r="C107" s="350" t="str">
        <f>'[20]HV Bus'!B101</f>
        <v>Peak Usage</v>
      </c>
      <c r="E107" s="350" t="s">
        <v>288</v>
      </c>
      <c r="F107" s="501">
        <f>'[15]2020-25 Pricing Schedule'!F107</f>
        <v>2.3900000000000001E-2</v>
      </c>
      <c r="G107" s="510">
        <f>'[15]2020-25 Pricing Schedule'!G107</f>
        <v>1.3100000000000001E-2</v>
      </c>
      <c r="H107" s="510">
        <f>'[15]2020-25 Pricing Schedule'!H107</f>
        <v>4.4000000000000003E-3</v>
      </c>
      <c r="I107" s="511">
        <f>SUM(F107:H107)</f>
        <v>4.1400000000000006E-2</v>
      </c>
      <c r="J107" s="501">
        <f>'DUoS (t)'!$I$72</f>
        <v>2.3199999999999998E-2</v>
      </c>
      <c r="K107" s="510">
        <f>'TUoS (t)'!$I$72</f>
        <v>1.41E-2</v>
      </c>
      <c r="L107" s="510">
        <f>'JSO (t)'!$I$72</f>
        <v>4.4000000000000003E-3</v>
      </c>
      <c r="M107" s="511">
        <f>SUM(J107:L107)</f>
        <v>4.1700000000000001E-2</v>
      </c>
      <c r="N107" s="384">
        <f>'[21]Price Schedule 5 year'!N107</f>
        <v>2.1221496509964126E-2</v>
      </c>
      <c r="O107" s="386">
        <f>'[21]Price Schedule 5 year'!O107</f>
        <v>1.3444308248430221E-2</v>
      </c>
      <c r="P107" s="386">
        <f>'[21]Price Schedule 5 year'!P107</f>
        <v>4.421930155655172E-3</v>
      </c>
      <c r="Q107" s="387">
        <f>SUM(N107:P107)</f>
        <v>3.9087734914049523E-2</v>
      </c>
      <c r="R107" s="384">
        <f>'[21]Price Schedule 5 year'!R107</f>
        <v>2.1684666112502717E-2</v>
      </c>
      <c r="S107" s="386">
        <f>'[21]Price Schedule 5 year'!S107</f>
        <v>1.4062746427858012E-2</v>
      </c>
      <c r="T107" s="386">
        <f>'[21]Price Schedule 5 year'!T107</f>
        <v>4.5147607947111923E-3</v>
      </c>
      <c r="U107" s="387">
        <f>SUM(R107:T107)</f>
        <v>4.026217333507192E-2</v>
      </c>
      <c r="V107" s="384">
        <f>'[21]Price Schedule 5 year'!V107</f>
        <v>2.2161728766977778E-2</v>
      </c>
      <c r="W107" s="386">
        <f>'[21]Price Schedule 5 year'!W107</f>
        <v>1.4709632763539482E-2</v>
      </c>
      <c r="X107" s="386">
        <f>'[21]Price Schedule 5 year'!X107</f>
        <v>4.6115726439539947E-3</v>
      </c>
      <c r="Y107" s="387">
        <f>SUM(V107:X107)</f>
        <v>4.1482934174471256E-2</v>
      </c>
    </row>
    <row r="108" spans="1:25" x14ac:dyDescent="0.25">
      <c r="A108" s="373"/>
      <c r="B108" s="375"/>
      <c r="C108" s="375" t="str">
        <f>'[20]HV Bus'!B102</f>
        <v>Off-Peak Usage</v>
      </c>
      <c r="D108" s="375"/>
      <c r="E108" s="375" t="s">
        <v>288</v>
      </c>
      <c r="F108" s="504">
        <f>'[15]2020-25 Pricing Schedule'!F108</f>
        <v>1.49E-2</v>
      </c>
      <c r="G108" s="512">
        <f>'[15]2020-25 Pricing Schedule'!G108</f>
        <v>8.2000000000000007E-3</v>
      </c>
      <c r="H108" s="512">
        <f>'[15]2020-25 Pricing Schedule'!H108</f>
        <v>2.8E-3</v>
      </c>
      <c r="I108" s="513">
        <f>SUM(F108:H108)</f>
        <v>2.5900000000000003E-2</v>
      </c>
      <c r="J108" s="504">
        <f>'DUoS (t)'!$K$72</f>
        <v>1.4500000000000001E-2</v>
      </c>
      <c r="K108" s="512">
        <f>'TUoS (t)'!$K$72</f>
        <v>8.8000000000000005E-3</v>
      </c>
      <c r="L108" s="512">
        <f>'JSO (t)'!$K$72</f>
        <v>2.8E-3</v>
      </c>
      <c r="M108" s="513">
        <f>SUM(J108:L108)</f>
        <v>2.6100000000000002E-2</v>
      </c>
      <c r="N108" s="376">
        <f>'[21]Price Schedule 5 year'!N108</f>
        <v>1.326343531872758E-2</v>
      </c>
      <c r="O108" s="378">
        <f>'[21]Price Schedule 5 year'!O108</f>
        <v>8.4026926552688893E-3</v>
      </c>
      <c r="P108" s="378">
        <f>'[21]Price Schedule 5 year'!P108</f>
        <v>2.7637063472844814E-3</v>
      </c>
      <c r="Q108" s="379">
        <f>SUM(N108:P108)</f>
        <v>2.4429834321280947E-2</v>
      </c>
      <c r="R108" s="376">
        <f>'[21]Price Schedule 5 year'!R108</f>
        <v>1.3552916320314199E-2</v>
      </c>
      <c r="S108" s="378">
        <f>'[21]Price Schedule 5 year'!S108</f>
        <v>8.7892165174112587E-3</v>
      </c>
      <c r="T108" s="378">
        <f>'[21]Price Schedule 5 year'!T108</f>
        <v>2.8217254966944939E-3</v>
      </c>
      <c r="U108" s="379">
        <f>SUM(R108:T108)</f>
        <v>2.5163858334419954E-2</v>
      </c>
      <c r="V108" s="376">
        <f>'[21]Price Schedule 5 year'!V108</f>
        <v>1.3851080479361112E-2</v>
      </c>
      <c r="W108" s="378">
        <f>'[21]Price Schedule 5 year'!W108</f>
        <v>9.1935204772121762E-3</v>
      </c>
      <c r="X108" s="378">
        <f>'[21]Price Schedule 5 year'!X108</f>
        <v>2.8822329024712451E-3</v>
      </c>
      <c r="Y108" s="379">
        <f>SUM(V108:X108)</f>
        <v>2.5926833859044533E-2</v>
      </c>
    </row>
    <row r="109" spans="1:25" x14ac:dyDescent="0.25">
      <c r="A109" s="361"/>
      <c r="B109" s="362" t="s">
        <v>313</v>
      </c>
      <c r="C109" s="363"/>
      <c r="D109" s="363"/>
      <c r="E109" s="363" t="s">
        <v>306</v>
      </c>
      <c r="F109" s="503"/>
      <c r="G109" s="508"/>
      <c r="H109" s="508"/>
      <c r="I109" s="509"/>
      <c r="J109" s="503"/>
      <c r="K109" s="508"/>
      <c r="L109" s="508"/>
      <c r="M109" s="509"/>
      <c r="N109" s="364"/>
      <c r="O109" s="363"/>
      <c r="P109" s="363"/>
      <c r="Q109" s="366"/>
      <c r="R109" s="364"/>
      <c r="S109" s="363"/>
      <c r="T109" s="363"/>
      <c r="U109" s="366"/>
      <c r="V109" s="364"/>
      <c r="W109" s="363"/>
      <c r="X109" s="363"/>
      <c r="Y109" s="366"/>
    </row>
    <row r="110" spans="1:25" x14ac:dyDescent="0.25">
      <c r="A110" s="367"/>
      <c r="C110" s="350" t="str">
        <f>'[20]HV Bus'!B90</f>
        <v>Customers/Supply Ch</v>
      </c>
      <c r="E110" s="350" t="s">
        <v>287</v>
      </c>
      <c r="F110" s="730">
        <f>'[15]2020-25 Pricing Schedule'!F110</f>
        <v>15000.003500000001</v>
      </c>
      <c r="G110" s="731">
        <f>'[15]2020-25 Pricing Schedule'!G110</f>
        <v>0</v>
      </c>
      <c r="H110" s="731">
        <f>'[15]2020-25 Pricing Schedule'!H110</f>
        <v>0</v>
      </c>
      <c r="I110" s="732">
        <f>SUM(F110:H110)</f>
        <v>15000.003500000001</v>
      </c>
      <c r="J110" s="730">
        <f>'DUoS (t)'!$G$73*Days_Year</f>
        <v>14586.349</v>
      </c>
      <c r="K110" s="731">
        <f>'TUoS (t)'!$G$73*Days_Year</f>
        <v>0</v>
      </c>
      <c r="L110" s="731">
        <f>'JSO (t)'!$G$73*Days_Year</f>
        <v>0</v>
      </c>
      <c r="M110" s="732">
        <f>SUM(J110:L110)</f>
        <v>14586.349</v>
      </c>
      <c r="N110" s="405">
        <f>'[21]Price Schedule 5 year'!N110</f>
        <v>13263.435318727577</v>
      </c>
      <c r="O110" s="407">
        <f>'[21]Price Schedule 5 year'!O110</f>
        <v>0</v>
      </c>
      <c r="P110" s="407">
        <f>'[21]Price Schedule 5 year'!P110</f>
        <v>0</v>
      </c>
      <c r="Q110" s="408">
        <f>SUM(N110:P110)</f>
        <v>13263.435318727577</v>
      </c>
      <c r="R110" s="405">
        <f>'[21]Price Schedule 5 year'!R110</f>
        <v>13552.916320314198</v>
      </c>
      <c r="S110" s="407">
        <f>'[21]Price Schedule 5 year'!S110</f>
        <v>0</v>
      </c>
      <c r="T110" s="407">
        <f>'[21]Price Schedule 5 year'!T110</f>
        <v>0</v>
      </c>
      <c r="U110" s="408">
        <f>SUM(R110:T110)</f>
        <v>13552.916320314198</v>
      </c>
      <c r="V110" s="405">
        <f>'[21]Price Schedule 5 year'!V110</f>
        <v>13851.080479361111</v>
      </c>
      <c r="W110" s="407">
        <f>'[21]Price Schedule 5 year'!W110</f>
        <v>0</v>
      </c>
      <c r="X110" s="407">
        <f>'[21]Price Schedule 5 year'!X110</f>
        <v>0</v>
      </c>
      <c r="Y110" s="408">
        <f>SUM(V110:X110)</f>
        <v>13851.080479361111</v>
      </c>
    </row>
    <row r="111" spans="1:25" x14ac:dyDescent="0.25">
      <c r="A111" s="367"/>
      <c r="C111" s="350" t="str">
        <f>'[20]HV Bus'!B91</f>
        <v>Peak Actual Monthly Demand</v>
      </c>
      <c r="D111" s="350">
        <v>1</v>
      </c>
      <c r="E111" s="350" t="s">
        <v>672</v>
      </c>
      <c r="F111" s="727">
        <f>'[15]2020-25 Pricing Schedule'!F111</f>
        <v>11.663239999999998</v>
      </c>
      <c r="G111" s="728">
        <f>'[15]2020-25 Pricing Schedule'!G111</f>
        <v>11.85652</v>
      </c>
      <c r="H111" s="728">
        <f>'[15]2020-25 Pricing Schedule'!H111</f>
        <v>0</v>
      </c>
      <c r="I111" s="729">
        <f>SUM(F111:H111)</f>
        <v>23.519759999999998</v>
      </c>
      <c r="J111" s="727">
        <f>'DUoS (t)'!$P$73*Days_Summer_Demand/5</f>
        <v>11.3401</v>
      </c>
      <c r="K111" s="728">
        <f>'TUoS (t)'!$P$73*Days_Summer_Demand/5</f>
        <v>12.72326</v>
      </c>
      <c r="L111" s="728">
        <f>'JSO (t)'!$P$73*Days_Summer_Demand/5</f>
        <v>0</v>
      </c>
      <c r="M111" s="729">
        <f>SUM(J111:L111)</f>
        <v>24.063359999999999</v>
      </c>
      <c r="N111" s="369">
        <f>'[21]Price Schedule 5 year'!N111</f>
        <v>10.319999999999999</v>
      </c>
      <c r="O111" s="371">
        <f>'[21]Price Schedule 5 year'!O111</f>
        <v>12.15</v>
      </c>
      <c r="P111" s="371">
        <f>'[21]Price Schedule 5 year'!P111</f>
        <v>0</v>
      </c>
      <c r="Q111" s="372">
        <f>SUM(N111:P111)</f>
        <v>22.47</v>
      </c>
      <c r="R111" s="369">
        <f>'[21]Price Schedule 5 year'!R111</f>
        <v>10.56</v>
      </c>
      <c r="S111" s="371">
        <f>'[21]Price Schedule 5 year'!S111</f>
        <v>12.719999999999999</v>
      </c>
      <c r="T111" s="371">
        <f>'[21]Price Schedule 5 year'!T111</f>
        <v>0</v>
      </c>
      <c r="U111" s="372">
        <f>SUM(R111:T111)</f>
        <v>23.28</v>
      </c>
      <c r="V111" s="369">
        <f>'[21]Price Schedule 5 year'!V111</f>
        <v>10.8</v>
      </c>
      <c r="W111" s="371">
        <f>'[21]Price Schedule 5 year'!W111</f>
        <v>13.319999999999999</v>
      </c>
      <c r="X111" s="371">
        <f>'[21]Price Schedule 5 year'!X111</f>
        <v>0</v>
      </c>
      <c r="Y111" s="372">
        <f>SUM(V111:X111)</f>
        <v>24.119999999999997</v>
      </c>
    </row>
    <row r="112" spans="1:25" x14ac:dyDescent="0.25">
      <c r="A112" s="367"/>
      <c r="C112" s="350" t="str">
        <f>'[20]HV Bus'!B92</f>
        <v>Anytime Actual Demand</v>
      </c>
      <c r="D112" s="350">
        <v>3</v>
      </c>
      <c r="E112" s="350" t="s">
        <v>294</v>
      </c>
      <c r="F112" s="727">
        <f>'[15]2020-25 Pricing Schedule'!F112</f>
        <v>37.814</v>
      </c>
      <c r="G112" s="728">
        <f>'[15]2020-25 Pricing Schedule'!G112</f>
        <v>0</v>
      </c>
      <c r="H112" s="728">
        <f>'[15]2020-25 Pricing Schedule'!H112</f>
        <v>0</v>
      </c>
      <c r="I112" s="729">
        <f>SUM(F112:H112)</f>
        <v>37.814</v>
      </c>
      <c r="J112" s="727">
        <f>'DUoS (t)'!$T$73*Days_Year</f>
        <v>36.755499999999998</v>
      </c>
      <c r="K112" s="728">
        <f>'TUoS (t)'!$T$73*Days_Year</f>
        <v>0</v>
      </c>
      <c r="L112" s="728">
        <f>'JSO (t)'!$T$73*Days_Year</f>
        <v>0</v>
      </c>
      <c r="M112" s="729">
        <f>SUM(J112:L112)</f>
        <v>36.755499999999998</v>
      </c>
      <c r="N112" s="369">
        <f>'[21]Price Schedule 5 year'!N112</f>
        <v>33.4</v>
      </c>
      <c r="O112" s="371">
        <f>'[21]Price Schedule 5 year'!O112</f>
        <v>0</v>
      </c>
      <c r="P112" s="371">
        <f>'[21]Price Schedule 5 year'!P112</f>
        <v>0</v>
      </c>
      <c r="Q112" s="372">
        <f>SUM(N112:P112)</f>
        <v>33.4</v>
      </c>
      <c r="R112" s="369">
        <f>'[21]Price Schedule 5 year'!R112</f>
        <v>34.1</v>
      </c>
      <c r="S112" s="371">
        <f>'[21]Price Schedule 5 year'!S112</f>
        <v>0</v>
      </c>
      <c r="T112" s="371">
        <f>'[21]Price Schedule 5 year'!T112</f>
        <v>0</v>
      </c>
      <c r="U112" s="372">
        <f>SUM(R112:T112)</f>
        <v>34.1</v>
      </c>
      <c r="V112" s="369">
        <f>'[21]Price Schedule 5 year'!V112</f>
        <v>34.9</v>
      </c>
      <c r="W112" s="371">
        <f>'[21]Price Schedule 5 year'!W112</f>
        <v>0</v>
      </c>
      <c r="X112" s="371">
        <f>'[21]Price Schedule 5 year'!X112</f>
        <v>0</v>
      </c>
      <c r="Y112" s="372">
        <f>SUM(V112:X112)</f>
        <v>34.9</v>
      </c>
    </row>
    <row r="113" spans="1:25" x14ac:dyDescent="0.25">
      <c r="A113" s="367"/>
      <c r="C113" s="350" t="str">
        <f>'[20]HV Bus'!B93</f>
        <v>Peak Usage</v>
      </c>
      <c r="E113" s="350" t="s">
        <v>294</v>
      </c>
      <c r="F113" s="501">
        <f>'[15]2020-25 Pricing Schedule'!F113</f>
        <v>2.3900000000000001E-2</v>
      </c>
      <c r="G113" s="510">
        <f>'[15]2020-25 Pricing Schedule'!G113</f>
        <v>1.3100000000000001E-2</v>
      </c>
      <c r="H113" s="510">
        <f>'[15]2020-25 Pricing Schedule'!H113</f>
        <v>4.4000000000000003E-3</v>
      </c>
      <c r="I113" s="511">
        <f>SUM(F113:H113)</f>
        <v>4.1400000000000006E-2</v>
      </c>
      <c r="J113" s="501">
        <f>'DUoS (t)'!$I$73</f>
        <v>2.3199999999999998E-2</v>
      </c>
      <c r="K113" s="510">
        <f>'TUoS (t)'!$I$73</f>
        <v>1.41E-2</v>
      </c>
      <c r="L113" s="510">
        <f>'JSO (t)'!$I$73</f>
        <v>4.4000000000000003E-3</v>
      </c>
      <c r="M113" s="511">
        <f>SUM(J113:L113)</f>
        <v>4.1700000000000001E-2</v>
      </c>
      <c r="N113" s="384">
        <f>'[21]Price Schedule 5 year'!N113</f>
        <v>2.1221496509964126E-2</v>
      </c>
      <c r="O113" s="386">
        <f>'[21]Price Schedule 5 year'!O113</f>
        <v>1.3444308248430221E-2</v>
      </c>
      <c r="P113" s="386">
        <f>'[21]Price Schedule 5 year'!P113</f>
        <v>4.421930155655172E-3</v>
      </c>
      <c r="Q113" s="387">
        <f>SUM(N113:P113)</f>
        <v>3.9087734914049523E-2</v>
      </c>
      <c r="R113" s="384">
        <f>'[21]Price Schedule 5 year'!R113</f>
        <v>2.1684666112502717E-2</v>
      </c>
      <c r="S113" s="386">
        <f>'[21]Price Schedule 5 year'!S113</f>
        <v>1.4062746427858012E-2</v>
      </c>
      <c r="T113" s="386">
        <f>'[21]Price Schedule 5 year'!T113</f>
        <v>4.5147607947111923E-3</v>
      </c>
      <c r="U113" s="387">
        <f>SUM(R113:T113)</f>
        <v>4.026217333507192E-2</v>
      </c>
      <c r="V113" s="384">
        <f>'[21]Price Schedule 5 year'!V113</f>
        <v>2.2161728766977778E-2</v>
      </c>
      <c r="W113" s="386">
        <f>'[21]Price Schedule 5 year'!W113</f>
        <v>1.4709632763539482E-2</v>
      </c>
      <c r="X113" s="386">
        <f>'[21]Price Schedule 5 year'!X113</f>
        <v>4.6115726439539947E-3</v>
      </c>
      <c r="Y113" s="387">
        <f>SUM(V113:X113)</f>
        <v>4.1482934174471256E-2</v>
      </c>
    </row>
    <row r="114" spans="1:25" x14ac:dyDescent="0.25">
      <c r="A114" s="373"/>
      <c r="B114" s="375"/>
      <c r="C114" s="375" t="str">
        <f>'[20]HV Bus'!B94</f>
        <v>Off-Peak Usage</v>
      </c>
      <c r="D114" s="375"/>
      <c r="E114" s="375" t="s">
        <v>288</v>
      </c>
      <c r="F114" s="504">
        <f>'[15]2020-25 Pricing Schedule'!F114</f>
        <v>1.49E-2</v>
      </c>
      <c r="G114" s="512">
        <f>'[15]2020-25 Pricing Schedule'!G114</f>
        <v>8.2000000000000007E-3</v>
      </c>
      <c r="H114" s="512">
        <f>'[15]2020-25 Pricing Schedule'!H114</f>
        <v>2.8E-3</v>
      </c>
      <c r="I114" s="513">
        <f>SUM(F114:H114)</f>
        <v>2.5900000000000003E-2</v>
      </c>
      <c r="J114" s="504">
        <f>'DUoS (t)'!$K$73</f>
        <v>1.4500000000000001E-2</v>
      </c>
      <c r="K114" s="512">
        <f>'TUoS (t)'!$K$73</f>
        <v>8.8000000000000005E-3</v>
      </c>
      <c r="L114" s="512">
        <f>'JSO (t)'!$K$73</f>
        <v>2.8E-3</v>
      </c>
      <c r="M114" s="513">
        <f>SUM(J114:L114)</f>
        <v>2.6100000000000002E-2</v>
      </c>
      <c r="N114" s="376">
        <f>'[21]Price Schedule 5 year'!N114</f>
        <v>1.326343531872758E-2</v>
      </c>
      <c r="O114" s="378">
        <f>'[21]Price Schedule 5 year'!O114</f>
        <v>8.4026926552688893E-3</v>
      </c>
      <c r="P114" s="378">
        <f>'[21]Price Schedule 5 year'!P114</f>
        <v>2.7637063472844814E-3</v>
      </c>
      <c r="Q114" s="379">
        <f>SUM(N114:P114)</f>
        <v>2.4429834321280947E-2</v>
      </c>
      <c r="R114" s="376">
        <f>'[21]Price Schedule 5 year'!R114</f>
        <v>1.3552916320314199E-2</v>
      </c>
      <c r="S114" s="378">
        <f>'[21]Price Schedule 5 year'!S114</f>
        <v>8.7892165174112587E-3</v>
      </c>
      <c r="T114" s="378">
        <f>'[21]Price Schedule 5 year'!T114</f>
        <v>2.8217254966944939E-3</v>
      </c>
      <c r="U114" s="379">
        <f>SUM(R114:T114)</f>
        <v>2.5163858334419954E-2</v>
      </c>
      <c r="V114" s="376">
        <f>'[21]Price Schedule 5 year'!V114</f>
        <v>1.3851080479361112E-2</v>
      </c>
      <c r="W114" s="378">
        <f>'[21]Price Schedule 5 year'!W114</f>
        <v>9.1935204772121762E-3</v>
      </c>
      <c r="X114" s="378">
        <f>'[21]Price Schedule 5 year'!X114</f>
        <v>2.8822329024712451E-3</v>
      </c>
      <c r="Y114" s="379">
        <f>SUM(V114:X114)</f>
        <v>2.5926833859044533E-2</v>
      </c>
    </row>
    <row r="115" spans="1:25" x14ac:dyDescent="0.25">
      <c r="A115" s="361"/>
      <c r="B115" s="362" t="s">
        <v>314</v>
      </c>
      <c r="C115" s="363"/>
      <c r="D115" s="363"/>
      <c r="E115" s="363" t="s">
        <v>306</v>
      </c>
      <c r="F115" s="503"/>
      <c r="G115" s="508"/>
      <c r="H115" s="508"/>
      <c r="I115" s="509"/>
      <c r="J115" s="503"/>
      <c r="K115" s="508"/>
      <c r="L115" s="508"/>
      <c r="M115" s="509"/>
      <c r="N115" s="364"/>
      <c r="O115" s="363"/>
      <c r="P115" s="363"/>
      <c r="Q115" s="366"/>
      <c r="R115" s="364"/>
      <c r="S115" s="363"/>
      <c r="T115" s="363"/>
      <c r="U115" s="366"/>
      <c r="V115" s="364"/>
      <c r="W115" s="363"/>
      <c r="X115" s="363"/>
      <c r="Y115" s="366"/>
    </row>
    <row r="116" spans="1:25" x14ac:dyDescent="0.25">
      <c r="A116" s="367"/>
      <c r="C116" s="350" t="str">
        <f>'[20]HV Bus'!B106</f>
        <v>Customers/Supply Ch</v>
      </c>
      <c r="E116" s="350" t="s">
        <v>287</v>
      </c>
      <c r="F116" s="730">
        <f>'[15]2020-25 Pricing Schedule'!F116</f>
        <v>2499.9945000000002</v>
      </c>
      <c r="G116" s="731">
        <f>'[15]2020-25 Pricing Schedule'!G116</f>
        <v>0</v>
      </c>
      <c r="H116" s="731">
        <f>'[15]2020-25 Pricing Schedule'!H116</f>
        <v>0</v>
      </c>
      <c r="I116" s="732">
        <f>SUM(F116:H116)</f>
        <v>2499.9945000000002</v>
      </c>
      <c r="J116" s="730">
        <f>'DUoS (t)'!$G$76*Days_Year</f>
        <v>2480.1750000000002</v>
      </c>
      <c r="K116" s="731">
        <f>'TUoS (t)'!$G$76*Days_Year</f>
        <v>0</v>
      </c>
      <c r="L116" s="731">
        <f>'JSO (t)'!$G$76*Days_Year</f>
        <v>0</v>
      </c>
      <c r="M116" s="732">
        <f>SUM(J116:L116)</f>
        <v>2480.1750000000002</v>
      </c>
      <c r="N116" s="405">
        <f>'[21]Price Schedule 5 year'!N116</f>
        <v>2384.9634734328779</v>
      </c>
      <c r="O116" s="407">
        <f>'[21]Price Schedule 5 year'!O116</f>
        <v>0</v>
      </c>
      <c r="P116" s="407">
        <f>'[21]Price Schedule 5 year'!P116</f>
        <v>0</v>
      </c>
      <c r="Q116" s="408">
        <f>SUM(N116:P116)</f>
        <v>2384.9634734328779</v>
      </c>
      <c r="R116" s="405">
        <f>'[21]Price Schedule 5 year'!R116</f>
        <v>2443.9913194003416</v>
      </c>
      <c r="S116" s="407">
        <f>'[21]Price Schedule 5 year'!S116</f>
        <v>0</v>
      </c>
      <c r="T116" s="407">
        <f>'[21]Price Schedule 5 year'!T116</f>
        <v>0</v>
      </c>
      <c r="U116" s="408">
        <f>SUM(R116:T116)</f>
        <v>2443.9913194003416</v>
      </c>
      <c r="V116" s="405">
        <f>'[21]Price Schedule 5 year'!V116</f>
        <v>2500.5986779072014</v>
      </c>
      <c r="W116" s="407">
        <f>'[21]Price Schedule 5 year'!W116</f>
        <v>0</v>
      </c>
      <c r="X116" s="407">
        <f>'[21]Price Schedule 5 year'!X116</f>
        <v>0</v>
      </c>
      <c r="Y116" s="408">
        <f>SUM(V116:X116)</f>
        <v>2500.5986779072014</v>
      </c>
    </row>
    <row r="117" spans="1:25" x14ac:dyDescent="0.25">
      <c r="A117" s="367"/>
      <c r="C117" s="350" t="str">
        <f>'[20]HV Bus'!B107</f>
        <v>Peak Annual Max Demand</v>
      </c>
      <c r="D117" s="350">
        <v>1</v>
      </c>
      <c r="E117" s="350" t="s">
        <v>294</v>
      </c>
      <c r="F117" s="727">
        <f>'[15]2020-25 Pricing Schedule'!F117</f>
        <v>52.924999999999997</v>
      </c>
      <c r="G117" s="728">
        <f>'[15]2020-25 Pricing Schedule'!G117</f>
        <v>39.529499999999999</v>
      </c>
      <c r="H117" s="728">
        <f>'[15]2020-25 Pricing Schedule'!H117</f>
        <v>0</v>
      </c>
      <c r="I117" s="729">
        <f>SUM(F117:H117)</f>
        <v>92.454499999999996</v>
      </c>
      <c r="J117" s="727">
        <f>'DUoS (t)'!$S$76*Days_Year</f>
        <v>52.487000000000002</v>
      </c>
      <c r="K117" s="728">
        <f>'TUoS (t)'!$S$76*Days_Year</f>
        <v>42.3765</v>
      </c>
      <c r="L117" s="728">
        <f>'JSO (t)'!$S$76*Days_Year</f>
        <v>0</v>
      </c>
      <c r="M117" s="729">
        <f>SUM(J117:L117)</f>
        <v>94.863500000000002</v>
      </c>
      <c r="N117" s="369">
        <f>'[21]Price Schedule 5 year'!N117</f>
        <v>50.5</v>
      </c>
      <c r="O117" s="371">
        <f>'[21]Price Schedule 5 year'!O117</f>
        <v>63.75</v>
      </c>
      <c r="P117" s="371">
        <f>'[21]Price Schedule 5 year'!P117</f>
        <v>0</v>
      </c>
      <c r="Q117" s="372">
        <f>SUM(N117:P117)</f>
        <v>114.25</v>
      </c>
      <c r="R117" s="369">
        <f>'[21]Price Schedule 5 year'!R117</f>
        <v>51.7</v>
      </c>
      <c r="S117" s="371">
        <f>'[21]Price Schedule 5 year'!S117</f>
        <v>66.75</v>
      </c>
      <c r="T117" s="371">
        <f>'[21]Price Schedule 5 year'!T117</f>
        <v>0</v>
      </c>
      <c r="U117" s="372">
        <f>SUM(R117:T117)</f>
        <v>118.45</v>
      </c>
      <c r="V117" s="369">
        <f>'[21]Price Schedule 5 year'!V117</f>
        <v>52.9</v>
      </c>
      <c r="W117" s="371">
        <f>'[21]Price Schedule 5 year'!W117</f>
        <v>69.75</v>
      </c>
      <c r="X117" s="371">
        <f>'[21]Price Schedule 5 year'!X117</f>
        <v>0</v>
      </c>
      <c r="Y117" s="372">
        <f>SUM(V117:X117)</f>
        <v>122.65</v>
      </c>
    </row>
    <row r="118" spans="1:25" x14ac:dyDescent="0.25">
      <c r="A118" s="367"/>
      <c r="C118" s="350" t="str">
        <f>'[20]HV Bus'!B108</f>
        <v>Anytime Actual Demand</v>
      </c>
      <c r="D118" s="350">
        <v>3</v>
      </c>
      <c r="E118" s="350" t="s">
        <v>294</v>
      </c>
      <c r="F118" s="727">
        <f>'[15]2020-25 Pricing Schedule'!F118</f>
        <v>37.814</v>
      </c>
      <c r="G118" s="728">
        <f>'[15]2020-25 Pricing Schedule'!G118</f>
        <v>0</v>
      </c>
      <c r="H118" s="728">
        <f>'[15]2020-25 Pricing Schedule'!H118</f>
        <v>0</v>
      </c>
      <c r="I118" s="729">
        <f>SUM(F118:H118)</f>
        <v>37.814</v>
      </c>
      <c r="J118" s="727">
        <f>'DUoS (t)'!$T$76*Days_Year</f>
        <v>37.521999999999998</v>
      </c>
      <c r="K118" s="728">
        <f>'TUoS (t)'!$T$76*Days_Year</f>
        <v>0</v>
      </c>
      <c r="L118" s="728">
        <f>'JSO (t)'!$T$76*Days_Year</f>
        <v>0</v>
      </c>
      <c r="M118" s="729">
        <f>SUM(J118:L118)</f>
        <v>37.521999999999998</v>
      </c>
      <c r="N118" s="369">
        <f>'[21]Price Schedule 5 year'!N118</f>
        <v>36</v>
      </c>
      <c r="O118" s="371">
        <f>'[21]Price Schedule 5 year'!O118</f>
        <v>0</v>
      </c>
      <c r="P118" s="371">
        <f>'[21]Price Schedule 5 year'!P118</f>
        <v>0</v>
      </c>
      <c r="Q118" s="372">
        <f>SUM(N118:P118)</f>
        <v>36</v>
      </c>
      <c r="R118" s="369">
        <f>'[21]Price Schedule 5 year'!R118</f>
        <v>36.9</v>
      </c>
      <c r="S118" s="371">
        <f>'[21]Price Schedule 5 year'!S118</f>
        <v>0</v>
      </c>
      <c r="T118" s="371">
        <f>'[21]Price Schedule 5 year'!T118</f>
        <v>0</v>
      </c>
      <c r="U118" s="372">
        <f>SUM(R118:T118)</f>
        <v>36.9</v>
      </c>
      <c r="V118" s="369">
        <f>'[21]Price Schedule 5 year'!V118</f>
        <v>37.799999999999997</v>
      </c>
      <c r="W118" s="371">
        <f>'[21]Price Schedule 5 year'!W118</f>
        <v>0</v>
      </c>
      <c r="X118" s="371">
        <f>'[21]Price Schedule 5 year'!X118</f>
        <v>0</v>
      </c>
      <c r="Y118" s="372">
        <f>SUM(V118:X118)</f>
        <v>37.799999999999997</v>
      </c>
    </row>
    <row r="119" spans="1:25" x14ac:dyDescent="0.25">
      <c r="A119" s="367"/>
      <c r="C119" s="350" t="str">
        <f>'[20]HV Bus'!B109</f>
        <v>Peak Usage</v>
      </c>
      <c r="E119" s="350" t="s">
        <v>288</v>
      </c>
      <c r="F119" s="501">
        <f>'[15]2020-25 Pricing Schedule'!F119</f>
        <v>4.2099999999999999E-2</v>
      </c>
      <c r="G119" s="510">
        <f>'[15]2020-25 Pricing Schedule'!G119</f>
        <v>1.7600000000000001E-2</v>
      </c>
      <c r="H119" s="510">
        <f>'[15]2020-25 Pricing Schedule'!H119</f>
        <v>4.4000000000000003E-3</v>
      </c>
      <c r="I119" s="511">
        <f>SUM(F119:H119)</f>
        <v>6.4100000000000004E-2</v>
      </c>
      <c r="J119" s="501">
        <f>'DUoS (t)'!$I$76</f>
        <v>4.1799999999999997E-2</v>
      </c>
      <c r="K119" s="510">
        <f>'TUoS (t)'!$I$76</f>
        <v>1.89E-2</v>
      </c>
      <c r="L119" s="510">
        <f>'JSO (t)'!$I$76</f>
        <v>4.4000000000000003E-3</v>
      </c>
      <c r="M119" s="511">
        <f>SUM(J119:L119)</f>
        <v>6.5099999999999991E-2</v>
      </c>
      <c r="N119" s="384">
        <f>'[21]Price Schedule 5 year'!N119</f>
        <v>4.0143705184822208E-2</v>
      </c>
      <c r="O119" s="386">
        <f>'[21]Price Schedule 5 year'!O119</f>
        <v>1.8939209923524266E-2</v>
      </c>
      <c r="P119" s="386">
        <f>'[21]Price Schedule 5 year'!P119</f>
        <v>4.421930155655172E-3</v>
      </c>
      <c r="Q119" s="387">
        <f>SUM(N119:P119)</f>
        <v>6.3504845264001644E-2</v>
      </c>
      <c r="R119" s="384">
        <f>'[21]Price Schedule 5 year'!R119</f>
        <v>4.1137261888146558E-2</v>
      </c>
      <c r="S119" s="386">
        <f>'[21]Price Schedule 5 year'!S119</f>
        <v>1.9819518519055425E-2</v>
      </c>
      <c r="T119" s="386">
        <f>'[21]Price Schedule 5 year'!T119</f>
        <v>4.5147607947111923E-3</v>
      </c>
      <c r="U119" s="387">
        <f>SUM(R119:T119)</f>
        <v>6.5471541201913175E-2</v>
      </c>
      <c r="V119" s="384">
        <f>'[21]Price Schedule 5 year'!V119</f>
        <v>4.2090076946534022E-2</v>
      </c>
      <c r="W119" s="386">
        <f>'[21]Price Schedule 5 year'!W119</f>
        <v>2.0731216370931976E-2</v>
      </c>
      <c r="X119" s="386">
        <f>'[21]Price Schedule 5 year'!X119</f>
        <v>4.6115726439539947E-3</v>
      </c>
      <c r="Y119" s="387">
        <f>SUM(V119:X119)</f>
        <v>6.7432865961419994E-2</v>
      </c>
    </row>
    <row r="120" spans="1:25" x14ac:dyDescent="0.25">
      <c r="A120" s="373"/>
      <c r="B120" s="375"/>
      <c r="C120" s="375" t="str">
        <f>'[20]HV Bus'!B110</f>
        <v>Off-Peak Usage</v>
      </c>
      <c r="D120" s="375"/>
      <c r="E120" s="375" t="s">
        <v>288</v>
      </c>
      <c r="F120" s="504">
        <f>'[15]2020-25 Pricing Schedule'!F120</f>
        <v>2.63E-2</v>
      </c>
      <c r="G120" s="512">
        <f>'[15]2020-25 Pricing Schedule'!G120</f>
        <v>1.0999999999999999E-2</v>
      </c>
      <c r="H120" s="512">
        <f>'[15]2020-25 Pricing Schedule'!H120</f>
        <v>2.8E-3</v>
      </c>
      <c r="I120" s="513">
        <f>SUM(F120:H120)</f>
        <v>4.0099999999999997E-2</v>
      </c>
      <c r="J120" s="504">
        <f>'DUoS (t)'!$K$76</f>
        <v>2.6100000000000002E-2</v>
      </c>
      <c r="K120" s="512">
        <f>'TUoS (t)'!$K$76</f>
        <v>1.18E-2</v>
      </c>
      <c r="L120" s="512">
        <f>'JSO (t)'!$K$76</f>
        <v>2.8E-3</v>
      </c>
      <c r="M120" s="513">
        <f>SUM(J120:L120)</f>
        <v>4.07E-2</v>
      </c>
      <c r="N120" s="376">
        <f>'[21]Price Schedule 5 year'!N120</f>
        <v>2.5089815740513877E-2</v>
      </c>
      <c r="O120" s="378">
        <f>'[21]Price Schedule 5 year'!O120</f>
        <v>1.1837006202202668E-2</v>
      </c>
      <c r="P120" s="378">
        <f>'[21]Price Schedule 5 year'!P120</f>
        <v>2.7637063472844814E-3</v>
      </c>
      <c r="Q120" s="379">
        <f>SUM(N120:P120)</f>
        <v>3.9690528290001026E-2</v>
      </c>
      <c r="R120" s="376">
        <f>'[21]Price Schedule 5 year'!R120</f>
        <v>2.5710788680091596E-2</v>
      </c>
      <c r="S120" s="378">
        <f>'[21]Price Schedule 5 year'!S120</f>
        <v>1.2387199074409643E-2</v>
      </c>
      <c r="T120" s="378">
        <f>'[21]Price Schedule 5 year'!T120</f>
        <v>2.8217254966944939E-3</v>
      </c>
      <c r="U120" s="379">
        <f>SUM(R120:T120)</f>
        <v>4.0919713251195734E-2</v>
      </c>
      <c r="V120" s="376">
        <f>'[21]Price Schedule 5 year'!V120</f>
        <v>2.6306298091583764E-2</v>
      </c>
      <c r="W120" s="378">
        <f>'[21]Price Schedule 5 year'!W120</f>
        <v>1.2957010231832487E-2</v>
      </c>
      <c r="X120" s="378">
        <f>'[21]Price Schedule 5 year'!X120</f>
        <v>2.8822329024712451E-3</v>
      </c>
      <c r="Y120" s="379">
        <f>SUM(V120:X120)</f>
        <v>4.2145541225887491E-2</v>
      </c>
    </row>
    <row r="121" spans="1:25" x14ac:dyDescent="0.25">
      <c r="A121" s="361"/>
      <c r="B121" s="362" t="str">
        <f>'[20]HV Bus'!B68</f>
        <v>HV Business Actual Demand</v>
      </c>
      <c r="C121" s="363"/>
      <c r="D121" s="363"/>
      <c r="E121" s="363" t="s">
        <v>286</v>
      </c>
      <c r="F121" s="503"/>
      <c r="G121" s="508"/>
      <c r="H121" s="508"/>
      <c r="I121" s="509"/>
      <c r="J121" s="503"/>
      <c r="K121" s="508"/>
      <c r="L121" s="508"/>
      <c r="M121" s="509"/>
      <c r="N121" s="364"/>
      <c r="O121" s="363"/>
      <c r="P121" s="363"/>
      <c r="Q121" s="366"/>
      <c r="R121" s="364"/>
      <c r="S121" s="363"/>
      <c r="T121" s="363"/>
      <c r="U121" s="366"/>
      <c r="V121" s="364"/>
      <c r="W121" s="363"/>
      <c r="X121" s="363"/>
      <c r="Y121" s="366"/>
    </row>
    <row r="122" spans="1:25" x14ac:dyDescent="0.25">
      <c r="A122" s="367"/>
      <c r="C122" s="350" t="str">
        <f>'[20]HV Bus'!B69</f>
        <v>Customers/Supply Ch</v>
      </c>
      <c r="E122" s="350" t="s">
        <v>287</v>
      </c>
      <c r="F122" s="730">
        <f>'[15]2020-25 Pricing Schedule'!F122</f>
        <v>999.9905</v>
      </c>
      <c r="G122" s="731">
        <f>'[15]2020-25 Pricing Schedule'!G122</f>
        <v>0</v>
      </c>
      <c r="H122" s="731">
        <f>'[15]2020-25 Pricing Schedule'!H122</f>
        <v>0</v>
      </c>
      <c r="I122" s="732">
        <f>SUM(F122:H122)</f>
        <v>999.9905</v>
      </c>
      <c r="J122" s="730">
        <f>'DUoS (t)'!$G$75*Days_Year</f>
        <v>1999.981</v>
      </c>
      <c r="K122" s="731">
        <f>'TUoS (t)'!$G$75*Days_Year</f>
        <v>0</v>
      </c>
      <c r="L122" s="731">
        <f>'JSO (t)'!$G$75*Days_Year</f>
        <v>0</v>
      </c>
      <c r="M122" s="732">
        <f>SUM(J122:L122)</f>
        <v>1999.981</v>
      </c>
      <c r="N122" s="369">
        <f>'[21]Price Schedule 5 year'!N122</f>
        <v>2999.9967999999999</v>
      </c>
      <c r="O122" s="371">
        <f>'[21]Price Schedule 5 year'!O122</f>
        <v>0</v>
      </c>
      <c r="P122" s="371">
        <f>'[21]Price Schedule 5 year'!P122</f>
        <v>0</v>
      </c>
      <c r="Q122" s="372">
        <f>SUM(N122:P122)</f>
        <v>2999.9967999999999</v>
      </c>
      <c r="R122" s="369">
        <f>'[21]Price Schedule 5 year'!R122</f>
        <v>3999.9967999999999</v>
      </c>
      <c r="S122" s="371">
        <f>'[21]Price Schedule 5 year'!S122</f>
        <v>0</v>
      </c>
      <c r="T122" s="371">
        <f>'[21]Price Schedule 5 year'!T122</f>
        <v>0</v>
      </c>
      <c r="U122" s="372">
        <f>SUM(R122:T122)</f>
        <v>3999.9967999999999</v>
      </c>
      <c r="V122" s="369">
        <f>'[21]Price Schedule 5 year'!V122</f>
        <v>4999.9967999999999</v>
      </c>
      <c r="W122" s="371">
        <f>'[21]Price Schedule 5 year'!W122</f>
        <v>0</v>
      </c>
      <c r="X122" s="371">
        <f>'[21]Price Schedule 5 year'!X122</f>
        <v>0</v>
      </c>
      <c r="Y122" s="372">
        <f>SUM(V122:X122)</f>
        <v>4999.9967999999999</v>
      </c>
    </row>
    <row r="123" spans="1:25" x14ac:dyDescent="0.25">
      <c r="A123" s="367"/>
      <c r="C123" s="350" t="str">
        <f>'[20]HV Bus'!B70</f>
        <v>Peak Actual Demand</v>
      </c>
      <c r="D123" s="350">
        <v>1</v>
      </c>
      <c r="E123" s="350" t="s">
        <v>295</v>
      </c>
      <c r="F123" s="727">
        <f>'[15]2020-25 Pricing Schedule'!F123</f>
        <v>9.3438800000000004</v>
      </c>
      <c r="G123" s="728">
        <f>'[15]2020-25 Pricing Schedule'!G123</f>
        <v>2.6213600000000001</v>
      </c>
      <c r="H123" s="728">
        <f>'[15]2020-25 Pricing Schedule'!H123</f>
        <v>0</v>
      </c>
      <c r="I123" s="729">
        <f>SUM(F123:H123)</f>
        <v>11.965240000000001</v>
      </c>
      <c r="J123" s="727">
        <f>'DUoS (t)'!$Q$75*Days_Summer_Demand/5</f>
        <v>9.3438800000000004</v>
      </c>
      <c r="K123" s="728">
        <f>'TUoS (t)'!$Q$75*Days_Summer_Demand/5</f>
        <v>2.6213600000000001</v>
      </c>
      <c r="L123" s="728">
        <f>'JSO (t)'!$Q$75*Days_Summer_Demand/5</f>
        <v>0</v>
      </c>
      <c r="M123" s="729">
        <f>SUM(J123:L123)</f>
        <v>11.965240000000001</v>
      </c>
      <c r="N123" s="369">
        <f>'[21]Price Schedule 5 year'!N123</f>
        <v>9.3449600000000004</v>
      </c>
      <c r="O123" s="371">
        <f>'[21]Price Schedule 5 year'!O123</f>
        <v>2.6204799999999997</v>
      </c>
      <c r="P123" s="371">
        <f>'[21]Price Schedule 5 year'!P123</f>
        <v>0</v>
      </c>
      <c r="Q123" s="372">
        <f>SUM(N123:P123)</f>
        <v>11.965440000000001</v>
      </c>
      <c r="R123" s="369">
        <f>'[21]Price Schedule 5 year'!R123</f>
        <v>9.3449600000000004</v>
      </c>
      <c r="S123" s="371">
        <f>'[21]Price Schedule 5 year'!S123</f>
        <v>2.6204799999999997</v>
      </c>
      <c r="T123" s="371">
        <f>'[21]Price Schedule 5 year'!T123</f>
        <v>0</v>
      </c>
      <c r="U123" s="372">
        <f>SUM(R123:T123)</f>
        <v>11.965440000000001</v>
      </c>
      <c r="V123" s="369">
        <f>'[21]Price Schedule 5 year'!V123</f>
        <v>9.3449600000000004</v>
      </c>
      <c r="W123" s="371">
        <f>'[21]Price Schedule 5 year'!W123</f>
        <v>2.6204799999999997</v>
      </c>
      <c r="X123" s="371">
        <f>'[21]Price Schedule 5 year'!X123</f>
        <v>0</v>
      </c>
      <c r="Y123" s="372">
        <f>SUM(V123:X123)</f>
        <v>11.965440000000001</v>
      </c>
    </row>
    <row r="124" spans="1:25" x14ac:dyDescent="0.25">
      <c r="A124" s="367"/>
      <c r="C124" s="350" t="str">
        <f>'[20]HV Bus'!B71</f>
        <v>Shoulder Actual Demand</v>
      </c>
      <c r="D124" s="350">
        <v>2</v>
      </c>
      <c r="E124" s="350" t="s">
        <v>295</v>
      </c>
      <c r="F124" s="727">
        <f>'[15]2020-25 Pricing Schedule'!F124</f>
        <v>4.6567916666666669</v>
      </c>
      <c r="G124" s="728">
        <f>'[15]2020-25 Pricing Schedule'!G124</f>
        <v>1.304875</v>
      </c>
      <c r="H124" s="728">
        <f>'[15]2020-25 Pricing Schedule'!H124</f>
        <v>0</v>
      </c>
      <c r="I124" s="729">
        <f>SUM(F124:H124)</f>
        <v>5.9616666666666669</v>
      </c>
      <c r="J124" s="727">
        <f>'DUoS (t)'!$R$75*Days_Year/12</f>
        <v>4.6567916666666669</v>
      </c>
      <c r="K124" s="728">
        <f>'TUoS (t)'!$R$75*Days_Year/12</f>
        <v>1.304875</v>
      </c>
      <c r="L124" s="728">
        <f>'JSO (t)'!$R$75*Days_Year/12</f>
        <v>0</v>
      </c>
      <c r="M124" s="729">
        <f>SUM(J124:L124)</f>
        <v>5.9616666666666669</v>
      </c>
      <c r="N124" s="369">
        <f>'[21]Price Schedule 5 year'!N124</f>
        <v>4.6573500000000001</v>
      </c>
      <c r="O124" s="371">
        <f>'[21]Price Schedule 5 year'!O124</f>
        <v>1.3053999999999999</v>
      </c>
      <c r="P124" s="371">
        <f>'[21]Price Schedule 5 year'!P124</f>
        <v>0</v>
      </c>
      <c r="Q124" s="372">
        <f>SUM(N124:P124)</f>
        <v>5.9627499999999998</v>
      </c>
      <c r="R124" s="369">
        <f>'[21]Price Schedule 5 year'!R124</f>
        <v>4.6573500000000001</v>
      </c>
      <c r="S124" s="371">
        <f>'[21]Price Schedule 5 year'!S124</f>
        <v>1.3053999999999999</v>
      </c>
      <c r="T124" s="371">
        <f>'[21]Price Schedule 5 year'!T124</f>
        <v>0</v>
      </c>
      <c r="U124" s="372">
        <f>SUM(R124:T124)</f>
        <v>5.9627499999999998</v>
      </c>
      <c r="V124" s="369">
        <f>'[21]Price Schedule 5 year'!V124</f>
        <v>4.6573500000000001</v>
      </c>
      <c r="W124" s="371">
        <f>'[21]Price Schedule 5 year'!W124</f>
        <v>1.3053999999999999</v>
      </c>
      <c r="X124" s="371">
        <f>'[21]Price Schedule 5 year'!X124</f>
        <v>0</v>
      </c>
      <c r="Y124" s="372">
        <f>SUM(V124:X124)</f>
        <v>5.9627499999999998</v>
      </c>
    </row>
    <row r="125" spans="1:25" x14ac:dyDescent="0.25">
      <c r="A125" s="373"/>
      <c r="B125" s="375"/>
      <c r="C125" s="375" t="str">
        <f>'[20]HV Bus'!B72</f>
        <v>Usage</v>
      </c>
      <c r="D125" s="375"/>
      <c r="E125" s="375" t="s">
        <v>288</v>
      </c>
      <c r="F125" s="504">
        <f>'[15]2020-25 Pricing Schedule'!F125</f>
        <v>5.1499999999999997E-2</v>
      </c>
      <c r="G125" s="512">
        <f>'[15]2020-25 Pricing Schedule'!G125</f>
        <v>2.0299999999999999E-2</v>
      </c>
      <c r="H125" s="512">
        <f>'[15]2020-25 Pricing Schedule'!H125</f>
        <v>3.5999999999999999E-3</v>
      </c>
      <c r="I125" s="513">
        <f>SUM(F125:H125)</f>
        <v>7.5400000000000009E-2</v>
      </c>
      <c r="J125" s="504">
        <f>'DUoS (t)'!$H$75</f>
        <v>5.8699999999999995E-2</v>
      </c>
      <c r="K125" s="512">
        <f>'TUoS (t)'!$H$75</f>
        <v>2.3100000000000002E-2</v>
      </c>
      <c r="L125" s="512">
        <f>'JSO (t)'!$H$75</f>
        <v>3.5999999999999999E-3</v>
      </c>
      <c r="M125" s="513">
        <f>SUM(J125:L125)</f>
        <v>8.5400000000000004E-2</v>
      </c>
      <c r="N125" s="376">
        <f>'[21]Price Schedule 5 year'!N125</f>
        <v>6.59E-2</v>
      </c>
      <c r="O125" s="378">
        <f>'[21]Price Schedule 5 year'!O125</f>
        <v>2.5900000000000003E-2</v>
      </c>
      <c r="P125" s="378">
        <f>'[21]Price Schedule 5 year'!P125</f>
        <v>3.5999999999999999E-3</v>
      </c>
      <c r="Q125" s="379">
        <f>SUM(N125:P125)</f>
        <v>9.5400000000000013E-2</v>
      </c>
      <c r="R125" s="376">
        <f>'[21]Price Schedule 5 year'!R125</f>
        <v>7.3099999999999998E-2</v>
      </c>
      <c r="S125" s="378">
        <f>'[21]Price Schedule 5 year'!S125</f>
        <v>2.8700000000000003E-2</v>
      </c>
      <c r="T125" s="378">
        <f>'[21]Price Schedule 5 year'!T125</f>
        <v>3.5999999999999999E-3</v>
      </c>
      <c r="U125" s="379">
        <f>SUM(R125:T125)</f>
        <v>0.10540000000000001</v>
      </c>
      <c r="V125" s="376">
        <f>'[21]Price Schedule 5 year'!V125</f>
        <v>8.0299999999999996E-2</v>
      </c>
      <c r="W125" s="378">
        <f>'[21]Price Schedule 5 year'!W125</f>
        <v>3.15E-2</v>
      </c>
      <c r="X125" s="378">
        <f>'[21]Price Schedule 5 year'!X125</f>
        <v>3.5999999999999999E-3</v>
      </c>
      <c r="Y125" s="379">
        <f>SUM(V125:X125)</f>
        <v>0.1154</v>
      </c>
    </row>
    <row r="126" spans="1:25" x14ac:dyDescent="0.25">
      <c r="A126" s="361"/>
      <c r="B126" s="362" t="str">
        <f>'[20]HV Bus'!B145</f>
        <v>HV Bus Generation Supplies</v>
      </c>
      <c r="C126" s="363"/>
      <c r="D126" s="363"/>
      <c r="E126" s="363" t="s">
        <v>309</v>
      </c>
      <c r="F126" s="503"/>
      <c r="G126" s="508"/>
      <c r="H126" s="508"/>
      <c r="I126" s="509"/>
      <c r="J126" s="503"/>
      <c r="K126" s="508"/>
      <c r="L126" s="508"/>
      <c r="M126" s="509"/>
      <c r="N126" s="364"/>
      <c r="O126" s="363"/>
      <c r="P126" s="363"/>
      <c r="Q126" s="366"/>
      <c r="R126" s="364"/>
      <c r="S126" s="363"/>
      <c r="T126" s="363"/>
      <c r="U126" s="366"/>
      <c r="V126" s="364"/>
      <c r="W126" s="363"/>
      <c r="X126" s="363"/>
      <c r="Y126" s="366"/>
    </row>
    <row r="127" spans="1:25" x14ac:dyDescent="0.25">
      <c r="A127" s="367"/>
      <c r="C127" s="350" t="str">
        <f>'[20]HV Bus'!B146</f>
        <v>Customers/Supply Ch</v>
      </c>
      <c r="E127" s="350" t="s">
        <v>287</v>
      </c>
      <c r="F127" s="730">
        <f>'[15]2020-25 Pricing Schedule'!G127</f>
        <v>0</v>
      </c>
      <c r="G127" s="731">
        <f>'[15]2020-25 Pricing Schedule'!G127</f>
        <v>0</v>
      </c>
      <c r="H127" s="731">
        <f>'[15]2020-25 Pricing Schedule'!H127</f>
        <v>0</v>
      </c>
      <c r="I127" s="732">
        <f>SUM(F127:H127)</f>
        <v>0</v>
      </c>
      <c r="J127" s="730">
        <f>'DUoS (t)'!$G$77*Days_Year</f>
        <v>0</v>
      </c>
      <c r="K127" s="731">
        <f>'TUoS (t)'!$G$77*Days_Year</f>
        <v>0</v>
      </c>
      <c r="L127" s="731">
        <f>'JSO (t)'!$G$77*Days_Year</f>
        <v>0</v>
      </c>
      <c r="M127" s="732">
        <f>SUM(J127:L127)</f>
        <v>0</v>
      </c>
      <c r="N127" s="405">
        <f>'[21]Price Schedule 5 year'!N127</f>
        <v>0</v>
      </c>
      <c r="O127" s="407">
        <f>'[21]Price Schedule 5 year'!O127</f>
        <v>0</v>
      </c>
      <c r="P127" s="407">
        <f>'[21]Price Schedule 5 year'!P127</f>
        <v>0</v>
      </c>
      <c r="Q127" s="408">
        <f>SUM(N127:P127)</f>
        <v>0</v>
      </c>
      <c r="R127" s="405">
        <f>'[21]Price Schedule 5 year'!R127</f>
        <v>0</v>
      </c>
      <c r="S127" s="407">
        <f>'[21]Price Schedule 5 year'!S127</f>
        <v>0</v>
      </c>
      <c r="T127" s="407">
        <f>'[21]Price Schedule 5 year'!T127</f>
        <v>0</v>
      </c>
      <c r="U127" s="408">
        <f>SUM(R127:T127)</f>
        <v>0</v>
      </c>
      <c r="V127" s="405">
        <f>'[21]Price Schedule 5 year'!V127</f>
        <v>0</v>
      </c>
      <c r="W127" s="407">
        <f>'[21]Price Schedule 5 year'!W127</f>
        <v>0</v>
      </c>
      <c r="X127" s="407">
        <f>'[21]Price Schedule 5 year'!X127</f>
        <v>0</v>
      </c>
      <c r="Y127" s="408">
        <f>SUM(V127:X127)</f>
        <v>0</v>
      </c>
    </row>
    <row r="128" spans="1:25" x14ac:dyDescent="0.25">
      <c r="A128" s="367"/>
      <c r="C128" s="350" t="str">
        <f>'[20]HV Bus'!B147</f>
        <v>Peak Annual Max Demand</v>
      </c>
      <c r="D128" s="350">
        <v>4</v>
      </c>
      <c r="E128" s="350" t="s">
        <v>294</v>
      </c>
      <c r="F128" s="727" cm="1">
        <f t="array" ref="F128">'[15]DUoS (t)'!$S$75*[15]!Days_Year</f>
        <v>38.872500000000002</v>
      </c>
      <c r="G128" s="728" cm="1">
        <f t="array" ref="G128">'[15]TUoS (t)'!$S$75*[15]!Days_Year</f>
        <v>39.529499999999999</v>
      </c>
      <c r="H128" s="728">
        <f>'[15]2020-25 Pricing Schedule'!H128</f>
        <v>0</v>
      </c>
      <c r="I128" s="729">
        <f>SUM(F128:H128)</f>
        <v>78.402000000000001</v>
      </c>
      <c r="J128" s="727">
        <f>'DUoS (t)'!$S$77*Days_Year</f>
        <v>37.814</v>
      </c>
      <c r="K128" s="728">
        <f>'TUoS (t)'!$S$77*Days_Year</f>
        <v>42.412999999999997</v>
      </c>
      <c r="L128" s="728">
        <f>'JSO (t)'!$S$77*Days_Year</f>
        <v>0</v>
      </c>
      <c r="M128" s="729">
        <f>SUM(J128:L128)</f>
        <v>80.227000000000004</v>
      </c>
      <c r="N128" s="369">
        <f>'[21]Price Schedule 5 year'!N128</f>
        <v>34.4</v>
      </c>
      <c r="O128" s="371">
        <f>'[21]Price Schedule 5 year'!O128</f>
        <v>40.5</v>
      </c>
      <c r="P128" s="371">
        <f>'[21]Price Schedule 5 year'!P128</f>
        <v>0</v>
      </c>
      <c r="Q128" s="372">
        <f>SUM(N128:P128)</f>
        <v>74.900000000000006</v>
      </c>
      <c r="R128" s="369">
        <f>'[21]Price Schedule 5 year'!R128</f>
        <v>35.200000000000003</v>
      </c>
      <c r="S128" s="371">
        <f>'[21]Price Schedule 5 year'!S128</f>
        <v>42.4</v>
      </c>
      <c r="T128" s="371">
        <f>'[21]Price Schedule 5 year'!T128</f>
        <v>0</v>
      </c>
      <c r="U128" s="372">
        <f>SUM(R128:T128)</f>
        <v>77.599999999999994</v>
      </c>
      <c r="V128" s="369">
        <f>'[21]Price Schedule 5 year'!V128</f>
        <v>36</v>
      </c>
      <c r="W128" s="371">
        <f>'[21]Price Schedule 5 year'!W128</f>
        <v>44.4</v>
      </c>
      <c r="X128" s="371">
        <f>'[21]Price Schedule 5 year'!X128</f>
        <v>0</v>
      </c>
      <c r="Y128" s="372">
        <f>SUM(V128:X128)</f>
        <v>80.400000000000006</v>
      </c>
    </row>
    <row r="129" spans="1:25" x14ac:dyDescent="0.25">
      <c r="A129" s="367"/>
      <c r="C129" s="350" t="str">
        <f>'[20]HV Bus'!B148</f>
        <v>Anytime Actual Demand</v>
      </c>
      <c r="D129" s="350">
        <v>4</v>
      </c>
      <c r="E129" s="350" t="s">
        <v>294</v>
      </c>
      <c r="F129" s="727" cm="1">
        <f t="array" ref="F129">'[15]DUoS (t)'!$T$75*[15]!Days_Year</f>
        <v>37.814</v>
      </c>
      <c r="G129" s="728" cm="1">
        <f t="array" ref="G129">'[15]TUoS (t)'!$T$75*[15]!Days_Year</f>
        <v>0</v>
      </c>
      <c r="H129" s="728">
        <f>'[15]2020-25 Pricing Schedule'!H129</f>
        <v>0</v>
      </c>
      <c r="I129" s="729">
        <f>SUM(F129:H129)</f>
        <v>37.814</v>
      </c>
      <c r="J129" s="727">
        <f>'DUoS (t)'!$T$77*Days_Year</f>
        <v>36.755499999999998</v>
      </c>
      <c r="K129" s="728">
        <f>'TUoS (t)'!$T$77*Days_Year</f>
        <v>0</v>
      </c>
      <c r="L129" s="728">
        <f>'JSO (t)'!$T$77*Days_Year</f>
        <v>0</v>
      </c>
      <c r="M129" s="729">
        <f>SUM(J129:L129)</f>
        <v>36.755499999999998</v>
      </c>
      <c r="N129" s="369">
        <f>'[21]Price Schedule 5 year'!N129</f>
        <v>33.4</v>
      </c>
      <c r="O129" s="371">
        <f>'[21]Price Schedule 5 year'!O129</f>
        <v>0</v>
      </c>
      <c r="P129" s="371">
        <f>'[21]Price Schedule 5 year'!P129</f>
        <v>0</v>
      </c>
      <c r="Q129" s="372">
        <f>SUM(N129:P129)</f>
        <v>33.4</v>
      </c>
      <c r="R129" s="369">
        <f>'[21]Price Schedule 5 year'!R129</f>
        <v>34.1</v>
      </c>
      <c r="S129" s="371">
        <f>'[21]Price Schedule 5 year'!S129</f>
        <v>0</v>
      </c>
      <c r="T129" s="371">
        <f>'[21]Price Schedule 5 year'!T129</f>
        <v>0</v>
      </c>
      <c r="U129" s="372">
        <f>SUM(R129:T129)</f>
        <v>34.1</v>
      </c>
      <c r="V129" s="369">
        <f>'[21]Price Schedule 5 year'!V129</f>
        <v>34.9</v>
      </c>
      <c r="W129" s="371">
        <f>'[21]Price Schedule 5 year'!W129</f>
        <v>0</v>
      </c>
      <c r="X129" s="371">
        <f>'[21]Price Schedule 5 year'!X129</f>
        <v>0</v>
      </c>
      <c r="Y129" s="372">
        <f>SUM(V129:X129)</f>
        <v>34.9</v>
      </c>
    </row>
    <row r="130" spans="1:25" x14ac:dyDescent="0.25">
      <c r="A130" s="367"/>
      <c r="C130" s="350" t="str">
        <f>'[20]HV Bus'!B149</f>
        <v>Peak Usage</v>
      </c>
      <c r="E130" s="350" t="s">
        <v>288</v>
      </c>
      <c r="F130" s="501">
        <f>'[15]DUoS (t)'!$I$75</f>
        <v>0</v>
      </c>
      <c r="G130" s="510">
        <f>'[15]TUoS (t)'!$I$75</f>
        <v>0</v>
      </c>
      <c r="H130" s="510">
        <f>'[15]JSO (t)'!$I$75</f>
        <v>0</v>
      </c>
      <c r="I130" s="511">
        <f>SUM(F130:H130)</f>
        <v>0</v>
      </c>
      <c r="J130" s="501">
        <f>'DUoS (t)'!I77</f>
        <v>0</v>
      </c>
      <c r="K130" s="510">
        <f>'TUoS (t)'!I77</f>
        <v>0</v>
      </c>
      <c r="L130" s="510">
        <f>'JSO (t)'!I77</f>
        <v>0</v>
      </c>
      <c r="M130" s="511">
        <f>SUM(J130:L130)</f>
        <v>0</v>
      </c>
      <c r="N130" s="384">
        <f>'[21]Price Schedule 5 year'!N130</f>
        <v>0</v>
      </c>
      <c r="O130" s="386">
        <f>'[21]Price Schedule 5 year'!O130</f>
        <v>0</v>
      </c>
      <c r="P130" s="386">
        <f>'[21]Price Schedule 5 year'!P130</f>
        <v>0</v>
      </c>
      <c r="Q130" s="387">
        <f>SUM(N130:P130)</f>
        <v>0</v>
      </c>
      <c r="R130" s="384">
        <f>'[21]Price Schedule 5 year'!R130</f>
        <v>0</v>
      </c>
      <c r="S130" s="386">
        <f>'[21]Price Schedule 5 year'!S130</f>
        <v>0</v>
      </c>
      <c r="T130" s="386">
        <f>'[21]Price Schedule 5 year'!T130</f>
        <v>0</v>
      </c>
      <c r="U130" s="387">
        <f>SUM(R130:T130)</f>
        <v>0</v>
      </c>
      <c r="V130" s="384">
        <f>'[21]Price Schedule 5 year'!V130</f>
        <v>0</v>
      </c>
      <c r="W130" s="386">
        <f>'[21]Price Schedule 5 year'!W130</f>
        <v>0</v>
      </c>
      <c r="X130" s="386">
        <f>'[21]Price Schedule 5 year'!X130</f>
        <v>0</v>
      </c>
      <c r="Y130" s="387">
        <f>SUM(V130:X130)</f>
        <v>0</v>
      </c>
    </row>
    <row r="131" spans="1:25" ht="15.75" thickBot="1" x14ac:dyDescent="0.3">
      <c r="A131" s="392"/>
      <c r="B131" s="393"/>
      <c r="C131" s="393" t="str">
        <f>'[20]HV Bus'!B150</f>
        <v>Off-Peak Usage</v>
      </c>
      <c r="D131" s="393"/>
      <c r="E131" s="393" t="s">
        <v>288</v>
      </c>
      <c r="F131" s="504">
        <f>'[15]DUoS (t)'!$K$75</f>
        <v>0</v>
      </c>
      <c r="G131" s="512">
        <f>'[15]TUoS (t)'!$K$75</f>
        <v>0</v>
      </c>
      <c r="H131" s="512">
        <f>'[15]DUoS (t)'!$K$75</f>
        <v>0</v>
      </c>
      <c r="I131" s="513">
        <f>SUM(F131:H131)</f>
        <v>0</v>
      </c>
      <c r="J131" s="504">
        <f>'DUoS (t)'!K77</f>
        <v>0</v>
      </c>
      <c r="K131" s="512">
        <f>'TUoS (t)'!K77</f>
        <v>0</v>
      </c>
      <c r="L131" s="512">
        <f>'JSO (t)'!K77</f>
        <v>0</v>
      </c>
      <c r="M131" s="513">
        <f>SUM(J131:L131)</f>
        <v>0</v>
      </c>
      <c r="N131" s="376">
        <f>'[21]Price Schedule 5 year'!N131</f>
        <v>0</v>
      </c>
      <c r="O131" s="378">
        <f>'[21]Price Schedule 5 year'!O131</f>
        <v>0</v>
      </c>
      <c r="P131" s="378">
        <f>'[21]Price Schedule 5 year'!P131</f>
        <v>0</v>
      </c>
      <c r="Q131" s="379">
        <f>SUM(N131:P131)</f>
        <v>0</v>
      </c>
      <c r="R131" s="376">
        <f>'[21]Price Schedule 5 year'!R131</f>
        <v>0</v>
      </c>
      <c r="S131" s="378">
        <f>'[21]Price Schedule 5 year'!S131</f>
        <v>0</v>
      </c>
      <c r="T131" s="378">
        <f>'[21]Price Schedule 5 year'!T131</f>
        <v>0</v>
      </c>
      <c r="U131" s="379">
        <f>SUM(R131:T131)</f>
        <v>0</v>
      </c>
      <c r="V131" s="376">
        <f>'[21]Price Schedule 5 year'!V131</f>
        <v>0</v>
      </c>
      <c r="W131" s="378">
        <f>'[21]Price Schedule 5 year'!W131</f>
        <v>0</v>
      </c>
      <c r="X131" s="378">
        <f>'[21]Price Schedule 5 year'!X131</f>
        <v>0</v>
      </c>
      <c r="Y131" s="379">
        <f>SUM(V131:X131)</f>
        <v>0</v>
      </c>
    </row>
    <row r="132" spans="1:25" ht="15.75" x14ac:dyDescent="0.25">
      <c r="A132" s="352" t="str">
        <f>'[20]Major Bus'!A2</f>
        <v>Major Business Customers</v>
      </c>
      <c r="B132" s="357"/>
      <c r="C132" s="357"/>
      <c r="D132" s="357"/>
      <c r="E132" s="357"/>
      <c r="F132" s="517"/>
      <c r="G132" s="506"/>
      <c r="H132" s="506"/>
      <c r="I132" s="516"/>
      <c r="J132" s="517"/>
      <c r="K132" s="506"/>
      <c r="L132" s="506"/>
      <c r="M132" s="516"/>
      <c r="N132" s="409"/>
      <c r="O132" s="357"/>
      <c r="P132" s="357"/>
      <c r="Q132" s="410"/>
      <c r="R132" s="409"/>
      <c r="S132" s="357"/>
      <c r="T132" s="357"/>
      <c r="U132" s="410"/>
      <c r="V132" s="357"/>
      <c r="W132" s="357"/>
      <c r="X132" s="357"/>
      <c r="Y132" s="410"/>
    </row>
    <row r="133" spans="1:25" x14ac:dyDescent="0.25">
      <c r="A133" s="361"/>
      <c r="B133" s="362" t="str">
        <f>'[20]Major Bus'!B68</f>
        <v>Zone S-Stn Non-Loc</v>
      </c>
      <c r="C133" s="363"/>
      <c r="D133" s="363"/>
      <c r="E133" s="363" t="s">
        <v>315</v>
      </c>
      <c r="F133" s="503"/>
      <c r="G133" s="508"/>
      <c r="H133" s="508"/>
      <c r="I133" s="509"/>
      <c r="J133" s="503"/>
      <c r="K133" s="508"/>
      <c r="L133" s="508"/>
      <c r="M133" s="509"/>
      <c r="N133" s="364"/>
      <c r="O133" s="363"/>
      <c r="P133" s="363"/>
      <c r="Q133" s="366"/>
      <c r="R133" s="364"/>
      <c r="S133" s="363"/>
      <c r="T133" s="363"/>
      <c r="U133" s="366"/>
      <c r="V133" s="365"/>
      <c r="W133" s="363"/>
      <c r="X133" s="363"/>
      <c r="Y133" s="366"/>
    </row>
    <row r="134" spans="1:25" x14ac:dyDescent="0.25">
      <c r="A134" s="367"/>
      <c r="C134" s="350" t="str">
        <f>'[20]Major Bus'!B69</f>
        <v>Customers/Supply Ch</v>
      </c>
      <c r="E134" s="350" t="s">
        <v>287</v>
      </c>
      <c r="F134" s="768">
        <f>'[15]2020-25 Pricing Schedule'!F134</f>
        <v>0</v>
      </c>
      <c r="G134" s="769">
        <f>'[15]2020-25 Pricing Schedule'!G134</f>
        <v>0</v>
      </c>
      <c r="H134" s="769">
        <f>'[15]2020-25 Pricing Schedule'!H134</f>
        <v>0</v>
      </c>
      <c r="I134" s="770">
        <f>SUM(F134:H134)</f>
        <v>0</v>
      </c>
      <c r="J134" s="768">
        <f>'DUoS (t)'!$G$96*Days_Year</f>
        <v>0</v>
      </c>
      <c r="K134" s="769">
        <f>'TUoS (t)'!$G$96*Days_Year</f>
        <v>0</v>
      </c>
      <c r="L134" s="769">
        <f>'JSO (t)'!$G$96*Days_Year</f>
        <v>0</v>
      </c>
      <c r="M134" s="770">
        <f>SUM(J134:L134)</f>
        <v>0</v>
      </c>
      <c r="N134" s="369">
        <f>'[21]Price Schedule 5 year'!N134</f>
        <v>0</v>
      </c>
      <c r="O134" s="371">
        <f>'[21]Price Schedule 5 year'!O134</f>
        <v>0</v>
      </c>
      <c r="P134" s="371">
        <f>'[21]Price Schedule 5 year'!P134</f>
        <v>0</v>
      </c>
      <c r="Q134" s="372">
        <f>SUM(N134:P134)</f>
        <v>0</v>
      </c>
      <c r="R134" s="369">
        <f>'[21]Price Schedule 5 year'!R134</f>
        <v>0</v>
      </c>
      <c r="S134" s="371">
        <f>'[21]Price Schedule 5 year'!S134</f>
        <v>0</v>
      </c>
      <c r="T134" s="371">
        <f>'[21]Price Schedule 5 year'!T134</f>
        <v>0</v>
      </c>
      <c r="U134" s="372">
        <f>SUM(R134:T134)</f>
        <v>0</v>
      </c>
      <c r="V134" s="369">
        <f>'[21]Price Schedule 5 year'!V134</f>
        <v>0</v>
      </c>
      <c r="W134" s="371">
        <f>'[21]Price Schedule 5 year'!W134</f>
        <v>0</v>
      </c>
      <c r="X134" s="371">
        <f>'[21]Price Schedule 5 year'!X134</f>
        <v>0</v>
      </c>
      <c r="Y134" s="372">
        <f>SUM(V134:X134)</f>
        <v>0</v>
      </c>
    </row>
    <row r="135" spans="1:25" x14ac:dyDescent="0.25">
      <c r="A135" s="367"/>
      <c r="C135" s="350" t="str">
        <f>'[20]Major Bus'!B70</f>
        <v>Peak Agreed Demand</v>
      </c>
      <c r="D135" s="350">
        <v>4</v>
      </c>
      <c r="E135" s="350" t="s">
        <v>294</v>
      </c>
      <c r="F135" s="727">
        <f>'[15]2020-25 Pricing Schedule'!F135</f>
        <v>15.110999999999999</v>
      </c>
      <c r="G135" s="728">
        <f>'[15]2020-25 Pricing Schedule'!G135</f>
        <v>39.529499999999999</v>
      </c>
      <c r="H135" s="728">
        <f>'[15]2020-25 Pricing Schedule'!H135</f>
        <v>0</v>
      </c>
      <c r="I135" s="729">
        <f>SUM(F135:H135)</f>
        <v>54.640499999999996</v>
      </c>
      <c r="J135" s="727">
        <f>'DUoS (t)'!$S$96*Days_Year</f>
        <v>14.855499999999999</v>
      </c>
      <c r="K135" s="728">
        <f>'TUoS (t)'!$S$96*Days_Year</f>
        <v>42.412999999999997</v>
      </c>
      <c r="L135" s="728">
        <f>'JSO (t)'!$S$96*Days_Year</f>
        <v>0</v>
      </c>
      <c r="M135" s="729">
        <f>SUM(J135:L135)</f>
        <v>57.268499999999996</v>
      </c>
      <c r="N135" s="369">
        <f>'[21]Price Schedule 5 year'!N135</f>
        <v>14.2</v>
      </c>
      <c r="O135" s="371">
        <f>'[21]Price Schedule 5 year'!O135</f>
        <v>40.5</v>
      </c>
      <c r="P135" s="371">
        <f>'[21]Price Schedule 5 year'!P135</f>
        <v>0</v>
      </c>
      <c r="Q135" s="372">
        <f>SUM(N135:P135)</f>
        <v>54.7</v>
      </c>
      <c r="R135" s="369">
        <f>'[21]Price Schedule 5 year'!R135</f>
        <v>14.2</v>
      </c>
      <c r="S135" s="371">
        <f>'[21]Price Schedule 5 year'!S135</f>
        <v>42.4</v>
      </c>
      <c r="T135" s="371">
        <f>'[21]Price Schedule 5 year'!T135</f>
        <v>0</v>
      </c>
      <c r="U135" s="372">
        <f>SUM(R135:T135)</f>
        <v>56.599999999999994</v>
      </c>
      <c r="V135" s="369">
        <f>'[21]Price Schedule 5 year'!V135</f>
        <v>14.2</v>
      </c>
      <c r="W135" s="371">
        <f>'[21]Price Schedule 5 year'!W135</f>
        <v>44.4</v>
      </c>
      <c r="X135" s="371">
        <f>'[21]Price Schedule 5 year'!X135</f>
        <v>0</v>
      </c>
      <c r="Y135" s="372">
        <f>SUM(V135:X135)</f>
        <v>58.599999999999994</v>
      </c>
    </row>
    <row r="136" spans="1:25" x14ac:dyDescent="0.25">
      <c r="A136" s="367"/>
      <c r="C136" s="350" t="str">
        <f>'[20]Major Bus'!B71</f>
        <v>Anytime Agreed Demand</v>
      </c>
      <c r="D136" s="350">
        <v>4</v>
      </c>
      <c r="E136" s="350" t="s">
        <v>294</v>
      </c>
      <c r="F136" s="727">
        <f>'[15]2020-25 Pricing Schedule'!F136</f>
        <v>27.009999999999998</v>
      </c>
      <c r="G136" s="728">
        <f>'[15]2020-25 Pricing Schedule'!G136</f>
        <v>0</v>
      </c>
      <c r="H136" s="728">
        <f>'[15]2020-25 Pricing Schedule'!H136</f>
        <v>0</v>
      </c>
      <c r="I136" s="729">
        <f>SUM(F136:H136)</f>
        <v>27.009999999999998</v>
      </c>
      <c r="J136" s="727">
        <f>'DUoS (t)'!$T$96*Days_Year</f>
        <v>26.535499999999999</v>
      </c>
      <c r="K136" s="728">
        <f>'TUoS (t)'!$T$96*Days_Year</f>
        <v>0</v>
      </c>
      <c r="L136" s="728">
        <f>'JSO (t)'!$T$96*Days_Year</f>
        <v>0</v>
      </c>
      <c r="M136" s="729">
        <f>SUM(J136:L136)</f>
        <v>26.535499999999999</v>
      </c>
      <c r="N136" s="369">
        <f>'[21]Price Schedule 5 year'!N136</f>
        <v>25.4</v>
      </c>
      <c r="O136" s="371">
        <f>'[21]Price Schedule 5 year'!O136</f>
        <v>0</v>
      </c>
      <c r="P136" s="371">
        <f>'[21]Price Schedule 5 year'!P136</f>
        <v>0</v>
      </c>
      <c r="Q136" s="372">
        <f>SUM(N136:P136)</f>
        <v>25.4</v>
      </c>
      <c r="R136" s="369">
        <f>'[21]Price Schedule 5 year'!R136</f>
        <v>25.5</v>
      </c>
      <c r="S136" s="371">
        <f>'[21]Price Schedule 5 year'!S136</f>
        <v>0</v>
      </c>
      <c r="T136" s="371">
        <f>'[21]Price Schedule 5 year'!T136</f>
        <v>0</v>
      </c>
      <c r="U136" s="372">
        <f>SUM(R136:T136)</f>
        <v>25.5</v>
      </c>
      <c r="V136" s="369">
        <f>'[21]Price Schedule 5 year'!V136</f>
        <v>25.6</v>
      </c>
      <c r="W136" s="371">
        <f>'[21]Price Schedule 5 year'!W136</f>
        <v>0</v>
      </c>
      <c r="X136" s="371">
        <f>'[21]Price Schedule 5 year'!X136</f>
        <v>0</v>
      </c>
      <c r="Y136" s="372">
        <f>SUM(V136:X136)</f>
        <v>25.6</v>
      </c>
    </row>
    <row r="137" spans="1:25" x14ac:dyDescent="0.25">
      <c r="A137" s="373"/>
      <c r="B137" s="375"/>
      <c r="C137" s="375" t="str">
        <f>'[20]Major Bus'!B72</f>
        <v>Usage</v>
      </c>
      <c r="D137" s="375"/>
      <c r="E137" s="375" t="s">
        <v>288</v>
      </c>
      <c r="F137" s="504">
        <f>'[15]2020-25 Pricing Schedule'!F137</f>
        <v>4.4000000000000003E-3</v>
      </c>
      <c r="G137" s="512">
        <f>'[15]2020-25 Pricing Schedule'!G137</f>
        <v>8.2000000000000007E-3</v>
      </c>
      <c r="H137" s="512">
        <f>'[15]2020-25 Pricing Schedule'!H137</f>
        <v>8.9999999999999998E-4</v>
      </c>
      <c r="I137" s="513">
        <f>SUM(F137:H137)</f>
        <v>1.35E-2</v>
      </c>
      <c r="J137" s="504">
        <f>'DUoS (t)'!$H$96</f>
        <v>4.3E-3</v>
      </c>
      <c r="K137" s="512">
        <f>'TUoS (t)'!$H$96</f>
        <v>8.8000000000000005E-3</v>
      </c>
      <c r="L137" s="512">
        <f>'JSO (t)'!$H$96</f>
        <v>8.9999999999999998E-4</v>
      </c>
      <c r="M137" s="513">
        <f>SUM(J137:L137)</f>
        <v>1.4E-2</v>
      </c>
      <c r="N137" s="376">
        <f>'[21]Price Schedule 5 year'!N137</f>
        <v>4.1059034309734593E-3</v>
      </c>
      <c r="O137" s="378">
        <f>'[21]Price Schedule 5 year'!O137</f>
        <v>1.0923500451849555E-2</v>
      </c>
      <c r="P137" s="378">
        <f>'[21]Price Schedule 5 year'!P137</f>
        <v>8.4527894381393042E-4</v>
      </c>
      <c r="Q137" s="379">
        <f>SUM(N137:P137)</f>
        <v>1.5874682826636944E-2</v>
      </c>
      <c r="R137" s="376">
        <f>'[21]Price Schedule 5 year'!R137</f>
        <v>4.1202740929818663E-3</v>
      </c>
      <c r="S137" s="378">
        <f>'[21]Price Schedule 5 year'!S137</f>
        <v>1.1425981472634635E-2</v>
      </c>
      <c r="T137" s="378">
        <f>'[21]Price Schedule 5 year'!T137</f>
        <v>8.4527894381393064E-4</v>
      </c>
      <c r="U137" s="379">
        <f>SUM(R137:T137)</f>
        <v>1.6391534509430431E-2</v>
      </c>
      <c r="V137" s="376">
        <f>'[21]Price Schedule 5 year'!V137</f>
        <v>4.1346950523073033E-3</v>
      </c>
      <c r="W137" s="378">
        <f>'[21]Price Schedule 5 year'!W137</f>
        <v>1.1951576620375829E-2</v>
      </c>
      <c r="X137" s="378">
        <f>'[21]Price Schedule 5 year'!X137</f>
        <v>8.4527894381393042E-4</v>
      </c>
      <c r="Y137" s="379">
        <f>SUM(V137:X137)</f>
        <v>1.6931550616497062E-2</v>
      </c>
    </row>
    <row r="138" spans="1:25" x14ac:dyDescent="0.25">
      <c r="A138" s="361"/>
      <c r="B138" s="362" t="str">
        <f>'[20]Major Bus'!B82</f>
        <v>Sub-Trans Non-Loc</v>
      </c>
      <c r="C138" s="363"/>
      <c r="D138" s="363"/>
      <c r="E138" s="363" t="s">
        <v>315</v>
      </c>
      <c r="F138" s="503"/>
      <c r="G138" s="508"/>
      <c r="H138" s="508"/>
      <c r="I138" s="509"/>
      <c r="J138" s="503"/>
      <c r="K138" s="508"/>
      <c r="L138" s="508"/>
      <c r="M138" s="509"/>
      <c r="N138" s="364"/>
      <c r="O138" s="363"/>
      <c r="P138" s="363"/>
      <c r="Q138" s="366"/>
      <c r="R138" s="364"/>
      <c r="S138" s="363"/>
      <c r="T138" s="363"/>
      <c r="U138" s="366"/>
      <c r="V138" s="364"/>
      <c r="W138" s="363"/>
      <c r="X138" s="363"/>
      <c r="Y138" s="366"/>
    </row>
    <row r="139" spans="1:25" x14ac:dyDescent="0.25">
      <c r="A139" s="367"/>
      <c r="C139" s="350" t="str">
        <f>'[20]Major Bus'!B83</f>
        <v>Customers/Supply Ch</v>
      </c>
      <c r="E139" s="350" t="s">
        <v>287</v>
      </c>
      <c r="F139" s="768">
        <f>'[15]2020-25 Pricing Schedule'!F139</f>
        <v>0</v>
      </c>
      <c r="G139" s="769">
        <f>'[15]2020-25 Pricing Schedule'!G139</f>
        <v>0</v>
      </c>
      <c r="H139" s="769">
        <f>'[15]2020-25 Pricing Schedule'!H139</f>
        <v>0</v>
      </c>
      <c r="I139" s="770">
        <f>SUM(F139:H139)</f>
        <v>0</v>
      </c>
      <c r="J139" s="768">
        <f>'DUoS (t)'!$G$116*Days_Year</f>
        <v>0</v>
      </c>
      <c r="K139" s="769">
        <f>'TUoS (t)'!$G$116*Days_Year</f>
        <v>0</v>
      </c>
      <c r="L139" s="769">
        <f>'JSO (t)'!$G$116*Days_Year</f>
        <v>0</v>
      </c>
      <c r="M139" s="770">
        <f>SUM(J139:L139)</f>
        <v>0</v>
      </c>
      <c r="N139" s="369">
        <f>'[21]Price Schedule 5 year'!N139</f>
        <v>0</v>
      </c>
      <c r="O139" s="371">
        <f>'[21]Price Schedule 5 year'!O139</f>
        <v>0</v>
      </c>
      <c r="P139" s="371">
        <f>'[21]Price Schedule 5 year'!P139</f>
        <v>0</v>
      </c>
      <c r="Q139" s="372">
        <f>SUM(N139:P139)</f>
        <v>0</v>
      </c>
      <c r="R139" s="369">
        <f>'[21]Price Schedule 5 year'!R139</f>
        <v>0</v>
      </c>
      <c r="S139" s="371">
        <f>'[21]Price Schedule 5 year'!S139</f>
        <v>0</v>
      </c>
      <c r="T139" s="371">
        <f>'[21]Price Schedule 5 year'!T139</f>
        <v>0</v>
      </c>
      <c r="U139" s="372">
        <f>SUM(R139:T139)</f>
        <v>0</v>
      </c>
      <c r="V139" s="369">
        <f>'[21]Price Schedule 5 year'!V139</f>
        <v>0</v>
      </c>
      <c r="W139" s="371">
        <f>'[21]Price Schedule 5 year'!W139</f>
        <v>0</v>
      </c>
      <c r="X139" s="371">
        <f>'[21]Price Schedule 5 year'!X139</f>
        <v>0</v>
      </c>
      <c r="Y139" s="372">
        <f>SUM(V139:X139)</f>
        <v>0</v>
      </c>
    </row>
    <row r="140" spans="1:25" x14ac:dyDescent="0.25">
      <c r="A140" s="367"/>
      <c r="C140" s="350" t="str">
        <f>'[20]Major Bus'!B84</f>
        <v>Peak Agreed Demand</v>
      </c>
      <c r="D140" s="350">
        <v>4</v>
      </c>
      <c r="E140" s="350" t="s">
        <v>294</v>
      </c>
      <c r="F140" s="727">
        <f>'[15]2020-25 Pricing Schedule'!F140</f>
        <v>0</v>
      </c>
      <c r="G140" s="728">
        <f>'[15]2020-25 Pricing Schedule'!G140</f>
        <v>39.529499999999999</v>
      </c>
      <c r="H140" s="728">
        <f>'[15]2020-25 Pricing Schedule'!H140</f>
        <v>0</v>
      </c>
      <c r="I140" s="729">
        <f>SUM(F140:H140)</f>
        <v>39.529499999999999</v>
      </c>
      <c r="J140" s="727">
        <f>'DUoS (t)'!$S$116*Days_Year</f>
        <v>0</v>
      </c>
      <c r="K140" s="728">
        <f>'TUoS (t)'!$S$116*Days_Year</f>
        <v>42.412999999999997</v>
      </c>
      <c r="L140" s="728">
        <f>'JSO (t)'!$S$116*Days_Year</f>
        <v>0</v>
      </c>
      <c r="M140" s="729">
        <f>SUM(J140:L140)</f>
        <v>42.412999999999997</v>
      </c>
      <c r="N140" s="369">
        <f>'[21]Price Schedule 5 year'!N140</f>
        <v>0</v>
      </c>
      <c r="O140" s="371">
        <f>'[21]Price Schedule 5 year'!O140</f>
        <v>40.5</v>
      </c>
      <c r="P140" s="371">
        <f>'[21]Price Schedule 5 year'!P140</f>
        <v>0</v>
      </c>
      <c r="Q140" s="372">
        <f>SUM(N140:P140)</f>
        <v>40.5</v>
      </c>
      <c r="R140" s="369">
        <f>'[21]Price Schedule 5 year'!R140</f>
        <v>0</v>
      </c>
      <c r="S140" s="371">
        <f>'[21]Price Schedule 5 year'!S140</f>
        <v>42.4</v>
      </c>
      <c r="T140" s="371">
        <f>'[21]Price Schedule 5 year'!T140</f>
        <v>0</v>
      </c>
      <c r="U140" s="372">
        <f>SUM(R140:T140)</f>
        <v>42.4</v>
      </c>
      <c r="V140" s="369">
        <f>'[21]Price Schedule 5 year'!V140</f>
        <v>0</v>
      </c>
      <c r="W140" s="371">
        <f>'[21]Price Schedule 5 year'!W140</f>
        <v>44.4</v>
      </c>
      <c r="X140" s="371">
        <f>'[21]Price Schedule 5 year'!X140</f>
        <v>0</v>
      </c>
      <c r="Y140" s="372">
        <f>SUM(V140:X140)</f>
        <v>44.4</v>
      </c>
    </row>
    <row r="141" spans="1:25" x14ac:dyDescent="0.25">
      <c r="A141" s="367"/>
      <c r="C141" s="350" t="str">
        <f>'[20]Major Bus'!B85</f>
        <v>Anytime Agreed Demand</v>
      </c>
      <c r="D141" s="350">
        <v>4</v>
      </c>
      <c r="E141" s="350" t="s">
        <v>294</v>
      </c>
      <c r="F141" s="727">
        <f>'[15]2020-25 Pricing Schedule'!F141</f>
        <v>15.110999999999999</v>
      </c>
      <c r="G141" s="728">
        <f>'[15]2020-25 Pricing Schedule'!G141</f>
        <v>0</v>
      </c>
      <c r="H141" s="728">
        <f>'[15]2020-25 Pricing Schedule'!H141</f>
        <v>0</v>
      </c>
      <c r="I141" s="729">
        <f>SUM(F141:H141)</f>
        <v>15.110999999999999</v>
      </c>
      <c r="J141" s="727">
        <f>'DUoS (t)'!$T$116*Days_Year</f>
        <v>14.855499999999999</v>
      </c>
      <c r="K141" s="728">
        <f>'TUoS (t)'!$T$116*Days_Year</f>
        <v>0</v>
      </c>
      <c r="L141" s="728">
        <f>'JSO (t)'!$T$116*Days_Year</f>
        <v>0</v>
      </c>
      <c r="M141" s="729">
        <f>SUM(J141:L141)</f>
        <v>14.855499999999999</v>
      </c>
      <c r="N141" s="369">
        <f>'[21]Price Schedule 5 year'!N141</f>
        <v>14.2</v>
      </c>
      <c r="O141" s="371">
        <f>'[21]Price Schedule 5 year'!O141</f>
        <v>0</v>
      </c>
      <c r="P141" s="371">
        <f>'[21]Price Schedule 5 year'!P141</f>
        <v>0</v>
      </c>
      <c r="Q141" s="372">
        <f>SUM(N141:P141)</f>
        <v>14.2</v>
      </c>
      <c r="R141" s="369">
        <f>'[21]Price Schedule 5 year'!R141</f>
        <v>14.2</v>
      </c>
      <c r="S141" s="371">
        <f>'[21]Price Schedule 5 year'!S141</f>
        <v>0</v>
      </c>
      <c r="T141" s="371">
        <f>'[21]Price Schedule 5 year'!T141</f>
        <v>0</v>
      </c>
      <c r="U141" s="372">
        <f>SUM(R141:T141)</f>
        <v>14.2</v>
      </c>
      <c r="V141" s="369">
        <f>'[21]Price Schedule 5 year'!V141</f>
        <v>14.2</v>
      </c>
      <c r="W141" s="371">
        <f>'[21]Price Schedule 5 year'!W141</f>
        <v>0</v>
      </c>
      <c r="X141" s="371">
        <f>'[21]Price Schedule 5 year'!X141</f>
        <v>0</v>
      </c>
      <c r="Y141" s="372">
        <f>SUM(V141:X141)</f>
        <v>14.2</v>
      </c>
    </row>
    <row r="142" spans="1:25" ht="15.75" thickBot="1" x14ac:dyDescent="0.3">
      <c r="A142" s="392"/>
      <c r="B142" s="393"/>
      <c r="C142" s="393" t="str">
        <f>'[20]Major Bus'!B86</f>
        <v>Usage</v>
      </c>
      <c r="D142" s="393"/>
      <c r="E142" s="393" t="s">
        <v>288</v>
      </c>
      <c r="F142" s="505">
        <f>'[15]2020-25 Pricing Schedule'!F142</f>
        <v>1.6000000000000001E-3</v>
      </c>
      <c r="G142" s="514">
        <f>'[15]2020-25 Pricing Schedule'!G142</f>
        <v>8.2000000000000007E-3</v>
      </c>
      <c r="H142" s="514">
        <f>'[15]2020-25 Pricing Schedule'!H142</f>
        <v>8.9999999999999998E-4</v>
      </c>
      <c r="I142" s="515">
        <f>SUM(F142:H142)</f>
        <v>1.0700000000000001E-2</v>
      </c>
      <c r="J142" s="505">
        <f>'DUoS (t)'!$H$116</f>
        <v>1.6000000000000001E-3</v>
      </c>
      <c r="K142" s="514">
        <f>'TUoS (t)'!$H$116</f>
        <v>8.8000000000000005E-3</v>
      </c>
      <c r="L142" s="514">
        <f>'JSO (t)'!$H$116</f>
        <v>8.9999999999999998E-4</v>
      </c>
      <c r="M142" s="515">
        <f>SUM(J142:L142)</f>
        <v>1.1300000000000001E-2</v>
      </c>
      <c r="N142" s="394">
        <f>'[21]Price Schedule 5 year'!N142</f>
        <v>1.4781252351504454E-3</v>
      </c>
      <c r="O142" s="396">
        <f>'[21]Price Schedule 5 year'!O142</f>
        <v>1.0923500451849555E-2</v>
      </c>
      <c r="P142" s="396">
        <f>'[21]Price Schedule 5 year'!P142</f>
        <v>8.4527894381393042E-4</v>
      </c>
      <c r="Q142" s="397">
        <f>SUM(N142:P142)</f>
        <v>1.3246904630813933E-2</v>
      </c>
      <c r="R142" s="394">
        <f>'[21]Price Schedule 5 year'!R142</f>
        <v>1.483298673473472E-3</v>
      </c>
      <c r="S142" s="396">
        <f>'[21]Price Schedule 5 year'!S142</f>
        <v>1.1425981472634635E-2</v>
      </c>
      <c r="T142" s="396">
        <f>'[21]Price Schedule 5 year'!T142</f>
        <v>8.4527894381393064E-4</v>
      </c>
      <c r="U142" s="397">
        <f>SUM(R142:T142)</f>
        <v>1.3754559089922038E-2</v>
      </c>
      <c r="V142" s="394">
        <f>'[21]Price Schedule 5 year'!V142</f>
        <v>1.4884902188306293E-3</v>
      </c>
      <c r="W142" s="396">
        <f>'[21]Price Schedule 5 year'!W142</f>
        <v>1.1951576620375829E-2</v>
      </c>
      <c r="X142" s="396">
        <f>'[21]Price Schedule 5 year'!X142</f>
        <v>8.4527894381393042E-4</v>
      </c>
      <c r="Y142" s="397">
        <f>SUM(V142:X142)</f>
        <v>1.4285345783020389E-2</v>
      </c>
    </row>
    <row r="143" spans="1:25" x14ac:dyDescent="0.25">
      <c r="A143" s="350" t="str">
        <f>A53</f>
        <v>Notes on Demand Elements</v>
      </c>
    </row>
    <row r="144" spans="1:25" x14ac:dyDescent="0.25">
      <c r="B144" s="350">
        <f>B54</f>
        <v>1</v>
      </c>
      <c r="C144" s="350" t="str">
        <f>C54</f>
        <v>highest daily demand each of five months Nov-March charged per month</v>
      </c>
    </row>
    <row r="145" spans="2:25" x14ac:dyDescent="0.25">
      <c r="B145" s="350">
        <f t="shared" ref="B145:C148" si="1">B55</f>
        <v>2</v>
      </c>
      <c r="C145" s="350" t="str">
        <f t="shared" si="1"/>
        <v>highest daily demand each of twelve months July-June charged per month</v>
      </c>
    </row>
    <row r="146" spans="2:25" x14ac:dyDescent="0.25">
      <c r="B146" s="350">
        <f t="shared" si="1"/>
        <v>3</v>
      </c>
      <c r="C146" s="350" t="str">
        <f t="shared" si="1"/>
        <v>12 month rolling reset charged proportionally each month</v>
      </c>
    </row>
    <row r="147" spans="2:25" x14ac:dyDescent="0.25">
      <c r="B147" s="350">
        <f t="shared" si="1"/>
        <v>4</v>
      </c>
      <c r="C147" s="350" t="str">
        <f t="shared" si="1"/>
        <v>agreed demand charged proportionally each month</v>
      </c>
    </row>
    <row r="148" spans="2:25" x14ac:dyDescent="0.25">
      <c r="B148" s="350">
        <f t="shared" si="1"/>
        <v>5</v>
      </c>
      <c r="C148" s="350" t="str">
        <f t="shared" si="1"/>
        <v>Peak demand not applicable to backup, incurred by principal supply</v>
      </c>
    </row>
    <row r="151" spans="2:25" x14ac:dyDescent="0.25">
      <c r="J151"/>
      <c r="K151"/>
      <c r="L151"/>
      <c r="M151"/>
    </row>
    <row r="152" spans="2:25" x14ac:dyDescent="0.25">
      <c r="J152"/>
      <c r="K152"/>
      <c r="L152"/>
      <c r="M152"/>
    </row>
    <row r="153" spans="2:25" x14ac:dyDescent="0.25">
      <c r="J153"/>
      <c r="K153"/>
      <c r="L153"/>
      <c r="M153"/>
    </row>
    <row r="154" spans="2:25" x14ac:dyDescent="0.25">
      <c r="J154"/>
      <c r="K154"/>
      <c r="L154"/>
      <c r="M154"/>
    </row>
    <row r="155" spans="2:25" x14ac:dyDescent="0.25">
      <c r="J155"/>
      <c r="K155"/>
      <c r="L155"/>
      <c r="M155"/>
    </row>
    <row r="156" spans="2:25" x14ac:dyDescent="0.25">
      <c r="J156"/>
      <c r="K156"/>
      <c r="L156"/>
      <c r="M156"/>
    </row>
    <row r="157" spans="2:25" x14ac:dyDescent="0.25">
      <c r="J157"/>
      <c r="K157"/>
      <c r="L157"/>
      <c r="M157"/>
    </row>
    <row r="158" spans="2:25" x14ac:dyDescent="0.25">
      <c r="J158"/>
      <c r="K158"/>
      <c r="L158"/>
      <c r="M158"/>
    </row>
    <row r="159" spans="2:25" x14ac:dyDescent="0.25">
      <c r="J159"/>
      <c r="K159"/>
      <c r="L159"/>
      <c r="M159"/>
      <c r="Q159" s="371"/>
      <c r="U159" s="371"/>
      <c r="Y159" s="371"/>
    </row>
    <row r="160" spans="2:25" x14ac:dyDescent="0.25">
      <c r="J160"/>
      <c r="K160"/>
      <c r="L160"/>
      <c r="M160"/>
      <c r="Q160" s="371"/>
      <c r="U160" s="371"/>
      <c r="Y160" s="371"/>
    </row>
    <row r="161" spans="10:25" x14ac:dyDescent="0.25">
      <c r="J161"/>
      <c r="K161"/>
      <c r="L161"/>
      <c r="M161"/>
      <c r="Q161" s="371"/>
      <c r="U161" s="371"/>
      <c r="Y161" s="371"/>
    </row>
    <row r="162" spans="10:25" x14ac:dyDescent="0.25">
      <c r="J162"/>
      <c r="K162"/>
      <c r="L162"/>
      <c r="M162"/>
      <c r="Q162" s="371"/>
      <c r="U162" s="371"/>
      <c r="Y162" s="371"/>
    </row>
    <row r="163" spans="10:25" x14ac:dyDescent="0.25">
      <c r="J163"/>
      <c r="K163"/>
      <c r="L163"/>
      <c r="M163"/>
    </row>
    <row r="164" spans="10:25" x14ac:dyDescent="0.25">
      <c r="J164"/>
      <c r="K164"/>
      <c r="L164"/>
      <c r="M164"/>
    </row>
    <row r="165" spans="10:25" x14ac:dyDescent="0.25">
      <c r="J165"/>
      <c r="K165"/>
      <c r="L165"/>
      <c r="M165"/>
    </row>
    <row r="166" spans="10:25" x14ac:dyDescent="0.25">
      <c r="J166"/>
      <c r="K166"/>
      <c r="L166"/>
      <c r="M166"/>
    </row>
    <row r="167" spans="10:25" x14ac:dyDescent="0.25">
      <c r="J167"/>
      <c r="K167"/>
      <c r="L167"/>
      <c r="M167"/>
    </row>
    <row r="168" spans="10:25" x14ac:dyDescent="0.25">
      <c r="J168"/>
      <c r="K168"/>
      <c r="L168"/>
      <c r="M168"/>
    </row>
    <row r="169" spans="10:25" x14ac:dyDescent="0.25">
      <c r="J169"/>
      <c r="K169"/>
      <c r="L169"/>
      <c r="M169"/>
    </row>
    <row r="170" spans="10:25" x14ac:dyDescent="0.25">
      <c r="J170"/>
      <c r="K170"/>
      <c r="L170"/>
      <c r="M170"/>
    </row>
    <row r="171" spans="10:25" x14ac:dyDescent="0.25">
      <c r="J171"/>
      <c r="K171"/>
      <c r="L171"/>
      <c r="M171"/>
    </row>
    <row r="172" spans="10:25" x14ac:dyDescent="0.25">
      <c r="J172"/>
      <c r="K172"/>
      <c r="L172"/>
      <c r="M172"/>
    </row>
    <row r="173" spans="10:25" x14ac:dyDescent="0.25">
      <c r="J173"/>
      <c r="K173"/>
      <c r="L173"/>
      <c r="M173"/>
    </row>
    <row r="174" spans="10:25" x14ac:dyDescent="0.25">
      <c r="J174"/>
      <c r="K174"/>
      <c r="L174"/>
      <c r="M174"/>
    </row>
    <row r="175" spans="10:25" x14ac:dyDescent="0.25">
      <c r="J175"/>
      <c r="K175"/>
      <c r="L175"/>
      <c r="M175"/>
    </row>
    <row r="176" spans="10:25" x14ac:dyDescent="0.25">
      <c r="J176"/>
      <c r="K176"/>
      <c r="L176"/>
      <c r="M176"/>
    </row>
    <row r="177" spans="10:13" x14ac:dyDescent="0.25">
      <c r="J177"/>
      <c r="K177"/>
      <c r="L177"/>
      <c r="M177"/>
    </row>
    <row r="178" spans="10:13" x14ac:dyDescent="0.25">
      <c r="J178"/>
      <c r="K178"/>
      <c r="L178"/>
      <c r="M178"/>
    </row>
    <row r="179" spans="10:13" x14ac:dyDescent="0.25">
      <c r="J179"/>
      <c r="K179"/>
      <c r="L179"/>
      <c r="M179"/>
    </row>
    <row r="180" spans="10:13" x14ac:dyDescent="0.25">
      <c r="J180"/>
      <c r="K180"/>
      <c r="L180"/>
      <c r="M180"/>
    </row>
    <row r="181" spans="10:13" x14ac:dyDescent="0.25">
      <c r="J181"/>
      <c r="K181"/>
      <c r="L181"/>
      <c r="M181"/>
    </row>
    <row r="182" spans="10:13" x14ac:dyDescent="0.25">
      <c r="J182"/>
      <c r="K182"/>
      <c r="L182"/>
      <c r="M182"/>
    </row>
    <row r="183" spans="10:13" x14ac:dyDescent="0.25">
      <c r="J183"/>
      <c r="K183"/>
      <c r="L183"/>
      <c r="M183"/>
    </row>
    <row r="184" spans="10:13" x14ac:dyDescent="0.25">
      <c r="J184"/>
      <c r="K184"/>
      <c r="L184"/>
      <c r="M184"/>
    </row>
    <row r="185" spans="10:13" x14ac:dyDescent="0.25">
      <c r="J185"/>
      <c r="K185"/>
      <c r="L185"/>
      <c r="M185"/>
    </row>
    <row r="186" spans="10:13" x14ac:dyDescent="0.25">
      <c r="J186"/>
      <c r="K186"/>
      <c r="L186"/>
      <c r="M186"/>
    </row>
    <row r="187" spans="10:13" x14ac:dyDescent="0.25">
      <c r="J187"/>
      <c r="K187"/>
      <c r="L187"/>
      <c r="M187"/>
    </row>
    <row r="188" spans="10:13" x14ac:dyDescent="0.25">
      <c r="J188"/>
      <c r="K188"/>
      <c r="L188"/>
      <c r="M188"/>
    </row>
    <row r="189" spans="10:13" x14ac:dyDescent="0.25">
      <c r="J189"/>
      <c r="K189"/>
      <c r="L189"/>
      <c r="M189"/>
    </row>
    <row r="190" spans="10:13" x14ac:dyDescent="0.25">
      <c r="J190"/>
      <c r="K190"/>
      <c r="L190"/>
      <c r="M190"/>
    </row>
    <row r="191" spans="10:13" x14ac:dyDescent="0.25">
      <c r="J191"/>
      <c r="K191"/>
      <c r="L191"/>
      <c r="M191"/>
    </row>
    <row r="192" spans="10:13" x14ac:dyDescent="0.25">
      <c r="J192"/>
      <c r="K192"/>
      <c r="L192"/>
      <c r="M192"/>
    </row>
    <row r="193" spans="10:13" x14ac:dyDescent="0.25">
      <c r="J193"/>
      <c r="K193"/>
      <c r="L193"/>
      <c r="M193"/>
    </row>
    <row r="194" spans="10:13" x14ac:dyDescent="0.25">
      <c r="J194"/>
      <c r="K194"/>
      <c r="L194"/>
      <c r="M194"/>
    </row>
    <row r="195" spans="10:13" x14ac:dyDescent="0.25">
      <c r="J195"/>
      <c r="K195"/>
      <c r="L195"/>
      <c r="M195"/>
    </row>
    <row r="196" spans="10:13" x14ac:dyDescent="0.25">
      <c r="J196"/>
      <c r="K196"/>
      <c r="L196"/>
      <c r="M196"/>
    </row>
    <row r="197" spans="10:13" x14ac:dyDescent="0.25">
      <c r="J197"/>
      <c r="K197"/>
      <c r="L197"/>
      <c r="M197"/>
    </row>
    <row r="198" spans="10:13" x14ac:dyDescent="0.25">
      <c r="J198"/>
      <c r="K198"/>
      <c r="L198"/>
      <c r="M198"/>
    </row>
    <row r="199" spans="10:13" x14ac:dyDescent="0.25">
      <c r="J199"/>
      <c r="K199"/>
      <c r="L199"/>
      <c r="M199"/>
    </row>
    <row r="200" spans="10:13" x14ac:dyDescent="0.25">
      <c r="J200"/>
      <c r="K200"/>
      <c r="L200"/>
      <c r="M200"/>
    </row>
    <row r="201" spans="10:13" x14ac:dyDescent="0.25">
      <c r="J201"/>
      <c r="K201"/>
      <c r="L201"/>
      <c r="M201"/>
    </row>
    <row r="202" spans="10:13" x14ac:dyDescent="0.25">
      <c r="J202"/>
      <c r="K202"/>
      <c r="L202"/>
      <c r="M202"/>
    </row>
    <row r="203" spans="10:13" x14ac:dyDescent="0.25">
      <c r="J203"/>
      <c r="K203"/>
      <c r="L203"/>
      <c r="M203"/>
    </row>
    <row r="204" spans="10:13" x14ac:dyDescent="0.25">
      <c r="J204"/>
      <c r="K204"/>
      <c r="L204"/>
      <c r="M204"/>
    </row>
    <row r="205" spans="10:13" x14ac:dyDescent="0.25">
      <c r="J205"/>
      <c r="K205"/>
      <c r="L205"/>
      <c r="M205"/>
    </row>
    <row r="206" spans="10:13" x14ac:dyDescent="0.25">
      <c r="J206"/>
      <c r="K206"/>
      <c r="L206"/>
      <c r="M206"/>
    </row>
    <row r="207" spans="10:13" x14ac:dyDescent="0.25">
      <c r="J207"/>
      <c r="K207"/>
      <c r="L207"/>
      <c r="M207"/>
    </row>
    <row r="208" spans="10:13" x14ac:dyDescent="0.25">
      <c r="J208"/>
      <c r="K208"/>
      <c r="L208"/>
      <c r="M208"/>
    </row>
    <row r="209" spans="10:13" x14ac:dyDescent="0.25">
      <c r="J209"/>
      <c r="K209"/>
      <c r="L209"/>
      <c r="M209"/>
    </row>
    <row r="210" spans="10:13" x14ac:dyDescent="0.25">
      <c r="J210"/>
      <c r="K210"/>
      <c r="L210"/>
      <c r="M210"/>
    </row>
    <row r="211" spans="10:13" x14ac:dyDescent="0.25">
      <c r="J211"/>
      <c r="K211"/>
      <c r="L211"/>
      <c r="M211"/>
    </row>
    <row r="212" spans="10:13" x14ac:dyDescent="0.25">
      <c r="J212"/>
      <c r="K212"/>
      <c r="L212"/>
      <c r="M212"/>
    </row>
    <row r="213" spans="10:13" x14ac:dyDescent="0.25">
      <c r="J213"/>
      <c r="K213"/>
      <c r="L213"/>
      <c r="M213"/>
    </row>
    <row r="214" spans="10:13" x14ac:dyDescent="0.25">
      <c r="J214"/>
      <c r="K214"/>
      <c r="L214"/>
      <c r="M214"/>
    </row>
    <row r="215" spans="10:13" x14ac:dyDescent="0.25">
      <c r="J215"/>
      <c r="K215"/>
      <c r="L215"/>
      <c r="M215"/>
    </row>
    <row r="216" spans="10:13" x14ac:dyDescent="0.25">
      <c r="J216"/>
      <c r="K216"/>
      <c r="L216"/>
      <c r="M216"/>
    </row>
    <row r="217" spans="10:13" x14ac:dyDescent="0.25">
      <c r="J217"/>
      <c r="K217"/>
      <c r="L217"/>
      <c r="M217"/>
    </row>
    <row r="218" spans="10:13" x14ac:dyDescent="0.25">
      <c r="J218"/>
      <c r="K218"/>
      <c r="L218"/>
      <c r="M218"/>
    </row>
    <row r="219" spans="10:13" x14ac:dyDescent="0.25">
      <c r="J219"/>
      <c r="K219"/>
      <c r="L219"/>
      <c r="M219"/>
    </row>
    <row r="220" spans="10:13" x14ac:dyDescent="0.25">
      <c r="J220"/>
      <c r="K220"/>
      <c r="L220"/>
      <c r="M220"/>
    </row>
    <row r="221" spans="10:13" x14ac:dyDescent="0.25">
      <c r="J221"/>
      <c r="K221"/>
      <c r="L221"/>
      <c r="M221"/>
    </row>
    <row r="222" spans="10:13" x14ac:dyDescent="0.25">
      <c r="J222"/>
      <c r="K222"/>
      <c r="L222"/>
      <c r="M222"/>
    </row>
    <row r="223" spans="10:13" x14ac:dyDescent="0.25">
      <c r="J223"/>
      <c r="K223"/>
      <c r="L223"/>
      <c r="M223"/>
    </row>
    <row r="224" spans="10:13" x14ac:dyDescent="0.25">
      <c r="J224"/>
      <c r="K224"/>
      <c r="L224"/>
      <c r="M224"/>
    </row>
    <row r="225" spans="10:13" x14ac:dyDescent="0.25">
      <c r="J225"/>
      <c r="K225"/>
      <c r="L225"/>
      <c r="M225"/>
    </row>
    <row r="226" spans="10:13" x14ac:dyDescent="0.25">
      <c r="J226"/>
      <c r="K226"/>
      <c r="L226"/>
      <c r="M226"/>
    </row>
    <row r="227" spans="10:13" x14ac:dyDescent="0.25">
      <c r="J227"/>
      <c r="K227"/>
      <c r="L227"/>
      <c r="M227"/>
    </row>
    <row r="228" spans="10:13" x14ac:dyDescent="0.25">
      <c r="J228"/>
      <c r="K228"/>
      <c r="L228"/>
      <c r="M228"/>
    </row>
    <row r="229" spans="10:13" x14ac:dyDescent="0.25">
      <c r="J229"/>
      <c r="K229"/>
      <c r="L229"/>
      <c r="M229"/>
    </row>
    <row r="230" spans="10:13" x14ac:dyDescent="0.25">
      <c r="J230"/>
      <c r="K230"/>
      <c r="L230"/>
      <c r="M230"/>
    </row>
    <row r="231" spans="10:13" x14ac:dyDescent="0.25">
      <c r="J231"/>
      <c r="K231"/>
      <c r="L231"/>
      <c r="M231"/>
    </row>
    <row r="232" spans="10:13" x14ac:dyDescent="0.25">
      <c r="J232"/>
      <c r="K232"/>
      <c r="L232"/>
      <c r="M232"/>
    </row>
    <row r="233" spans="10:13" x14ac:dyDescent="0.25">
      <c r="J233"/>
      <c r="K233"/>
      <c r="L233"/>
      <c r="M233"/>
    </row>
    <row r="234" spans="10:13" x14ac:dyDescent="0.25">
      <c r="J234"/>
      <c r="K234"/>
      <c r="L234"/>
      <c r="M234"/>
    </row>
    <row r="235" spans="10:13" x14ac:dyDescent="0.25">
      <c r="J235"/>
      <c r="K235"/>
      <c r="L235"/>
      <c r="M235"/>
    </row>
    <row r="236" spans="10:13" x14ac:dyDescent="0.25">
      <c r="J236"/>
      <c r="K236"/>
      <c r="L236"/>
      <c r="M236"/>
    </row>
    <row r="237" spans="10:13" x14ac:dyDescent="0.25">
      <c r="J237"/>
      <c r="K237"/>
      <c r="L237"/>
      <c r="M237"/>
    </row>
    <row r="238" spans="10:13" x14ac:dyDescent="0.25">
      <c r="J238"/>
      <c r="K238"/>
      <c r="L238"/>
      <c r="M238"/>
    </row>
    <row r="239" spans="10:13" x14ac:dyDescent="0.25">
      <c r="J239"/>
      <c r="K239"/>
      <c r="L239"/>
      <c r="M239"/>
    </row>
    <row r="240" spans="10:13" x14ac:dyDescent="0.25">
      <c r="J240"/>
      <c r="K240"/>
      <c r="L240"/>
      <c r="M240"/>
    </row>
    <row r="241" spans="10:13" x14ac:dyDescent="0.25">
      <c r="J241"/>
      <c r="K241"/>
      <c r="L241"/>
      <c r="M241"/>
    </row>
    <row r="242" spans="10:13" x14ac:dyDescent="0.25">
      <c r="J242"/>
      <c r="K242"/>
      <c r="L242"/>
      <c r="M242"/>
    </row>
    <row r="243" spans="10:13" x14ac:dyDescent="0.25">
      <c r="J243"/>
      <c r="K243"/>
      <c r="L243"/>
      <c r="M243"/>
    </row>
    <row r="244" spans="10:13" x14ac:dyDescent="0.25">
      <c r="J244"/>
      <c r="K244"/>
      <c r="L244"/>
      <c r="M244"/>
    </row>
    <row r="245" spans="10:13" x14ac:dyDescent="0.25">
      <c r="J245"/>
      <c r="K245"/>
      <c r="L245"/>
      <c r="M245"/>
    </row>
    <row r="246" spans="10:13" x14ac:dyDescent="0.25">
      <c r="J246"/>
      <c r="K246"/>
      <c r="L246"/>
      <c r="M246"/>
    </row>
    <row r="247" spans="10:13" x14ac:dyDescent="0.25">
      <c r="J247"/>
      <c r="K247"/>
      <c r="L247"/>
      <c r="M247"/>
    </row>
    <row r="248" spans="10:13" x14ac:dyDescent="0.25">
      <c r="J248"/>
      <c r="K248"/>
      <c r="L248"/>
      <c r="M248"/>
    </row>
    <row r="249" spans="10:13" x14ac:dyDescent="0.25">
      <c r="J249"/>
      <c r="K249"/>
      <c r="L249"/>
      <c r="M249"/>
    </row>
    <row r="250" spans="10:13" x14ac:dyDescent="0.25">
      <c r="J250"/>
      <c r="K250"/>
      <c r="L250"/>
      <c r="M250"/>
    </row>
    <row r="251" spans="10:13" x14ac:dyDescent="0.25">
      <c r="J251"/>
      <c r="K251"/>
      <c r="L251"/>
      <c r="M251"/>
    </row>
    <row r="252" spans="10:13" x14ac:dyDescent="0.25">
      <c r="J252"/>
      <c r="K252"/>
      <c r="L252"/>
      <c r="M252"/>
    </row>
    <row r="253" spans="10:13" x14ac:dyDescent="0.25">
      <c r="J253"/>
      <c r="K253"/>
      <c r="L253"/>
      <c r="M253"/>
    </row>
    <row r="254" spans="10:13" x14ac:dyDescent="0.25">
      <c r="J254"/>
      <c r="K254"/>
      <c r="L254"/>
      <c r="M254"/>
    </row>
    <row r="255" spans="10:13" x14ac:dyDescent="0.25">
      <c r="J255"/>
      <c r="K255"/>
      <c r="L255"/>
      <c r="M255"/>
    </row>
    <row r="256" spans="10:13" x14ac:dyDescent="0.25">
      <c r="J256"/>
      <c r="K256"/>
      <c r="L256"/>
      <c r="M256"/>
    </row>
    <row r="257" spans="10:13" x14ac:dyDescent="0.25">
      <c r="J257"/>
      <c r="K257"/>
      <c r="L257"/>
      <c r="M257"/>
    </row>
    <row r="258" spans="10:13" x14ac:dyDescent="0.25">
      <c r="J258"/>
      <c r="K258"/>
      <c r="L258"/>
      <c r="M258"/>
    </row>
    <row r="259" spans="10:13" x14ac:dyDescent="0.25">
      <c r="J259"/>
      <c r="K259"/>
      <c r="L259"/>
      <c r="M259"/>
    </row>
    <row r="260" spans="10:13" x14ac:dyDescent="0.25">
      <c r="J260"/>
      <c r="K260"/>
      <c r="L260"/>
      <c r="M260"/>
    </row>
    <row r="261" spans="10:13" x14ac:dyDescent="0.25">
      <c r="J261"/>
      <c r="K261"/>
      <c r="L261"/>
      <c r="M261"/>
    </row>
    <row r="262" spans="10:13" x14ac:dyDescent="0.25">
      <c r="J262"/>
      <c r="K262"/>
      <c r="L262"/>
      <c r="M262"/>
    </row>
    <row r="263" spans="10:13" x14ac:dyDescent="0.25">
      <c r="J263"/>
      <c r="K263"/>
      <c r="L263"/>
      <c r="M263"/>
    </row>
    <row r="264" spans="10:13" x14ac:dyDescent="0.25">
      <c r="J264"/>
      <c r="K264"/>
      <c r="L264"/>
      <c r="M264"/>
    </row>
    <row r="265" spans="10:13" x14ac:dyDescent="0.25">
      <c r="J265"/>
      <c r="K265"/>
      <c r="L265"/>
      <c r="M265"/>
    </row>
    <row r="266" spans="10:13" x14ac:dyDescent="0.25">
      <c r="J266"/>
      <c r="K266"/>
      <c r="L266"/>
      <c r="M266"/>
    </row>
    <row r="267" spans="10:13" x14ac:dyDescent="0.25">
      <c r="J267"/>
      <c r="K267"/>
      <c r="L267"/>
      <c r="M267"/>
    </row>
    <row r="268" spans="10:13" x14ac:dyDescent="0.25">
      <c r="J268"/>
      <c r="K268"/>
      <c r="L268"/>
      <c r="M268"/>
    </row>
    <row r="269" spans="10:13" x14ac:dyDescent="0.25">
      <c r="J269"/>
      <c r="K269"/>
      <c r="L269"/>
      <c r="M269"/>
    </row>
    <row r="270" spans="10:13" x14ac:dyDescent="0.25">
      <c r="J270"/>
      <c r="K270"/>
      <c r="L270"/>
      <c r="M270"/>
    </row>
    <row r="271" spans="10:13" x14ac:dyDescent="0.25">
      <c r="J271"/>
      <c r="K271"/>
      <c r="L271"/>
      <c r="M271"/>
    </row>
    <row r="272" spans="10:13" x14ac:dyDescent="0.25">
      <c r="J272"/>
      <c r="K272"/>
      <c r="L272"/>
      <c r="M272"/>
    </row>
    <row r="273" spans="10:13" x14ac:dyDescent="0.25">
      <c r="J273"/>
      <c r="K273"/>
      <c r="L273"/>
      <c r="M273"/>
    </row>
    <row r="274" spans="10:13" x14ac:dyDescent="0.25">
      <c r="J274"/>
      <c r="K274"/>
      <c r="L274"/>
      <c r="M274"/>
    </row>
    <row r="275" spans="10:13" x14ac:dyDescent="0.25">
      <c r="J275"/>
      <c r="K275"/>
      <c r="L275"/>
      <c r="M275"/>
    </row>
    <row r="276" spans="10:13" x14ac:dyDescent="0.25">
      <c r="J276"/>
      <c r="K276"/>
      <c r="L276"/>
      <c r="M276"/>
    </row>
    <row r="277" spans="10:13" x14ac:dyDescent="0.25">
      <c r="J277"/>
      <c r="K277"/>
      <c r="L277"/>
      <c r="M277"/>
    </row>
    <row r="278" spans="10:13" x14ac:dyDescent="0.25">
      <c r="J278"/>
      <c r="K278"/>
      <c r="L278"/>
      <c r="M278"/>
    </row>
    <row r="279" spans="10:13" x14ac:dyDescent="0.25">
      <c r="J279"/>
      <c r="K279"/>
      <c r="L279"/>
      <c r="M279"/>
    </row>
    <row r="280" spans="10:13" x14ac:dyDescent="0.25">
      <c r="J280"/>
      <c r="K280"/>
      <c r="L280"/>
      <c r="M280"/>
    </row>
    <row r="281" spans="10:13" x14ac:dyDescent="0.25">
      <c r="J281"/>
      <c r="K281"/>
      <c r="L281"/>
      <c r="M281"/>
    </row>
    <row r="282" spans="10:13" x14ac:dyDescent="0.25">
      <c r="J282"/>
      <c r="K282"/>
      <c r="L282"/>
      <c r="M282"/>
    </row>
    <row r="283" spans="10:13" x14ac:dyDescent="0.25">
      <c r="J283"/>
      <c r="K283"/>
      <c r="L283"/>
      <c r="M283"/>
    </row>
    <row r="284" spans="10:13" x14ac:dyDescent="0.25">
      <c r="J284"/>
      <c r="K284"/>
      <c r="L284"/>
      <c r="M284"/>
    </row>
    <row r="285" spans="10:13" x14ac:dyDescent="0.25">
      <c r="J285"/>
      <c r="K285"/>
      <c r="L285"/>
      <c r="M285"/>
    </row>
    <row r="286" spans="10:13" x14ac:dyDescent="0.25">
      <c r="J286"/>
      <c r="K286"/>
      <c r="L286"/>
      <c r="M286"/>
    </row>
    <row r="287" spans="10:13" x14ac:dyDescent="0.25">
      <c r="J287"/>
      <c r="K287"/>
      <c r="L287"/>
      <c r="M287"/>
    </row>
    <row r="288" spans="10:13" x14ac:dyDescent="0.25">
      <c r="J288"/>
      <c r="K288"/>
      <c r="L288"/>
      <c r="M288"/>
    </row>
    <row r="289" spans="10:13" x14ac:dyDescent="0.25">
      <c r="J289"/>
      <c r="K289"/>
      <c r="L289"/>
      <c r="M289"/>
    </row>
    <row r="290" spans="10:13" x14ac:dyDescent="0.25">
      <c r="J290"/>
      <c r="K290"/>
      <c r="L290"/>
      <c r="M290"/>
    </row>
    <row r="291" spans="10:13" x14ac:dyDescent="0.25">
      <c r="J291"/>
      <c r="K291"/>
      <c r="L291"/>
      <c r="M291"/>
    </row>
  </sheetData>
  <mergeCells count="15">
    <mergeCell ref="F100:I100"/>
    <mergeCell ref="J100:M100"/>
    <mergeCell ref="N100:Q100"/>
    <mergeCell ref="R100:U100"/>
    <mergeCell ref="V100:Y100"/>
    <mergeCell ref="F2:I2"/>
    <mergeCell ref="J2:M2"/>
    <mergeCell ref="N2:Q2"/>
    <mergeCell ref="R2:U2"/>
    <mergeCell ref="V2:Y2"/>
    <mergeCell ref="F60:I60"/>
    <mergeCell ref="J60:M60"/>
    <mergeCell ref="N60:Q60"/>
    <mergeCell ref="R60:U60"/>
    <mergeCell ref="V60:Y60"/>
  </mergeCells>
  <pageMargins left="0.7" right="0.7" top="0.75" bottom="0.75" header="0.3" footer="0.3"/>
  <pageSetup paperSize="9" scale="45" orientation="landscape" r:id="rId1"/>
  <rowBreaks count="2" manualBreakCount="2">
    <brk id="58" max="16383" man="1"/>
    <brk id="98" max="1638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AF2B-9218-4F82-B461-8496DAC501BC}">
  <sheetPr codeName="Sheet14">
    <tabColor rgb="FFFA780A"/>
  </sheetPr>
  <dimension ref="A1:X157"/>
  <sheetViews>
    <sheetView showGridLines="0" topLeftCell="A49" workbookViewId="0">
      <selection activeCell="J70" sqref="J70"/>
    </sheetView>
  </sheetViews>
  <sheetFormatPr defaultRowHeight="12.75" x14ac:dyDescent="0.2"/>
  <cols>
    <col min="1" max="1" width="2.85546875" style="3" customWidth="1"/>
    <col min="2" max="2" width="3.42578125" style="21" customWidth="1"/>
    <col min="3" max="3" width="24.42578125" style="3" customWidth="1"/>
    <col min="4" max="5" width="12.7109375" style="3" customWidth="1"/>
    <col min="6" max="6" width="4.7109375" style="3" customWidth="1"/>
    <col min="7" max="8" width="12.7109375" style="3" customWidth="1"/>
    <col min="9" max="9" width="4.7109375" style="3" customWidth="1"/>
    <col min="10" max="11" width="12.7109375" style="3" customWidth="1"/>
    <col min="12" max="12" width="4.7109375" style="3" customWidth="1"/>
    <col min="13" max="14" width="10.5703125" style="3" customWidth="1"/>
    <col min="15" max="15" width="4.7109375" style="3" customWidth="1"/>
    <col min="16" max="17" width="12.7109375" style="3" customWidth="1"/>
    <col min="18" max="18" width="3.5703125" style="3" customWidth="1"/>
    <col min="19" max="19" width="9.140625" style="3"/>
    <col min="20" max="24" width="31.140625" style="3" customWidth="1"/>
    <col min="25" max="16384" width="9.140625" style="3"/>
  </cols>
  <sheetData>
    <row r="1" spans="1:24" s="125" customFormat="1" ht="21" x14ac:dyDescent="0.35">
      <c r="A1" s="131" t="s">
        <v>472</v>
      </c>
      <c r="B1" s="617"/>
    </row>
    <row r="3" spans="1:24" s="592" customFormat="1" ht="15" x14ac:dyDescent="0.25">
      <c r="A3" s="614" t="s">
        <v>647</v>
      </c>
      <c r="B3" s="618"/>
    </row>
    <row r="5" spans="1:24" ht="24.75" customHeight="1" x14ac:dyDescent="0.2">
      <c r="D5" s="936" t="s">
        <v>711</v>
      </c>
      <c r="E5" s="936"/>
      <c r="F5" s="593"/>
      <c r="G5" s="937" t="s">
        <v>654</v>
      </c>
      <c r="H5" s="937"/>
      <c r="I5" s="611"/>
      <c r="J5" s="938" t="s">
        <v>655</v>
      </c>
      <c r="K5" s="938"/>
      <c r="M5" s="938" t="s">
        <v>658</v>
      </c>
      <c r="N5" s="938"/>
      <c r="P5" s="939" t="s">
        <v>712</v>
      </c>
      <c r="Q5" s="939"/>
      <c r="R5" s="807"/>
    </row>
    <row r="6" spans="1:24" x14ac:dyDescent="0.2">
      <c r="C6" s="36" t="s">
        <v>282</v>
      </c>
      <c r="D6" s="611" t="s">
        <v>187</v>
      </c>
      <c r="E6" s="611" t="s">
        <v>653</v>
      </c>
      <c r="F6" s="611"/>
      <c r="G6" s="873" t="s">
        <v>187</v>
      </c>
      <c r="H6" s="873" t="s">
        <v>653</v>
      </c>
      <c r="I6" s="611"/>
      <c r="J6" s="611" t="s">
        <v>187</v>
      </c>
      <c r="K6" s="611" t="s">
        <v>653</v>
      </c>
      <c r="M6" s="890" t="s">
        <v>656</v>
      </c>
      <c r="N6" s="611" t="s">
        <v>657</v>
      </c>
      <c r="P6" s="611" t="s">
        <v>648</v>
      </c>
      <c r="Q6" s="611" t="s">
        <v>649</v>
      </c>
      <c r="R6" s="611"/>
      <c r="S6" s="622" t="s">
        <v>509</v>
      </c>
      <c r="T6" s="610"/>
      <c r="U6" s="610"/>
      <c r="V6" s="610"/>
      <c r="W6" s="610"/>
      <c r="X6" s="610"/>
    </row>
    <row r="7" spans="1:24" x14ac:dyDescent="0.2">
      <c r="C7" s="3" t="s">
        <v>361</v>
      </c>
      <c r="D7" s="806">
        <f>'[15]DUoS (t)'!BM128</f>
        <v>437649.48178600002</v>
      </c>
      <c r="E7" s="608">
        <f>D7/$D$12</f>
        <v>0.54122416185081701</v>
      </c>
      <c r="G7" s="874">
        <v>440575.89958535164</v>
      </c>
      <c r="H7" s="875">
        <f>G7/$G$12</f>
        <v>0.54482353218690782</v>
      </c>
      <c r="I7" s="608"/>
      <c r="J7" s="116">
        <f>'DUoS (t)'!BM131</f>
        <v>435180.72892950004</v>
      </c>
      <c r="K7" s="608">
        <f>J7/$J$12</f>
        <v>0.54967769669036737</v>
      </c>
      <c r="M7" s="875">
        <f t="shared" ref="M7:M12" si="0">H7/E7-1</f>
        <v>6.6504243339433611E-3</v>
      </c>
      <c r="N7" s="608">
        <f t="shared" ref="N7:N12" si="1">K7/E7-1</f>
        <v>1.5619285751474754E-2</v>
      </c>
      <c r="P7" s="117">
        <f>J7-D7</f>
        <v>-2468.7528564999811</v>
      </c>
      <c r="Q7" s="608">
        <f t="shared" ref="Q7:Q12" si="2">P7/D7</f>
        <v>-5.6409363183186432E-3</v>
      </c>
      <c r="R7" s="608"/>
      <c r="S7" s="623"/>
      <c r="T7" s="623"/>
      <c r="U7" s="623"/>
      <c r="V7" s="623"/>
      <c r="W7" s="623"/>
      <c r="X7" s="623"/>
    </row>
    <row r="8" spans="1:24" x14ac:dyDescent="0.2">
      <c r="C8" s="3" t="s">
        <v>362</v>
      </c>
      <c r="D8" s="806">
        <f>'[15]DUoS (t)'!BM129</f>
        <v>141489.47543530003</v>
      </c>
      <c r="E8" s="608">
        <f>D8/$D$12</f>
        <v>0.17497455370146325</v>
      </c>
      <c r="G8" s="874">
        <v>141285.27630468164</v>
      </c>
      <c r="H8" s="875">
        <f>G8/$G$12</f>
        <v>0.17471573763967907</v>
      </c>
      <c r="I8" s="608"/>
      <c r="J8" s="116">
        <f>'DUoS (t)'!BM132</f>
        <v>136892.33365639998</v>
      </c>
      <c r="K8" s="608">
        <f>J8/$J$12</f>
        <v>0.17290899540500854</v>
      </c>
      <c r="M8" s="875">
        <f t="shared" si="0"/>
        <v>-1.4791640059031996E-3</v>
      </c>
      <c r="N8" s="608">
        <f t="shared" si="1"/>
        <v>-1.1804906786497149E-2</v>
      </c>
      <c r="P8" s="117">
        <f>J8-D8</f>
        <v>-4597.1417789000552</v>
      </c>
      <c r="Q8" s="608">
        <f t="shared" si="2"/>
        <v>-3.2491051117100406E-2</v>
      </c>
      <c r="R8" s="608"/>
      <c r="S8" s="623"/>
      <c r="T8" s="623"/>
      <c r="U8" s="623"/>
      <c r="V8" s="623"/>
      <c r="W8" s="623"/>
      <c r="X8" s="623"/>
    </row>
    <row r="9" spans="1:24" x14ac:dyDescent="0.2">
      <c r="C9" s="3" t="s">
        <v>363</v>
      </c>
      <c r="D9" s="806">
        <f>'[15]DUoS (t)'!BM130</f>
        <v>183563.8807754</v>
      </c>
      <c r="E9" s="608">
        <f>D9/$D$12</f>
        <v>0.22700634104104464</v>
      </c>
      <c r="G9" s="874">
        <v>181685.81889015046</v>
      </c>
      <c r="H9" s="875">
        <f>G9/$G$12</f>
        <v>0.22467572486185472</v>
      </c>
      <c r="I9" s="608"/>
      <c r="J9" s="116">
        <f>'DUoS (t)'!BM133</f>
        <v>175321.18972009997</v>
      </c>
      <c r="K9" s="608">
        <f>J9/$J$12</f>
        <v>0.22144856456171699</v>
      </c>
      <c r="M9" s="875">
        <f t="shared" si="0"/>
        <v>-1.0266744834094843E-2</v>
      </c>
      <c r="N9" s="608">
        <f t="shared" si="1"/>
        <v>-2.4482912917057065E-2</v>
      </c>
      <c r="P9" s="117">
        <f>J9-D9</f>
        <v>-8242.6910553000343</v>
      </c>
      <c r="Q9" s="608">
        <f t="shared" si="2"/>
        <v>-4.4903665255287328E-2</v>
      </c>
      <c r="R9" s="608"/>
      <c r="S9" s="623"/>
      <c r="T9" s="623"/>
      <c r="U9" s="623"/>
      <c r="V9" s="623"/>
      <c r="W9" s="623"/>
      <c r="X9" s="623"/>
    </row>
    <row r="10" spans="1:24" x14ac:dyDescent="0.2">
      <c r="C10" s="3" t="s">
        <v>364</v>
      </c>
      <c r="D10" s="806">
        <f>'[15]DUoS (t)'!BM131</f>
        <v>33510.73934059999</v>
      </c>
      <c r="E10" s="608">
        <f>D10/$D$12</f>
        <v>4.1441433310061351E-2</v>
      </c>
      <c r="G10" s="874">
        <v>32720.768175571025</v>
      </c>
      <c r="H10" s="875">
        <f>G10/$G$12</f>
        <v>4.0463049635855043E-2</v>
      </c>
      <c r="I10" s="608"/>
      <c r="J10" s="116">
        <f>'DUoS (t)'!BM134</f>
        <v>31838.141982000001</v>
      </c>
      <c r="K10" s="608">
        <f>J10/$J$12</f>
        <v>4.0214824297520282E-2</v>
      </c>
      <c r="M10" s="875">
        <f t="shared" si="0"/>
        <v>-2.3608828075180721E-2</v>
      </c>
      <c r="N10" s="608">
        <f t="shared" si="1"/>
        <v>-2.9598614588537075E-2</v>
      </c>
      <c r="P10" s="117">
        <f>J10-D10</f>
        <v>-1672.5973585999891</v>
      </c>
      <c r="Q10" s="608">
        <f t="shared" si="2"/>
        <v>-4.9912278616113706E-2</v>
      </c>
      <c r="R10" s="608"/>
      <c r="S10" s="623"/>
      <c r="T10" s="623"/>
      <c r="U10" s="623"/>
      <c r="V10" s="623"/>
      <c r="W10" s="623"/>
      <c r="X10" s="623"/>
    </row>
    <row r="11" spans="1:24" x14ac:dyDescent="0.2">
      <c r="C11" s="3" t="s">
        <v>113</v>
      </c>
      <c r="D11" s="806">
        <f>'[15]DUoS (t)'!BM132</f>
        <v>12415.2915021396</v>
      </c>
      <c r="E11" s="608">
        <f>D11/$D$12</f>
        <v>1.5353510096613635E-2</v>
      </c>
      <c r="G11" s="874">
        <v>12390.221799219304</v>
      </c>
      <c r="H11" s="875">
        <f>G11/$G$12</f>
        <v>1.5321955675703346E-2</v>
      </c>
      <c r="I11" s="608"/>
      <c r="J11" s="116">
        <f>'DUoS (t)'!BM135</f>
        <v>12469.236594499998</v>
      </c>
      <c r="K11" s="608">
        <f>J11/$J$12</f>
        <v>1.5749919045386699E-2</v>
      </c>
      <c r="M11" s="875">
        <f t="shared" si="0"/>
        <v>-2.055192637496539E-3</v>
      </c>
      <c r="N11" s="608">
        <f t="shared" si="1"/>
        <v>2.5818783214953234E-2</v>
      </c>
      <c r="P11" s="117">
        <f>J11-D11</f>
        <v>53.945092360398121</v>
      </c>
      <c r="Q11" s="608">
        <f t="shared" si="2"/>
        <v>4.3450524179075014E-3</v>
      </c>
      <c r="R11" s="608"/>
      <c r="S11" s="623"/>
      <c r="T11" s="623"/>
      <c r="U11" s="623"/>
      <c r="V11" s="623"/>
      <c r="W11" s="623"/>
      <c r="X11" s="623"/>
    </row>
    <row r="12" spans="1:24" ht="13.5" thickBot="1" x14ac:dyDescent="0.25">
      <c r="C12" s="36" t="s">
        <v>212</v>
      </c>
      <c r="D12" s="799">
        <f>SUM(D7:D11)</f>
        <v>808628.8688394397</v>
      </c>
      <c r="E12" s="800">
        <f>SUM(E7:E11)</f>
        <v>0.99999999999999989</v>
      </c>
      <c r="F12" s="36"/>
      <c r="G12" s="876">
        <f>SUM(G7:G11)</f>
        <v>808657.98475497402</v>
      </c>
      <c r="H12" s="877">
        <f>SUM(H7:H11)</f>
        <v>1</v>
      </c>
      <c r="I12" s="608"/>
      <c r="J12" s="799">
        <f>SUM(J7:J11)</f>
        <v>791701.63088250009</v>
      </c>
      <c r="K12" s="800">
        <f>SUM(K7:K11)</f>
        <v>0.99999999999999989</v>
      </c>
      <c r="M12" s="877">
        <f t="shared" si="0"/>
        <v>0</v>
      </c>
      <c r="N12" s="800">
        <f t="shared" si="1"/>
        <v>0</v>
      </c>
      <c r="P12" s="799">
        <f>SUM(P7:P11)</f>
        <v>-16927.237956939662</v>
      </c>
      <c r="Q12" s="800">
        <f t="shared" si="2"/>
        <v>-2.0933259507830794E-2</v>
      </c>
      <c r="R12" s="808"/>
      <c r="S12" s="623"/>
      <c r="T12" s="623"/>
      <c r="U12" s="623"/>
      <c r="V12" s="623"/>
      <c r="W12" s="623"/>
      <c r="X12" s="623"/>
    </row>
    <row r="13" spans="1:24" x14ac:dyDescent="0.2">
      <c r="G13" s="878"/>
      <c r="H13" s="878"/>
      <c r="I13" s="608"/>
      <c r="M13" s="878"/>
    </row>
    <row r="14" spans="1:24" x14ac:dyDescent="0.2">
      <c r="C14" s="36" t="s">
        <v>283</v>
      </c>
      <c r="D14" s="611" t="s">
        <v>187</v>
      </c>
      <c r="E14" s="611" t="s">
        <v>653</v>
      </c>
      <c r="F14" s="611"/>
      <c r="G14" s="873" t="s">
        <v>187</v>
      </c>
      <c r="H14" s="873" t="s">
        <v>653</v>
      </c>
      <c r="I14" s="611"/>
      <c r="J14" s="611" t="s">
        <v>187</v>
      </c>
      <c r="K14" s="611" t="s">
        <v>653</v>
      </c>
      <c r="M14" s="896"/>
      <c r="N14" s="612"/>
      <c r="P14" s="611" t="s">
        <v>648</v>
      </c>
      <c r="Q14" s="611" t="s">
        <v>649</v>
      </c>
      <c r="R14" s="611"/>
      <c r="S14" s="622" t="s">
        <v>509</v>
      </c>
      <c r="T14" s="610"/>
      <c r="U14" s="610"/>
      <c r="V14" s="610"/>
      <c r="W14" s="610"/>
      <c r="X14" s="610"/>
    </row>
    <row r="15" spans="1:24" x14ac:dyDescent="0.2">
      <c r="C15" s="3" t="s">
        <v>361</v>
      </c>
      <c r="D15" s="806">
        <f>'[15]TUoS (t)'!BM128</f>
        <v>115307.5724</v>
      </c>
      <c r="E15" s="608">
        <f>D15/$D$20</f>
        <v>0.44091800960658678</v>
      </c>
      <c r="G15" s="874">
        <v>114695.85833384446</v>
      </c>
      <c r="H15" s="875">
        <f>G15/$G$20</f>
        <v>0.43579670734845788</v>
      </c>
      <c r="I15" s="608"/>
      <c r="J15" s="116">
        <f>'TUoS (t)'!BM131</f>
        <v>122492.14655799999</v>
      </c>
      <c r="K15" s="608">
        <f>J15/$J$20</f>
        <v>0.45107746637735135</v>
      </c>
      <c r="M15" s="875">
        <f t="shared" ref="M15:M20" si="3">H15/E15-1</f>
        <v>-1.1615089759428154E-2</v>
      </c>
      <c r="N15" s="608">
        <f t="shared" ref="N15:N20" si="4">K15/E15-1</f>
        <v>2.3041600817869545E-2</v>
      </c>
      <c r="P15" s="117">
        <f>J15-D15</f>
        <v>7184.5741579999885</v>
      </c>
      <c r="Q15" s="608">
        <f t="shared" ref="Q15:Q20" si="5">P15/D15</f>
        <v>6.2307912728201603E-2</v>
      </c>
      <c r="R15" s="608"/>
      <c r="S15" s="623"/>
      <c r="T15" s="623"/>
      <c r="U15" s="623"/>
      <c r="V15" s="623"/>
      <c r="W15" s="623"/>
      <c r="X15" s="623"/>
    </row>
    <row r="16" spans="1:24" x14ac:dyDescent="0.2">
      <c r="C16" s="3" t="s">
        <v>362</v>
      </c>
      <c r="D16" s="806">
        <f>'[15]TUoS (t)'!BM129</f>
        <v>43778.223915100003</v>
      </c>
      <c r="E16" s="608">
        <f>D16/$D$20</f>
        <v>0.16740103837930917</v>
      </c>
      <c r="G16" s="874">
        <v>43722.394948341076</v>
      </c>
      <c r="H16" s="875">
        <f>G16/$G$20</f>
        <v>0.166126972958477</v>
      </c>
      <c r="I16" s="608"/>
      <c r="J16" s="116">
        <f>'TUoS (t)'!BM132</f>
        <v>45598.067851300002</v>
      </c>
      <c r="K16" s="608">
        <f>J16/$J$20</f>
        <v>0.16791493574102645</v>
      </c>
      <c r="M16" s="875">
        <f t="shared" si="3"/>
        <v>-7.6108573349783493E-3</v>
      </c>
      <c r="N16" s="608">
        <f t="shared" si="4"/>
        <v>3.0698576704932812E-3</v>
      </c>
      <c r="P16" s="117">
        <f>J16-D16</f>
        <v>1819.843936199999</v>
      </c>
      <c r="Q16" s="608">
        <f t="shared" si="5"/>
        <v>4.1569615517734554E-2</v>
      </c>
      <c r="R16" s="608"/>
      <c r="S16" s="623"/>
      <c r="T16" s="623"/>
      <c r="U16" s="623"/>
      <c r="V16" s="623"/>
      <c r="W16" s="623"/>
      <c r="X16" s="623"/>
    </row>
    <row r="17" spans="3:24" x14ac:dyDescent="0.2">
      <c r="C17" s="3" t="s">
        <v>363</v>
      </c>
      <c r="D17" s="806">
        <f>'[15]TUoS (t)'!BM130</f>
        <v>68310.769919999992</v>
      </c>
      <c r="E17" s="608">
        <f>D17/$D$20</f>
        <v>0.26120963333904945</v>
      </c>
      <c r="G17" s="874">
        <v>69063.369484449038</v>
      </c>
      <c r="H17" s="875">
        <f>G17/$G$20</f>
        <v>0.26241216951450858</v>
      </c>
      <c r="I17" s="608"/>
      <c r="J17" s="116">
        <f>'TUoS (t)'!BM133</f>
        <v>69509.40732540001</v>
      </c>
      <c r="K17" s="608">
        <f>J17/$J$20</f>
        <v>0.25596847003482442</v>
      </c>
      <c r="M17" s="875">
        <f t="shared" si="3"/>
        <v>4.6037206212001802E-3</v>
      </c>
      <c r="N17" s="608">
        <f t="shared" si="4"/>
        <v>-2.0064969416430434E-2</v>
      </c>
      <c r="P17" s="117">
        <f>J17-D17</f>
        <v>1198.6374054000189</v>
      </c>
      <c r="Q17" s="608">
        <f t="shared" si="5"/>
        <v>1.7546829098892682E-2</v>
      </c>
      <c r="R17" s="608"/>
      <c r="S17" s="623"/>
      <c r="T17" s="623"/>
      <c r="U17" s="623"/>
      <c r="V17" s="623"/>
      <c r="W17" s="623"/>
      <c r="X17" s="623"/>
    </row>
    <row r="18" spans="3:24" x14ac:dyDescent="0.2">
      <c r="C18" s="3" t="s">
        <v>364</v>
      </c>
      <c r="D18" s="806">
        <f>'[15]TUoS (t)'!BM131</f>
        <v>15014.3842931</v>
      </c>
      <c r="E18" s="608">
        <f>D18/$D$20</f>
        <v>5.7412642554098656E-2</v>
      </c>
      <c r="G18" s="874">
        <v>15074.027819496863</v>
      </c>
      <c r="H18" s="875">
        <f>G18/$G$20</f>
        <v>5.7275055835885783E-2</v>
      </c>
      <c r="I18" s="608"/>
      <c r="J18" s="116">
        <f>'TUoS (t)'!BM134</f>
        <v>15633.158484</v>
      </c>
      <c r="K18" s="608">
        <f>J18/$J$20</f>
        <v>5.7569123560907688E-2</v>
      </c>
      <c r="M18" s="875">
        <f t="shared" si="3"/>
        <v>-2.3964533261681131E-3</v>
      </c>
      <c r="N18" s="608">
        <f t="shared" si="4"/>
        <v>2.7255496324103401E-3</v>
      </c>
      <c r="P18" s="117">
        <f>J18-D18</f>
        <v>618.77419089999967</v>
      </c>
      <c r="Q18" s="608">
        <f t="shared" si="5"/>
        <v>4.1212092272365983E-2</v>
      </c>
      <c r="R18" s="608"/>
      <c r="S18" s="623"/>
      <c r="T18" s="623"/>
      <c r="U18" s="623"/>
      <c r="V18" s="623"/>
      <c r="W18" s="623"/>
      <c r="X18" s="623"/>
    </row>
    <row r="19" spans="3:24" x14ac:dyDescent="0.2">
      <c r="C19" s="3" t="s">
        <v>113</v>
      </c>
      <c r="D19" s="806">
        <f>'[15]TUoS (t)'!BM132</f>
        <v>19106.088666647702</v>
      </c>
      <c r="E19" s="608">
        <f>D19/$D$20</f>
        <v>7.3058676120955873E-2</v>
      </c>
      <c r="G19" s="874">
        <v>20630.960050958605</v>
      </c>
      <c r="H19" s="875">
        <f>G19/$G$20</f>
        <v>7.8389094342670745E-2</v>
      </c>
      <c r="I19" s="608"/>
      <c r="J19" s="116">
        <f>'TUoS (t)'!BM135</f>
        <v>18321.787873000001</v>
      </c>
      <c r="K19" s="608">
        <f>J19/$J$20</f>
        <v>6.7470004285889978E-2</v>
      </c>
      <c r="M19" s="875">
        <f t="shared" si="3"/>
        <v>7.2960783095628923E-2</v>
      </c>
      <c r="N19" s="608">
        <f t="shared" si="4"/>
        <v>-7.6495662552292787E-2</v>
      </c>
      <c r="P19" s="117">
        <f>J19-D19</f>
        <v>-784.30079364770063</v>
      </c>
      <c r="Q19" s="608">
        <f t="shared" si="5"/>
        <v>-4.1049782994925864E-2</v>
      </c>
      <c r="R19" s="608"/>
      <c r="S19" s="623"/>
      <c r="T19" s="623"/>
      <c r="U19" s="623"/>
      <c r="V19" s="623"/>
      <c r="W19" s="623"/>
      <c r="X19" s="623"/>
    </row>
    <row r="20" spans="3:24" ht="13.5" thickBot="1" x14ac:dyDescent="0.25">
      <c r="C20" s="36" t="s">
        <v>212</v>
      </c>
      <c r="D20" s="799">
        <f>SUM(D15:D19)</f>
        <v>261517.03919484772</v>
      </c>
      <c r="E20" s="800">
        <f>SUM(E15:E19)</f>
        <v>0.99999999999999989</v>
      </c>
      <c r="F20" s="36"/>
      <c r="G20" s="876">
        <f>SUM(G15:G19)</f>
        <v>263186.61063709005</v>
      </c>
      <c r="H20" s="877">
        <f>SUM(H15:H19)</f>
        <v>1</v>
      </c>
      <c r="I20" s="608"/>
      <c r="J20" s="799">
        <f>SUM(J15:J19)</f>
        <v>271554.56809170003</v>
      </c>
      <c r="K20" s="800">
        <f>SUM(K15:K19)</f>
        <v>1</v>
      </c>
      <c r="M20" s="877">
        <f t="shared" si="3"/>
        <v>0</v>
      </c>
      <c r="N20" s="800">
        <f t="shared" si="4"/>
        <v>0</v>
      </c>
      <c r="P20" s="799">
        <f>SUM(P15:P19)</f>
        <v>10037.528896852305</v>
      </c>
      <c r="Q20" s="800">
        <f t="shared" si="5"/>
        <v>3.8381930782619769E-2</v>
      </c>
      <c r="R20" s="808"/>
      <c r="S20" s="623"/>
      <c r="T20" s="623"/>
      <c r="U20" s="623"/>
      <c r="V20" s="623"/>
      <c r="W20" s="623"/>
      <c r="X20" s="623"/>
    </row>
    <row r="21" spans="3:24" x14ac:dyDescent="0.2">
      <c r="G21" s="878"/>
      <c r="H21" s="878"/>
      <c r="I21" s="608"/>
      <c r="M21" s="878"/>
    </row>
    <row r="22" spans="3:24" x14ac:dyDescent="0.2">
      <c r="C22" s="36" t="s">
        <v>650</v>
      </c>
      <c r="D22" s="611" t="s">
        <v>187</v>
      </c>
      <c r="E22" s="611" t="s">
        <v>653</v>
      </c>
      <c r="F22" s="611"/>
      <c r="G22" s="873" t="s">
        <v>187</v>
      </c>
      <c r="H22" s="873" t="s">
        <v>653</v>
      </c>
      <c r="I22" s="611"/>
      <c r="J22" s="611" t="s">
        <v>187</v>
      </c>
      <c r="K22" s="611" t="s">
        <v>653</v>
      </c>
      <c r="M22" s="896"/>
      <c r="N22" s="612"/>
      <c r="P22" s="611" t="s">
        <v>648</v>
      </c>
      <c r="Q22" s="611" t="s">
        <v>649</v>
      </c>
      <c r="R22" s="611"/>
      <c r="S22" s="622" t="s">
        <v>509</v>
      </c>
      <c r="T22" s="610"/>
      <c r="U22" s="610"/>
      <c r="V22" s="610"/>
      <c r="W22" s="610"/>
      <c r="X22" s="610"/>
    </row>
    <row r="23" spans="3:24" x14ac:dyDescent="0.2">
      <c r="C23" s="3" t="s">
        <v>361</v>
      </c>
      <c r="D23" s="806">
        <f>'[15]JSO (t)'!BM128</f>
        <v>51420.056017999996</v>
      </c>
      <c r="E23" s="608">
        <f>D23/$D$28</f>
        <v>0.63443609209692287</v>
      </c>
      <c r="G23" s="874">
        <v>51061.499999999993</v>
      </c>
      <c r="H23" s="875">
        <f>G23/$G$28</f>
        <v>0.63</v>
      </c>
      <c r="I23" s="608"/>
      <c r="J23" s="116">
        <f>'JSO (t)'!BM131</f>
        <v>50286.426122499994</v>
      </c>
      <c r="K23" s="608">
        <f>J23/$J$28</f>
        <v>0.63534757805275233</v>
      </c>
      <c r="M23" s="875">
        <f t="shared" ref="M23:M28" si="6">H23/E23-1</f>
        <v>-6.9921811703064218E-3</v>
      </c>
      <c r="N23" s="608">
        <f t="shared" ref="N23:N28" si="7">K23/E23-1</f>
        <v>1.4366867950668105E-3</v>
      </c>
      <c r="P23" s="117">
        <f>J23-D23</f>
        <v>-1133.629895500002</v>
      </c>
      <c r="Q23" s="608">
        <f t="shared" ref="Q23:Q28" si="8">P23/D23</f>
        <v>-2.2046453918742638E-2</v>
      </c>
      <c r="R23" s="608"/>
      <c r="S23" s="623"/>
      <c r="T23" s="623"/>
      <c r="U23" s="623"/>
      <c r="V23" s="623"/>
      <c r="W23" s="623"/>
      <c r="X23" s="623"/>
    </row>
    <row r="24" spans="3:24" x14ac:dyDescent="0.2">
      <c r="C24" s="3" t="s">
        <v>362</v>
      </c>
      <c r="D24" s="806">
        <f>'[15]JSO (t)'!BM129</f>
        <v>11234.329313999999</v>
      </c>
      <c r="E24" s="608">
        <f>D24/$D$28</f>
        <v>0.13861252863686183</v>
      </c>
      <c r="G24" s="874">
        <v>11510.838693794207</v>
      </c>
      <c r="H24" s="875">
        <f>G24/$G$28</f>
        <v>0.14202145211343872</v>
      </c>
      <c r="I24" s="608"/>
      <c r="J24" s="116">
        <f>'JSO (t)'!BM132</f>
        <v>10988.495668500002</v>
      </c>
      <c r="K24" s="608">
        <f>J24/$J$28</f>
        <v>0.13883496298618148</v>
      </c>
      <c r="M24" s="875">
        <f t="shared" si="6"/>
        <v>2.4593184397549095E-2</v>
      </c>
      <c r="N24" s="608">
        <f t="shared" si="7"/>
        <v>1.6047203777833641E-3</v>
      </c>
      <c r="P24" s="117">
        <f>J24-D24</f>
        <v>-245.83364549999715</v>
      </c>
      <c r="Q24" s="608">
        <f t="shared" si="8"/>
        <v>-2.1882360631323504E-2</v>
      </c>
      <c r="R24" s="608"/>
      <c r="S24" s="623"/>
      <c r="T24" s="623"/>
      <c r="U24" s="623"/>
      <c r="V24" s="623"/>
      <c r="W24" s="623"/>
      <c r="X24" s="623"/>
    </row>
    <row r="25" spans="3:24" x14ac:dyDescent="0.2">
      <c r="C25" s="3" t="s">
        <v>363</v>
      </c>
      <c r="D25" s="806">
        <f>'[15]JSO (t)'!BM130</f>
        <v>14661.184659999997</v>
      </c>
      <c r="E25" s="608">
        <f>D25/$D$28</f>
        <v>0.18089409894741573</v>
      </c>
      <c r="G25" s="874">
        <v>14802.364470621989</v>
      </c>
      <c r="H25" s="875">
        <f>G25/$G$28</f>
        <v>0.18263250426430588</v>
      </c>
      <c r="I25" s="608"/>
      <c r="J25" s="116">
        <f>'JSO (t)'!BM133</f>
        <v>14234.395899999998</v>
      </c>
      <c r="K25" s="608">
        <f>J25/$J$28</f>
        <v>0.17984553004578116</v>
      </c>
      <c r="M25" s="875">
        <f t="shared" si="6"/>
        <v>9.6100720090128711E-3</v>
      </c>
      <c r="N25" s="608">
        <f t="shared" si="7"/>
        <v>-5.7965898707363905E-3</v>
      </c>
      <c r="P25" s="117">
        <f>J25-D25</f>
        <v>-426.78875999999946</v>
      </c>
      <c r="Q25" s="608">
        <f t="shared" si="8"/>
        <v>-2.9110114216377349E-2</v>
      </c>
      <c r="R25" s="608"/>
      <c r="S25" s="623"/>
      <c r="T25" s="623"/>
      <c r="U25" s="623"/>
      <c r="V25" s="623"/>
      <c r="W25" s="623"/>
      <c r="X25" s="623"/>
    </row>
    <row r="26" spans="3:24" x14ac:dyDescent="0.2">
      <c r="C26" s="3" t="s">
        <v>364</v>
      </c>
      <c r="D26" s="806">
        <f>'[15]JSO (t)'!BM131</f>
        <v>2658.1200000000003</v>
      </c>
      <c r="E26" s="608">
        <f>D26/$D$28</f>
        <v>3.2796682767796535E-2</v>
      </c>
      <c r="G26" s="874">
        <v>2665.8367683961737</v>
      </c>
      <c r="H26" s="875">
        <f>G26/$G$28</f>
        <v>3.2891261793907146E-2</v>
      </c>
      <c r="I26" s="608"/>
      <c r="J26" s="116">
        <f>'JSO (t)'!BM134</f>
        <v>2575.1488000000004</v>
      </c>
      <c r="K26" s="608">
        <f>J26/$J$28</f>
        <v>3.2535908382508694E-2</v>
      </c>
      <c r="M26" s="875">
        <f t="shared" si="6"/>
        <v>2.8837985469518657E-3</v>
      </c>
      <c r="N26" s="608">
        <f t="shared" si="7"/>
        <v>-7.9512427258009444E-3</v>
      </c>
      <c r="P26" s="117">
        <f>J26-D26</f>
        <v>-82.971199999999953</v>
      </c>
      <c r="Q26" s="608">
        <f t="shared" si="8"/>
        <v>-3.1214241644470505E-2</v>
      </c>
      <c r="R26" s="608"/>
      <c r="S26" s="623"/>
      <c r="T26" s="623"/>
      <c r="U26" s="623"/>
      <c r="V26" s="623"/>
      <c r="W26" s="623"/>
      <c r="X26" s="623"/>
    </row>
    <row r="27" spans="3:24" x14ac:dyDescent="0.2">
      <c r="C27" s="3" t="s">
        <v>113</v>
      </c>
      <c r="D27" s="806">
        <f>'[15]JSO (t)'!BM132</f>
        <v>1074.7507548807</v>
      </c>
      <c r="E27" s="608">
        <f>D27/$D$28</f>
        <v>1.3260597551003027E-2</v>
      </c>
      <c r="G27" s="874">
        <v>1009.4600671876249</v>
      </c>
      <c r="H27" s="875">
        <f>G27/$G$28</f>
        <v>1.2454781828348242E-2</v>
      </c>
      <c r="I27" s="608"/>
      <c r="J27" s="116">
        <f>'JSO (t)'!BM135</f>
        <v>1063.4328</v>
      </c>
      <c r="K27" s="608">
        <f>J27/$J$28</f>
        <v>1.3436020532776472E-2</v>
      </c>
      <c r="M27" s="875">
        <f t="shared" si="6"/>
        <v>-6.0767678044330142E-2</v>
      </c>
      <c r="N27" s="608">
        <f t="shared" si="7"/>
        <v>1.3228889655894527E-2</v>
      </c>
      <c r="P27" s="117">
        <f>J27-D27</f>
        <v>-11.317954880699972</v>
      </c>
      <c r="Q27" s="608">
        <f t="shared" si="8"/>
        <v>-1.0530771743404166E-2</v>
      </c>
      <c r="R27" s="608"/>
      <c r="S27" s="623"/>
      <c r="T27" s="623"/>
      <c r="U27" s="623"/>
      <c r="V27" s="623"/>
      <c r="W27" s="623"/>
      <c r="X27" s="623"/>
    </row>
    <row r="28" spans="3:24" ht="13.5" thickBot="1" x14ac:dyDescent="0.25">
      <c r="C28" s="36" t="s">
        <v>212</v>
      </c>
      <c r="D28" s="799">
        <f>SUM(D23:D27)</f>
        <v>81048.440746880689</v>
      </c>
      <c r="E28" s="800">
        <f>SUM(E23:E27)</f>
        <v>1</v>
      </c>
      <c r="F28" s="36"/>
      <c r="G28" s="876">
        <f>SUM(G23:G27)</f>
        <v>81049.999999999985</v>
      </c>
      <c r="H28" s="877">
        <f>SUM(H23:H27)</f>
        <v>1</v>
      </c>
      <c r="I28" s="608"/>
      <c r="J28" s="799">
        <f>SUM(J23:J27)</f>
        <v>79147.89929099998</v>
      </c>
      <c r="K28" s="800">
        <f>SUM(K23:K27)</f>
        <v>1</v>
      </c>
      <c r="M28" s="877">
        <f t="shared" si="6"/>
        <v>0</v>
      </c>
      <c r="N28" s="800">
        <f t="shared" si="7"/>
        <v>0</v>
      </c>
      <c r="P28" s="799">
        <f>SUM(P23:P27)</f>
        <v>-1900.5414558806985</v>
      </c>
      <c r="Q28" s="800">
        <f t="shared" si="8"/>
        <v>-2.3449451196923175E-2</v>
      </c>
      <c r="R28" s="808"/>
      <c r="S28" s="623"/>
      <c r="T28" s="623"/>
      <c r="U28" s="623"/>
      <c r="V28" s="623"/>
      <c r="W28" s="623"/>
      <c r="X28" s="623"/>
    </row>
    <row r="29" spans="3:24" x14ac:dyDescent="0.2">
      <c r="G29" s="878"/>
      <c r="H29" s="878"/>
      <c r="I29" s="608"/>
      <c r="M29" s="878"/>
    </row>
    <row r="30" spans="3:24" x14ac:dyDescent="0.2">
      <c r="C30" s="36" t="s">
        <v>285</v>
      </c>
      <c r="D30" s="611" t="s">
        <v>187</v>
      </c>
      <c r="E30" s="611" t="s">
        <v>653</v>
      </c>
      <c r="F30" s="611"/>
      <c r="G30" s="873" t="s">
        <v>187</v>
      </c>
      <c r="H30" s="873" t="s">
        <v>653</v>
      </c>
      <c r="I30" s="611"/>
      <c r="J30" s="611" t="s">
        <v>187</v>
      </c>
      <c r="K30" s="611" t="s">
        <v>653</v>
      </c>
      <c r="M30" s="896"/>
      <c r="N30" s="612"/>
      <c r="P30" s="611" t="s">
        <v>648</v>
      </c>
      <c r="Q30" s="611" t="s">
        <v>649</v>
      </c>
      <c r="R30" s="611"/>
      <c r="S30" s="622" t="s">
        <v>509</v>
      </c>
      <c r="T30" s="610"/>
      <c r="U30" s="610"/>
      <c r="V30" s="610"/>
      <c r="W30" s="610"/>
      <c r="X30" s="610"/>
    </row>
    <row r="31" spans="3:24" x14ac:dyDescent="0.2">
      <c r="C31" s="3" t="s">
        <v>361</v>
      </c>
      <c r="D31" s="806">
        <f>SUM(D7,D15,D23)</f>
        <v>604377.11020400003</v>
      </c>
      <c r="E31" s="608">
        <f>D31/$D$36</f>
        <v>0.52500006696861123</v>
      </c>
      <c r="G31" s="874">
        <v>606333.25791919604</v>
      </c>
      <c r="H31" s="875">
        <f>G31/$G$36</f>
        <v>0.52592254343338352</v>
      </c>
      <c r="I31" s="608"/>
      <c r="J31" s="116">
        <f>'NUoS (t)'!BM131</f>
        <v>607959.30160999997</v>
      </c>
      <c r="K31" s="608">
        <f>J31/$J$36</f>
        <v>0.53217535067776611</v>
      </c>
      <c r="M31" s="875">
        <f t="shared" ref="M31:M36" si="9">H31/E31-1</f>
        <v>1.7570978040035712E-3</v>
      </c>
      <c r="N31" s="608">
        <f t="shared" ref="N31:N36" si="10">K31/E31-1</f>
        <v>1.3667205321678422E-2</v>
      </c>
      <c r="P31" s="117">
        <f>J31-D31</f>
        <v>3582.1914059999399</v>
      </c>
      <c r="Q31" s="608">
        <f t="shared" ref="Q31:Q36" si="11">P31/D31</f>
        <v>5.9270798736749232E-3</v>
      </c>
      <c r="R31" s="608"/>
      <c r="S31" s="623"/>
      <c r="T31" s="623"/>
      <c r="U31" s="623"/>
      <c r="V31" s="623"/>
      <c r="W31" s="623"/>
      <c r="X31" s="623"/>
    </row>
    <row r="32" spans="3:24" x14ac:dyDescent="0.2">
      <c r="C32" s="3" t="s">
        <v>362</v>
      </c>
      <c r="D32" s="806">
        <f>SUM(D8,D16,D24)</f>
        <v>196502.02866440004</v>
      </c>
      <c r="E32" s="608">
        <f>D32/$D$36</f>
        <v>0.17069405254850967</v>
      </c>
      <c r="G32" s="874">
        <v>196518.50994681692</v>
      </c>
      <c r="H32" s="875">
        <f>G32/$G$36</f>
        <v>0.1704566147957238</v>
      </c>
      <c r="I32" s="608"/>
      <c r="J32" s="116">
        <f>'NUoS (t)'!BM132</f>
        <v>193478.89717619997</v>
      </c>
      <c r="K32" s="608">
        <f>J32/$J$36</f>
        <v>0.16936117217192037</v>
      </c>
      <c r="M32" s="875">
        <f t="shared" si="9"/>
        <v>-1.3910136249087879E-3</v>
      </c>
      <c r="N32" s="608">
        <f t="shared" si="10"/>
        <v>-7.8085929573351587E-3</v>
      </c>
      <c r="P32" s="117">
        <f>J32-D32</f>
        <v>-3023.1314882000734</v>
      </c>
      <c r="Q32" s="608">
        <f t="shared" si="11"/>
        <v>-1.538473423784947E-2</v>
      </c>
      <c r="R32" s="608"/>
      <c r="S32" s="623"/>
      <c r="T32" s="623"/>
      <c r="U32" s="623"/>
      <c r="V32" s="623"/>
      <c r="W32" s="623"/>
      <c r="X32" s="623"/>
    </row>
    <row r="33" spans="1:24" x14ac:dyDescent="0.2">
      <c r="C33" s="3" t="s">
        <v>363</v>
      </c>
      <c r="D33" s="806">
        <f>SUM(D9,D17,D25)</f>
        <v>266535.83535539999</v>
      </c>
      <c r="E33" s="608">
        <f>D33/$D$36</f>
        <v>0.23152983302740843</v>
      </c>
      <c r="G33" s="874">
        <v>265551.55284522148</v>
      </c>
      <c r="H33" s="875">
        <f>G33/$G$36</f>
        <v>0.23033463241703853</v>
      </c>
      <c r="I33" s="608"/>
      <c r="J33" s="116">
        <f>'NUoS (t)'!BM133</f>
        <v>259064.99294550007</v>
      </c>
      <c r="K33" s="608">
        <f>J33/$J$36</f>
        <v>0.22677176433356966</v>
      </c>
      <c r="M33" s="875">
        <f t="shared" si="9"/>
        <v>-5.1621883657144707E-3</v>
      </c>
      <c r="N33" s="608">
        <f t="shared" si="10"/>
        <v>-2.0550564182696518E-2</v>
      </c>
      <c r="P33" s="117">
        <f>J33-D33</f>
        <v>-7470.842409899924</v>
      </c>
      <c r="Q33" s="608">
        <f t="shared" si="11"/>
        <v>-2.8029410754235998E-2</v>
      </c>
      <c r="R33" s="608"/>
      <c r="S33" s="623"/>
      <c r="T33" s="623"/>
      <c r="U33" s="623"/>
      <c r="V33" s="623"/>
      <c r="W33" s="623"/>
      <c r="X33" s="623"/>
    </row>
    <row r="34" spans="1:24" x14ac:dyDescent="0.2">
      <c r="C34" s="3" t="s">
        <v>364</v>
      </c>
      <c r="D34" s="806">
        <f>SUM(D10,D18,D26)</f>
        <v>51183.243633699989</v>
      </c>
      <c r="E34" s="608">
        <f>D34/$D$36</f>
        <v>4.4460992783616829E-2</v>
      </c>
      <c r="G34" s="874">
        <v>50460.632763464062</v>
      </c>
      <c r="H34" s="875">
        <f>G34/$G$36</f>
        <v>4.37686436948765E-2</v>
      </c>
      <c r="I34" s="608"/>
      <c r="J34" s="116">
        <f>'NUoS (t)'!BM134</f>
        <v>50046.449265999996</v>
      </c>
      <c r="K34" s="608">
        <f>J34/$J$36</f>
        <v>4.3808009216701985E-2</v>
      </c>
      <c r="M34" s="875">
        <f t="shared" si="9"/>
        <v>-1.557205643404902E-2</v>
      </c>
      <c r="N34" s="608">
        <f t="shared" si="10"/>
        <v>-1.4686661858694716E-2</v>
      </c>
      <c r="P34" s="117">
        <f>J34-D34</f>
        <v>-1136.794367699993</v>
      </c>
      <c r="Q34" s="608">
        <f t="shared" si="11"/>
        <v>-2.221028381545375E-2</v>
      </c>
      <c r="R34" s="608"/>
      <c r="S34" s="623"/>
      <c r="T34" s="623"/>
      <c r="U34" s="623"/>
      <c r="V34" s="623"/>
      <c r="W34" s="623"/>
      <c r="X34" s="623"/>
    </row>
    <row r="35" spans="1:24" x14ac:dyDescent="0.2">
      <c r="C35" s="3" t="s">
        <v>113</v>
      </c>
      <c r="D35" s="806">
        <f>SUM(D11,D19,D27)</f>
        <v>32596.130923668003</v>
      </c>
      <c r="E35" s="608">
        <f>D35/$D$36</f>
        <v>2.8315054671853884E-2</v>
      </c>
      <c r="G35" s="874">
        <v>34030.641917365538</v>
      </c>
      <c r="H35" s="875">
        <f>G35/$G$36</f>
        <v>2.9517565658977486E-2</v>
      </c>
      <c r="I35" s="608"/>
      <c r="J35" s="116">
        <f>'NUoS (t)'!BM135</f>
        <v>31854.457267500002</v>
      </c>
      <c r="K35" s="608">
        <f>J35/$J$36</f>
        <v>2.7883703600041922E-2</v>
      </c>
      <c r="M35" s="875">
        <f t="shared" si="9"/>
        <v>4.2468962220261419E-2</v>
      </c>
      <c r="N35" s="608">
        <f t="shared" si="10"/>
        <v>-1.5233983363653558E-2</v>
      </c>
      <c r="P35" s="117">
        <f>J35-D35</f>
        <v>-741.67365616800089</v>
      </c>
      <c r="Q35" s="608">
        <f t="shared" si="11"/>
        <v>-2.2753426101546081E-2</v>
      </c>
      <c r="R35" s="608"/>
      <c r="S35" s="623"/>
      <c r="T35" s="623"/>
      <c r="U35" s="623"/>
      <c r="V35" s="623"/>
      <c r="W35" s="623"/>
      <c r="X35" s="623"/>
    </row>
    <row r="36" spans="1:24" ht="13.5" thickBot="1" x14ac:dyDescent="0.25">
      <c r="C36" s="36" t="s">
        <v>212</v>
      </c>
      <c r="D36" s="799">
        <f>SUM(D31:D35)</f>
        <v>1151194.348781168</v>
      </c>
      <c r="E36" s="800">
        <f>SUM(E31:E35)</f>
        <v>1</v>
      </c>
      <c r="F36" s="36"/>
      <c r="G36" s="876">
        <f>SUM(G31:G35)</f>
        <v>1152894.5953920642</v>
      </c>
      <c r="H36" s="877">
        <f>SUM(H31:H35)</f>
        <v>0.99999999999999989</v>
      </c>
      <c r="I36" s="608"/>
      <c r="J36" s="799">
        <f>SUM(J31:J35)</f>
        <v>1142404.0982651999</v>
      </c>
      <c r="K36" s="800">
        <f>SUM(K31:K35)</f>
        <v>1.0000000000000002</v>
      </c>
      <c r="M36" s="877">
        <f t="shared" si="9"/>
        <v>0</v>
      </c>
      <c r="N36" s="800">
        <f t="shared" si="10"/>
        <v>0</v>
      </c>
      <c r="P36" s="799">
        <f>SUM(P31:P35)</f>
        <v>-8790.2505159680513</v>
      </c>
      <c r="Q36" s="800">
        <f t="shared" si="11"/>
        <v>-7.6357658680958323E-3</v>
      </c>
      <c r="R36" s="808"/>
      <c r="S36" s="623"/>
      <c r="T36" s="623"/>
      <c r="U36" s="623"/>
      <c r="V36" s="623"/>
      <c r="W36" s="623"/>
      <c r="X36" s="623"/>
    </row>
    <row r="37" spans="1:24" x14ac:dyDescent="0.2">
      <c r="J37" s="21"/>
      <c r="K37" s="21"/>
      <c r="M37" s="21"/>
      <c r="N37" s="21"/>
    </row>
    <row r="39" spans="1:24" s="592" customFormat="1" ht="15" x14ac:dyDescent="0.25">
      <c r="A39" s="614" t="s">
        <v>492</v>
      </c>
      <c r="B39" s="618"/>
    </row>
    <row r="41" spans="1:24" s="624" customFormat="1" ht="15" x14ac:dyDescent="0.25">
      <c r="B41" s="625" t="s">
        <v>361</v>
      </c>
    </row>
    <row r="42" spans="1:24" ht="12.75" customHeight="1" x14ac:dyDescent="0.25">
      <c r="B42" s="619"/>
    </row>
    <row r="43" spans="1:24" ht="12.75" customHeight="1" x14ac:dyDescent="0.25">
      <c r="C43" s="3" t="s">
        <v>715</v>
      </c>
      <c r="G43" s="605" cm="1">
        <f t="array" ref="G43">'[15]NUoS (t)'!$G$18*[15]!Days_Year</f>
        <v>170.017</v>
      </c>
    </row>
    <row r="44" spans="1:24" ht="12.75" customHeight="1" x14ac:dyDescent="0.2">
      <c r="C44" s="3" t="s">
        <v>495</v>
      </c>
      <c r="G44" s="607">
        <f>'NUoS (t)'!H18</f>
        <v>0.1346</v>
      </c>
    </row>
    <row r="45" spans="1:24" ht="12.75" customHeight="1" x14ac:dyDescent="0.2">
      <c r="C45" s="3" t="s">
        <v>496</v>
      </c>
      <c r="G45" s="607">
        <f>'DUoS (t)'!H18</f>
        <v>8.7900000000000006E-2</v>
      </c>
      <c r="L45" s="606"/>
      <c r="M45" s="606"/>
    </row>
    <row r="46" spans="1:24" ht="12.75" customHeight="1" x14ac:dyDescent="0.2"/>
    <row r="47" spans="1:24" s="610" customFormat="1" ht="25.5" x14ac:dyDescent="0.2">
      <c r="G47" s="611" t="s">
        <v>487</v>
      </c>
      <c r="H47" s="612" t="s">
        <v>491</v>
      </c>
      <c r="I47" s="612"/>
      <c r="J47" s="611" t="s">
        <v>486</v>
      </c>
      <c r="K47" s="611"/>
      <c r="L47" s="622" t="s">
        <v>509</v>
      </c>
      <c r="M47" s="622"/>
    </row>
    <row r="48" spans="1:24" x14ac:dyDescent="0.2">
      <c r="B48" s="21" t="s">
        <v>419</v>
      </c>
      <c r="C48" s="3" t="s">
        <v>478</v>
      </c>
      <c r="G48" s="609">
        <f>'Pricing Scheule (t)'!E13*Days_Year</f>
        <v>180.018</v>
      </c>
      <c r="H48" s="606">
        <f>ROUND(G48-G43,0)</f>
        <v>10</v>
      </c>
      <c r="I48" s="606"/>
      <c r="J48" s="21" t="str">
        <f>IF(H48=10,"OK","ERROR")</f>
        <v>OK</v>
      </c>
      <c r="K48" s="21"/>
      <c r="L48" s="623"/>
      <c r="M48" s="623"/>
      <c r="N48" s="623"/>
      <c r="O48" s="623"/>
      <c r="P48" s="623"/>
      <c r="Q48" s="623"/>
      <c r="R48" s="623"/>
      <c r="S48" s="623"/>
      <c r="T48" s="623"/>
    </row>
    <row r="49" spans="2:20" x14ac:dyDescent="0.2">
      <c r="B49" s="21" t="s">
        <v>473</v>
      </c>
      <c r="C49" s="3" t="s">
        <v>488</v>
      </c>
      <c r="G49" s="607">
        <f>'Pricing Scheule (t)'!G15</f>
        <v>0.16850000000000001</v>
      </c>
      <c r="H49" s="608">
        <f t="shared" ref="H49:H54" si="12">ROUND(G49/$G$44,2)</f>
        <v>1.25</v>
      </c>
      <c r="I49" s="608"/>
      <c r="J49" s="21" t="str">
        <f>IF(H49=125%,"OK","ERROR")</f>
        <v>OK</v>
      </c>
      <c r="K49" s="21"/>
      <c r="L49" s="623"/>
      <c r="M49" s="623"/>
      <c r="N49" s="623"/>
      <c r="O49" s="623"/>
      <c r="P49" s="623"/>
      <c r="Q49" s="623"/>
      <c r="R49" s="623"/>
      <c r="S49" s="623"/>
      <c r="T49" s="623"/>
    </row>
    <row r="50" spans="2:20" x14ac:dyDescent="0.2">
      <c r="B50" s="21" t="s">
        <v>474</v>
      </c>
      <c r="C50" s="3" t="s">
        <v>479</v>
      </c>
      <c r="G50" s="607">
        <f>G49</f>
        <v>0.16850000000000001</v>
      </c>
      <c r="H50" s="608">
        <f t="shared" si="12"/>
        <v>1.25</v>
      </c>
      <c r="I50" s="608"/>
      <c r="J50" s="21" t="str">
        <f>IF(H50=125%,"OK","ERROR")</f>
        <v>OK</v>
      </c>
      <c r="K50" s="21"/>
      <c r="L50" s="623"/>
      <c r="M50" s="623"/>
      <c r="N50" s="623"/>
      <c r="O50" s="623"/>
      <c r="P50" s="623"/>
      <c r="Q50" s="623"/>
      <c r="R50" s="623"/>
      <c r="S50" s="623"/>
      <c r="T50" s="623"/>
    </row>
    <row r="51" spans="2:20" x14ac:dyDescent="0.2">
      <c r="B51" s="21" t="s">
        <v>475</v>
      </c>
      <c r="C51" s="3" t="s">
        <v>482</v>
      </c>
      <c r="G51" s="607">
        <f>'Pricing Scheule (t)'!H15</f>
        <v>6.7499999999999991E-2</v>
      </c>
      <c r="H51" s="608">
        <f t="shared" si="12"/>
        <v>0.5</v>
      </c>
      <c r="I51" s="608"/>
      <c r="J51" s="21" t="str">
        <f>IF(H51=50%,"OK","ERROR")</f>
        <v>OK</v>
      </c>
      <c r="K51" s="21"/>
      <c r="L51" s="623"/>
      <c r="M51" s="623"/>
      <c r="N51" s="623"/>
      <c r="O51" s="623"/>
      <c r="P51" s="623"/>
      <c r="Q51" s="623"/>
      <c r="R51" s="623"/>
      <c r="S51" s="623"/>
      <c r="T51" s="623"/>
    </row>
    <row r="52" spans="2:20" x14ac:dyDescent="0.2">
      <c r="B52" s="21" t="s">
        <v>476</v>
      </c>
      <c r="C52" s="3" t="s">
        <v>483</v>
      </c>
      <c r="G52" s="607">
        <f>G51</f>
        <v>6.7499999999999991E-2</v>
      </c>
      <c r="H52" s="608">
        <f t="shared" si="12"/>
        <v>0.5</v>
      </c>
      <c r="I52" s="608"/>
      <c r="J52" s="21" t="str">
        <f>IF(H52=50%,"OK","ERROR")</f>
        <v>OK</v>
      </c>
      <c r="K52" s="21"/>
      <c r="L52" s="623"/>
      <c r="M52" s="623"/>
      <c r="N52" s="623"/>
      <c r="O52" s="623"/>
      <c r="P52" s="623"/>
      <c r="Q52" s="623"/>
      <c r="R52" s="623"/>
      <c r="S52" s="623"/>
      <c r="T52" s="623"/>
    </row>
    <row r="53" spans="2:20" x14ac:dyDescent="0.2">
      <c r="B53" s="21" t="s">
        <v>477</v>
      </c>
      <c r="C53" s="3" t="s">
        <v>484</v>
      </c>
      <c r="G53" s="607">
        <f>'Pricing Scheule (t)'!I15</f>
        <v>3.3699999999999994E-2</v>
      </c>
      <c r="H53" s="608">
        <f t="shared" si="12"/>
        <v>0.25</v>
      </c>
      <c r="I53" s="608"/>
      <c r="J53" s="21" t="str">
        <f>IF(H53=25%,"OK","ERROR")</f>
        <v>OK</v>
      </c>
      <c r="K53" s="21"/>
      <c r="L53" s="623"/>
      <c r="M53" s="623"/>
      <c r="N53" s="623"/>
      <c r="O53" s="623"/>
      <c r="P53" s="623"/>
      <c r="Q53" s="623"/>
      <c r="R53" s="623"/>
      <c r="S53" s="623"/>
      <c r="T53" s="623"/>
    </row>
    <row r="54" spans="2:20" x14ac:dyDescent="0.2">
      <c r="B54" s="21" t="s">
        <v>480</v>
      </c>
      <c r="C54" s="3" t="s">
        <v>485</v>
      </c>
      <c r="G54" s="607">
        <f>G53</f>
        <v>3.3699999999999994E-2</v>
      </c>
      <c r="H54" s="608">
        <f t="shared" si="12"/>
        <v>0.25</v>
      </c>
      <c r="I54" s="608"/>
      <c r="J54" s="21" t="str">
        <f>IF(H54=25%,"OK","ERROR")</f>
        <v>OK</v>
      </c>
      <c r="K54" s="21"/>
      <c r="L54" s="623"/>
      <c r="M54" s="623"/>
      <c r="N54" s="623"/>
      <c r="O54" s="623"/>
      <c r="P54" s="623"/>
      <c r="Q54" s="623"/>
      <c r="R54" s="623"/>
      <c r="S54" s="623"/>
      <c r="T54" s="623"/>
    </row>
    <row r="55" spans="2:20" x14ac:dyDescent="0.2">
      <c r="B55" s="21" t="s">
        <v>481</v>
      </c>
      <c r="C55" s="3" t="s">
        <v>489</v>
      </c>
      <c r="G55" s="607">
        <f>'Pricing Scheule (t)'!G16</f>
        <v>0.1009</v>
      </c>
      <c r="H55" s="608">
        <f>ROUND(G55/$G$50,2)</f>
        <v>0.6</v>
      </c>
      <c r="I55" s="608"/>
      <c r="J55" s="21" t="str">
        <f>IF(H55=60%,"OK","ERROR")</f>
        <v>OK</v>
      </c>
      <c r="K55" s="21"/>
      <c r="L55" s="623"/>
      <c r="M55" s="623"/>
      <c r="N55" s="623"/>
      <c r="O55" s="623"/>
      <c r="P55" s="623"/>
      <c r="Q55" s="623"/>
      <c r="R55" s="623"/>
      <c r="S55" s="623"/>
      <c r="T55" s="623"/>
    </row>
    <row r="56" spans="2:20" ht="63.75" x14ac:dyDescent="0.2">
      <c r="B56" s="620" t="s">
        <v>490</v>
      </c>
      <c r="C56" s="613" t="s">
        <v>506</v>
      </c>
      <c r="D56" s="613"/>
      <c r="E56" s="613"/>
      <c r="F56" s="613"/>
      <c r="G56" s="615">
        <f>'Pricing Scheule (t)'!AI16*Days_Summer_Demand</f>
        <v>73.838999999999999</v>
      </c>
      <c r="H56" s="616">
        <f>ROUND((G45*840)-G56,0)</f>
        <v>0</v>
      </c>
      <c r="I56" s="616"/>
      <c r="J56" s="620" t="str">
        <f>IF(H56=0,"OK","ERROR")</f>
        <v>OK</v>
      </c>
      <c r="K56" s="620"/>
      <c r="L56" s="623"/>
      <c r="M56" s="623"/>
      <c r="N56" s="623"/>
      <c r="O56" s="623"/>
      <c r="P56" s="623"/>
      <c r="Q56" s="623"/>
      <c r="R56" s="623"/>
      <c r="S56" s="623"/>
      <c r="T56" s="623"/>
    </row>
    <row r="59" spans="2:20" s="624" customFormat="1" ht="15" x14ac:dyDescent="0.25">
      <c r="B59" s="625" t="s">
        <v>362</v>
      </c>
    </row>
    <row r="61" spans="2:20" ht="12.75" customHeight="1" x14ac:dyDescent="0.25">
      <c r="C61" s="3" t="s">
        <v>715</v>
      </c>
      <c r="G61" s="605" cm="1">
        <f t="array" ref="G61">'[15]NUoS (t)'!$G$31*[15]!Days_Year</f>
        <v>184.982</v>
      </c>
    </row>
    <row r="62" spans="2:20" ht="12.75" customHeight="1" x14ac:dyDescent="0.2">
      <c r="C62" s="3" t="s">
        <v>495</v>
      </c>
      <c r="G62" s="607">
        <f>'Pricing Scheule (t)'!F23</f>
        <v>0.15010000000000001</v>
      </c>
    </row>
    <row r="63" spans="2:20" ht="12.75" customHeight="1" x14ac:dyDescent="0.2">
      <c r="C63" s="3" t="s">
        <v>496</v>
      </c>
      <c r="G63" s="607">
        <f>'Pricing Scheule (t)'!Z23</f>
        <v>0.1016</v>
      </c>
      <c r="L63" s="606"/>
      <c r="M63" s="606"/>
    </row>
    <row r="64" spans="2:20" ht="12.75" customHeight="1" x14ac:dyDescent="0.2">
      <c r="C64" s="3" t="s">
        <v>508</v>
      </c>
      <c r="G64" s="607">
        <f>'Pricing Scheule (t)'!AT23</f>
        <v>0.04</v>
      </c>
      <c r="L64" s="606"/>
      <c r="M64" s="606"/>
    </row>
    <row r="65" spans="2:20" x14ac:dyDescent="0.2">
      <c r="H65" s="719"/>
      <c r="I65" s="719"/>
      <c r="J65" s="21"/>
      <c r="K65" s="21"/>
    </row>
    <row r="66" spans="2:20" ht="25.5" x14ac:dyDescent="0.2">
      <c r="G66" s="611" t="s">
        <v>487</v>
      </c>
      <c r="H66" s="612" t="s">
        <v>491</v>
      </c>
      <c r="I66" s="612"/>
      <c r="J66" s="611" t="s">
        <v>486</v>
      </c>
      <c r="K66" s="611"/>
      <c r="L66" s="622" t="s">
        <v>509</v>
      </c>
      <c r="M66" s="622"/>
    </row>
    <row r="67" spans="2:20" x14ac:dyDescent="0.2">
      <c r="B67" s="21" t="s">
        <v>419</v>
      </c>
      <c r="C67" s="3" t="s">
        <v>493</v>
      </c>
      <c r="G67" s="609">
        <f>'Pricing Scheule (t)'!E23*Days_Year</f>
        <v>204.98400000000001</v>
      </c>
      <c r="H67" s="606">
        <f>ROUND(G67-G61,0)</f>
        <v>20</v>
      </c>
      <c r="I67" s="606"/>
      <c r="J67" s="21" t="str">
        <f>IF(H67=20,"OK","ERROR")</f>
        <v>OK</v>
      </c>
      <c r="K67" s="21"/>
      <c r="L67" s="623"/>
      <c r="M67" s="623"/>
      <c r="N67" s="623"/>
      <c r="O67" s="623"/>
      <c r="P67" s="623"/>
      <c r="Q67" s="623"/>
      <c r="R67" s="623"/>
      <c r="S67" s="623"/>
      <c r="T67" s="623"/>
    </row>
    <row r="68" spans="2:20" x14ac:dyDescent="0.2">
      <c r="B68" s="21" t="s">
        <v>473</v>
      </c>
      <c r="C68" s="3" t="s">
        <v>494</v>
      </c>
      <c r="G68" s="607">
        <f>G62</f>
        <v>0.15010000000000001</v>
      </c>
      <c r="H68" s="631">
        <f>ROUND((G69*0.775)+(G70*0.225),4)</f>
        <v>0.1502</v>
      </c>
      <c r="I68" s="631"/>
      <c r="J68" s="21" t="str">
        <f>IF(ABS(H68/G68-1)&lt;0.002,"OK","ERROR")</f>
        <v>OK</v>
      </c>
      <c r="K68" s="21"/>
      <c r="L68" s="623"/>
      <c r="M68" s="623"/>
      <c r="N68" s="623"/>
      <c r="O68" s="623"/>
      <c r="P68" s="623"/>
      <c r="Q68" s="623"/>
      <c r="R68" s="623"/>
      <c r="S68" s="623"/>
      <c r="T68" s="623"/>
    </row>
    <row r="69" spans="2:20" x14ac:dyDescent="0.2">
      <c r="B69" s="21" t="s">
        <v>474</v>
      </c>
      <c r="C69" s="3" t="s">
        <v>497</v>
      </c>
      <c r="G69" s="607">
        <f>'Pricing Scheule (t)'!G24</f>
        <v>0.16930000000000001</v>
      </c>
      <c r="H69" s="608">
        <f>ROUND(G69/$G$62,3)</f>
        <v>1.1279999999999999</v>
      </c>
      <c r="I69" s="608"/>
      <c r="J69" s="21" t="str">
        <f>IF(ABS(H69/1.127-1)&lt;0.002,"OK","ERROR")</f>
        <v>OK</v>
      </c>
      <c r="K69" s="21"/>
      <c r="L69" s="623"/>
      <c r="M69" s="623"/>
      <c r="N69" s="623"/>
      <c r="O69" s="623"/>
      <c r="P69" s="623"/>
      <c r="Q69" s="623"/>
      <c r="R69" s="623"/>
      <c r="S69" s="623"/>
      <c r="T69" s="623"/>
    </row>
    <row r="70" spans="2:20" x14ac:dyDescent="0.2">
      <c r="B70" s="21" t="s">
        <v>475</v>
      </c>
      <c r="C70" s="3" t="s">
        <v>498</v>
      </c>
      <c r="G70" s="607">
        <f>'Pricing Scheule (t)'!I24</f>
        <v>8.4599999999999995E-2</v>
      </c>
      <c r="H70" s="608">
        <f>ROUND(G70/$G$69,3)</f>
        <v>0.5</v>
      </c>
      <c r="I70" s="608"/>
      <c r="J70" s="21" t="str">
        <f>IF(ABS(H70/0.5-1)&lt;0.0021,"OK","ERROR")</f>
        <v>OK</v>
      </c>
      <c r="K70" s="21"/>
      <c r="L70" s="623"/>
      <c r="M70" s="623"/>
      <c r="N70" s="623"/>
      <c r="O70" s="623"/>
      <c r="P70" s="623"/>
      <c r="Q70" s="623"/>
      <c r="R70" s="623"/>
      <c r="S70" s="623"/>
      <c r="T70" s="623"/>
    </row>
    <row r="71" spans="2:20" x14ac:dyDescent="0.2">
      <c r="B71" s="21" t="s">
        <v>476</v>
      </c>
      <c r="C71" s="3" t="s">
        <v>499</v>
      </c>
      <c r="G71" s="607">
        <f>G70</f>
        <v>8.4599999999999995E-2</v>
      </c>
      <c r="H71" s="608">
        <f>ROUND(G71/G62,3)</f>
        <v>0.56399999999999995</v>
      </c>
      <c r="I71" s="608"/>
      <c r="J71" s="21" t="str">
        <f>IF(ABS(H71/0.563-1)&lt;0.002,"OK","ERROR")</f>
        <v>OK</v>
      </c>
      <c r="K71" s="21"/>
      <c r="L71" s="623"/>
      <c r="M71" s="623"/>
      <c r="N71" s="623"/>
      <c r="O71" s="623"/>
      <c r="P71" s="623"/>
      <c r="Q71" s="623"/>
      <c r="R71" s="623"/>
      <c r="S71" s="623"/>
      <c r="T71" s="623"/>
    </row>
    <row r="72" spans="2:20" x14ac:dyDescent="0.2">
      <c r="B72" s="21" t="s">
        <v>477</v>
      </c>
      <c r="C72" s="3" t="s">
        <v>500</v>
      </c>
      <c r="G72" s="607">
        <f>'Pricing Scheule (t)'!G27</f>
        <v>0.22519999999999998</v>
      </c>
      <c r="H72" s="608">
        <f>ROUND(G72/G62,3)</f>
        <v>1.5</v>
      </c>
      <c r="I72" s="608"/>
      <c r="J72" s="21" t="str">
        <f>IF(ABS(H72/1.5-1)&lt;0.002,"OK","ERROR")</f>
        <v>OK</v>
      </c>
      <c r="K72" s="21"/>
      <c r="L72" s="623"/>
      <c r="M72" s="623"/>
      <c r="N72" s="623"/>
      <c r="O72" s="623"/>
      <c r="P72" s="623"/>
      <c r="Q72" s="623"/>
      <c r="R72" s="623"/>
      <c r="S72" s="623"/>
      <c r="T72" s="623"/>
    </row>
    <row r="73" spans="2:20" x14ac:dyDescent="0.2">
      <c r="B73" s="21" t="s">
        <v>480</v>
      </c>
      <c r="C73" s="3" t="s">
        <v>501</v>
      </c>
      <c r="G73" s="607">
        <f>'Pricing Scheule (t)'!H27</f>
        <v>0.15679999999999999</v>
      </c>
      <c r="H73" s="608">
        <f>ROUND(G73/G62,3)</f>
        <v>1.0449999999999999</v>
      </c>
      <c r="I73" s="608"/>
      <c r="J73" s="21" t="str">
        <f>IF(ABS(H73/1.044-1)&lt;0.002,"OK","ERROR")</f>
        <v>OK</v>
      </c>
      <c r="K73" s="21"/>
      <c r="L73" s="623"/>
      <c r="M73" s="623"/>
      <c r="N73" s="623"/>
      <c r="O73" s="623"/>
      <c r="P73" s="623"/>
      <c r="Q73" s="623"/>
      <c r="R73" s="623"/>
      <c r="S73" s="623"/>
      <c r="T73" s="623"/>
    </row>
    <row r="74" spans="2:20" x14ac:dyDescent="0.2">
      <c r="B74" s="21" t="s">
        <v>481</v>
      </c>
      <c r="C74" s="3" t="s">
        <v>502</v>
      </c>
      <c r="G74" s="607">
        <f>'Pricing Scheule (t)'!I27</f>
        <v>8.4599999999999995E-2</v>
      </c>
      <c r="H74" s="608">
        <f>ROUND(G74/G62,3)</f>
        <v>0.56399999999999995</v>
      </c>
      <c r="I74" s="608"/>
      <c r="J74" s="21" t="str">
        <f>IF(ABS(H74/0.564-1)&lt;0.002,"OK","ERROR")</f>
        <v>OK</v>
      </c>
      <c r="K74" s="21"/>
      <c r="L74" s="623"/>
      <c r="M74" s="623"/>
      <c r="N74" s="623"/>
      <c r="O74" s="623"/>
      <c r="P74" s="623"/>
      <c r="Q74" s="623"/>
      <c r="R74" s="623"/>
      <c r="S74" s="623"/>
      <c r="T74" s="623"/>
    </row>
    <row r="75" spans="2:20" x14ac:dyDescent="0.2">
      <c r="B75" s="620" t="s">
        <v>490</v>
      </c>
      <c r="C75" s="3" t="s">
        <v>605</v>
      </c>
      <c r="G75" s="607">
        <f>'Pricing Scheule (t)'!G28</f>
        <v>0.18019999999999997</v>
      </c>
      <c r="H75" s="608">
        <f>ROUND(G75/G72,3)</f>
        <v>0.8</v>
      </c>
      <c r="I75" s="608"/>
      <c r="J75" s="21" t="str">
        <f>IF(ABS(H75/0.8-1)&lt;0.002,"OK","ERROR")</f>
        <v>OK</v>
      </c>
      <c r="K75" s="21"/>
      <c r="L75" s="623"/>
      <c r="M75" s="623"/>
      <c r="N75" s="623"/>
      <c r="O75" s="623"/>
      <c r="P75" s="623"/>
      <c r="Q75" s="623"/>
      <c r="R75" s="623"/>
      <c r="S75" s="623"/>
      <c r="T75" s="623"/>
    </row>
    <row r="76" spans="2:20" x14ac:dyDescent="0.2">
      <c r="B76" s="620" t="s">
        <v>503</v>
      </c>
      <c r="C76" s="3" t="s">
        <v>604</v>
      </c>
      <c r="G76" s="607">
        <f>'Pricing Scheule (t)'!H28</f>
        <v>0.12540000000000001</v>
      </c>
      <c r="H76" s="608">
        <f>ROUND(G76/G73,3)</f>
        <v>0.8</v>
      </c>
      <c r="I76" s="608"/>
      <c r="J76" s="21" t="str">
        <f>IF(ABS(H76/0.8-1)&lt;0.002,"OK","ERROR")</f>
        <v>OK</v>
      </c>
      <c r="K76" s="21"/>
      <c r="L76" s="623"/>
      <c r="M76" s="623"/>
      <c r="N76" s="623"/>
      <c r="O76" s="623"/>
      <c r="P76" s="623"/>
      <c r="Q76" s="623"/>
      <c r="R76" s="623"/>
      <c r="S76" s="623"/>
      <c r="T76" s="623"/>
    </row>
    <row r="77" spans="2:20" x14ac:dyDescent="0.2">
      <c r="B77" s="21" t="s">
        <v>504</v>
      </c>
      <c r="C77" s="3" t="s">
        <v>603</v>
      </c>
      <c r="G77" s="607">
        <f>'Pricing Scheule (t)'!I28</f>
        <v>6.7599999999999993E-2</v>
      </c>
      <c r="H77" s="608">
        <f>ROUND(G77/G74,3)</f>
        <v>0.79900000000000004</v>
      </c>
      <c r="I77" s="608"/>
      <c r="J77" s="21" t="str">
        <f>IF(ABS(H77/0.8-1)&lt;0.002,"OK","ERROR")</f>
        <v>OK</v>
      </c>
      <c r="K77" s="21"/>
      <c r="L77" s="623"/>
      <c r="M77" s="623"/>
      <c r="N77" s="623"/>
      <c r="O77" s="623"/>
      <c r="P77" s="623"/>
      <c r="Q77" s="623"/>
      <c r="R77" s="623"/>
      <c r="S77" s="623"/>
      <c r="T77" s="623"/>
    </row>
    <row r="78" spans="2:20" ht="63.75" x14ac:dyDescent="0.2">
      <c r="B78" s="620" t="s">
        <v>505</v>
      </c>
      <c r="C78" s="613" t="s">
        <v>507</v>
      </c>
      <c r="D78" s="613"/>
      <c r="E78" s="613"/>
      <c r="F78" s="613"/>
      <c r="G78" s="621">
        <f>'Pricing Scheule (t)'!K28*Days_Year</f>
        <v>28.908000000000001</v>
      </c>
      <c r="H78" s="616">
        <f>ROUND((G63*283.7)-G78,0)</f>
        <v>0</v>
      </c>
      <c r="I78" s="616"/>
      <c r="J78" s="620" t="str">
        <f>IF(H78=0,"OK","ERROR")</f>
        <v>OK</v>
      </c>
      <c r="K78" s="620"/>
      <c r="L78" s="623"/>
      <c r="M78" s="623"/>
      <c r="N78" s="623"/>
      <c r="O78" s="623"/>
      <c r="P78" s="623"/>
      <c r="Q78" s="623"/>
      <c r="R78" s="623"/>
      <c r="S78" s="623"/>
      <c r="T78" s="623"/>
    </row>
    <row r="79" spans="2:20" x14ac:dyDescent="0.2">
      <c r="B79" s="3" t="s">
        <v>602</v>
      </c>
      <c r="C79" s="3" t="s">
        <v>609</v>
      </c>
      <c r="G79" s="607">
        <f>'Pricing Scheule (t)'!Z20</f>
        <v>6.6400000000000001E-2</v>
      </c>
      <c r="H79" s="608">
        <f>ROUND(G79/G63,3)</f>
        <v>0.65400000000000003</v>
      </c>
      <c r="I79" s="608"/>
      <c r="J79" s="21" t="str">
        <f>IF(ABS(H79/0.654-1)&lt;0.002,"OK","ERROR")</f>
        <v>OK</v>
      </c>
      <c r="K79" s="21"/>
      <c r="L79" s="623"/>
      <c r="M79" s="623"/>
      <c r="N79" s="623"/>
      <c r="O79" s="623"/>
      <c r="P79" s="623"/>
      <c r="Q79" s="623"/>
      <c r="R79" s="623"/>
      <c r="S79" s="623"/>
      <c r="T79" s="623"/>
    </row>
    <row r="80" spans="2:20" x14ac:dyDescent="0.2">
      <c r="B80" s="3" t="s">
        <v>601</v>
      </c>
      <c r="C80" s="3" t="s">
        <v>610</v>
      </c>
      <c r="G80" s="607">
        <f>'Pricing Scheule (t)'!AT20</f>
        <v>2.75E-2</v>
      </c>
      <c r="H80" s="608">
        <f>ROUND(G80/G64,3)</f>
        <v>0.68799999999999994</v>
      </c>
      <c r="I80" s="608"/>
      <c r="J80" s="21" t="str">
        <f>IF(ABS(H80/0.687-1)&lt;0.002,"OK","ERROR")</f>
        <v>OK</v>
      </c>
      <c r="K80" s="21"/>
      <c r="L80" s="623"/>
      <c r="M80" s="623"/>
      <c r="N80" s="623"/>
      <c r="O80" s="623"/>
      <c r="P80" s="623"/>
      <c r="Q80" s="623"/>
      <c r="R80" s="623"/>
      <c r="S80" s="623"/>
      <c r="T80" s="623"/>
    </row>
    <row r="83" spans="2:20" s="624" customFormat="1" ht="15" x14ac:dyDescent="0.25">
      <c r="B83" s="625" t="s">
        <v>510</v>
      </c>
    </row>
    <row r="85" spans="2:20" ht="12.75" customHeight="1" x14ac:dyDescent="0.25">
      <c r="C85" s="3" t="s">
        <v>715</v>
      </c>
      <c r="G85" s="605" cm="1">
        <f t="array" ref="G85">'[15]NUoS (t)'!$G$39*[15]!Days_Year</f>
        <v>1014.9920000000001</v>
      </c>
      <c r="J85" s="605" cm="1">
        <f t="array" ref="J85">'[15]NUoS (t)'!$G$50*[15]!Days_Year</f>
        <v>999.9905</v>
      </c>
      <c r="K85" s="605" cm="1">
        <f t="array" ref="K85">'[15]NUoS (t)'!$G$73*[15]!Days_Year</f>
        <v>999.9905</v>
      </c>
    </row>
    <row r="86" spans="2:20" ht="12.75" customHeight="1" x14ac:dyDescent="0.25">
      <c r="C86" s="3" t="s">
        <v>716</v>
      </c>
      <c r="G86" s="605" cm="1">
        <f t="array" ref="G86">'[15]NUoS (t)'!$Q$39*[15]!Days_Summer_Demand</f>
        <v>59.8262</v>
      </c>
    </row>
    <row r="87" spans="2:20" ht="12.75" customHeight="1" x14ac:dyDescent="0.25">
      <c r="C87" s="3" t="s">
        <v>717</v>
      </c>
      <c r="G87" s="605" cm="1">
        <f t="array" ref="G87">'[15]NUoS (t)'!$R$39*[15]!Days_Year</f>
        <v>71.540000000000006</v>
      </c>
      <c r="L87" s="606"/>
      <c r="M87" s="606"/>
    </row>
    <row r="88" spans="2:20" ht="12.75" customHeight="1" x14ac:dyDescent="0.25">
      <c r="C88" s="3" t="s">
        <v>718</v>
      </c>
      <c r="G88" s="723">
        <f>'[15]NUoS (t)'!$H$39</f>
        <v>7.8899999999999998E-2</v>
      </c>
      <c r="L88" s="606"/>
      <c r="M88" s="606"/>
    </row>
    <row r="89" spans="2:20" ht="12.75" customHeight="1" x14ac:dyDescent="0.25">
      <c r="C89" s="3" t="s">
        <v>719</v>
      </c>
      <c r="G89" s="723">
        <f>'[15]NUoS (t)'!$H$50</f>
        <v>7.6999999999999999E-2</v>
      </c>
      <c r="L89" s="606"/>
      <c r="M89" s="606"/>
    </row>
    <row r="90" spans="2:20" ht="12.75" customHeight="1" x14ac:dyDescent="0.25">
      <c r="C90" s="3" t="s">
        <v>720</v>
      </c>
      <c r="G90" s="723">
        <f>'[15]NUoS (t)'!$H$73</f>
        <v>7.5400000000000009E-2</v>
      </c>
      <c r="L90" s="606"/>
      <c r="M90" s="606"/>
    </row>
    <row r="92" spans="2:20" ht="25.5" x14ac:dyDescent="0.2">
      <c r="G92" s="611" t="s">
        <v>487</v>
      </c>
      <c r="H92" s="612" t="s">
        <v>491</v>
      </c>
      <c r="I92" s="612"/>
      <c r="J92" s="611" t="s">
        <v>486</v>
      </c>
      <c r="K92" s="611"/>
      <c r="L92" s="622" t="s">
        <v>509</v>
      </c>
      <c r="M92" s="622"/>
    </row>
    <row r="93" spans="2:20" x14ac:dyDescent="0.2">
      <c r="B93" s="21" t="s">
        <v>419</v>
      </c>
      <c r="C93" s="3" t="s">
        <v>511</v>
      </c>
      <c r="G93" s="626"/>
      <c r="H93" s="627"/>
      <c r="I93" s="627"/>
      <c r="J93" s="628"/>
      <c r="K93" s="628"/>
      <c r="L93" s="623"/>
      <c r="M93" s="623"/>
      <c r="N93" s="623"/>
      <c r="O93" s="623"/>
      <c r="P93" s="623"/>
      <c r="Q93" s="623"/>
      <c r="R93" s="623"/>
      <c r="S93" s="623"/>
      <c r="T93" s="623"/>
    </row>
    <row r="94" spans="2:20" x14ac:dyDescent="0.2">
      <c r="C94" s="600" t="s">
        <v>611</v>
      </c>
      <c r="D94" s="600"/>
      <c r="E94" s="600"/>
      <c r="F94" s="600"/>
      <c r="G94" s="720">
        <f>'NUoS (t)'!G41*Days_Year</f>
        <v>2014.9825000000001</v>
      </c>
      <c r="H94" s="606">
        <f>ROUND(G94-G85,0)</f>
        <v>1000</v>
      </c>
      <c r="I94" s="606"/>
      <c r="J94" s="21" t="str">
        <f>IF(H94=1000,"OK","ERROR")</f>
        <v>OK</v>
      </c>
      <c r="K94" s="21"/>
      <c r="L94" s="623"/>
      <c r="M94" s="623"/>
      <c r="N94" s="623"/>
      <c r="O94" s="623"/>
      <c r="P94" s="623"/>
      <c r="Q94" s="623"/>
      <c r="R94" s="623"/>
      <c r="S94" s="623"/>
      <c r="T94" s="623"/>
    </row>
    <row r="95" spans="2:20" x14ac:dyDescent="0.2">
      <c r="C95" s="600" t="s">
        <v>612</v>
      </c>
      <c r="D95" s="600"/>
      <c r="E95" s="600"/>
      <c r="F95" s="600"/>
      <c r="G95" s="720">
        <f>'NUoS (t)'!G52*Days_Year</f>
        <v>1999.981</v>
      </c>
      <c r="H95" s="606">
        <f>ROUND(G95-J85,0)</f>
        <v>1000</v>
      </c>
      <c r="I95" s="606"/>
      <c r="J95" s="21" t="str">
        <f>IF(H95=1000,"OK","ERROR")</f>
        <v>OK</v>
      </c>
      <c r="K95" s="21"/>
      <c r="L95" s="623"/>
      <c r="M95" s="623"/>
      <c r="N95" s="623"/>
      <c r="O95" s="623"/>
      <c r="P95" s="623"/>
      <c r="Q95" s="623"/>
      <c r="R95" s="623"/>
      <c r="S95" s="623"/>
      <c r="T95" s="623"/>
    </row>
    <row r="96" spans="2:20" x14ac:dyDescent="0.2">
      <c r="C96" s="600" t="s">
        <v>613</v>
      </c>
      <c r="D96" s="600"/>
      <c r="E96" s="600"/>
      <c r="F96" s="600"/>
      <c r="G96" s="720">
        <f>'NUoS (t)'!G75*Days_Year</f>
        <v>1999.981</v>
      </c>
      <c r="H96" s="606">
        <f>ROUND(G96-K85,0)</f>
        <v>1000</v>
      </c>
      <c r="I96" s="606"/>
      <c r="J96" s="21" t="str">
        <f>IF(H96=1000,"OK","ERROR")</f>
        <v>OK</v>
      </c>
      <c r="K96" s="21"/>
      <c r="L96" s="623"/>
      <c r="M96" s="623"/>
      <c r="N96" s="623"/>
      <c r="O96" s="623"/>
      <c r="P96" s="623"/>
      <c r="Q96" s="623"/>
      <c r="R96" s="623"/>
      <c r="S96" s="623"/>
      <c r="T96" s="623"/>
    </row>
    <row r="97" spans="2:20" x14ac:dyDescent="0.2">
      <c r="B97" s="21" t="s">
        <v>473</v>
      </c>
      <c r="C97" s="3" t="s">
        <v>512</v>
      </c>
      <c r="G97" s="629"/>
      <c r="H97" s="630"/>
      <c r="I97" s="630"/>
      <c r="J97" s="628"/>
      <c r="K97" s="628"/>
      <c r="L97" s="623"/>
      <c r="M97" s="623"/>
      <c r="N97" s="623"/>
      <c r="O97" s="623"/>
      <c r="P97" s="623"/>
      <c r="Q97" s="623"/>
      <c r="R97" s="623"/>
      <c r="S97" s="623"/>
      <c r="T97" s="623"/>
    </row>
    <row r="98" spans="2:20" x14ac:dyDescent="0.2">
      <c r="C98" s="600" t="s">
        <v>513</v>
      </c>
      <c r="D98" s="600"/>
      <c r="E98" s="600"/>
      <c r="F98" s="600"/>
      <c r="G98" s="609">
        <f>'Pricing Scheule (t)'!M29*Days_Summer_Demand</f>
        <v>59.8262</v>
      </c>
      <c r="H98" s="632">
        <f>ROUND(G98-$G$86,2)</f>
        <v>0</v>
      </c>
      <c r="I98" s="632"/>
      <c r="J98" s="21" t="str">
        <f t="shared" ref="J98:J103" si="13">IF(ABS(H98)&lt;0.02,"OK","ERROR")</f>
        <v>OK</v>
      </c>
      <c r="K98" s="21"/>
      <c r="L98" s="623"/>
      <c r="M98" s="623"/>
      <c r="N98" s="623"/>
      <c r="O98" s="623"/>
      <c r="P98" s="623"/>
      <c r="Q98" s="623"/>
      <c r="R98" s="623"/>
      <c r="S98" s="623"/>
      <c r="T98" s="623"/>
    </row>
    <row r="99" spans="2:20" x14ac:dyDescent="0.2">
      <c r="C99" s="600" t="s">
        <v>516</v>
      </c>
      <c r="D99" s="600"/>
      <c r="E99" s="600"/>
      <c r="F99" s="600"/>
      <c r="G99" s="609">
        <f>'Pricing Scheule (t)'!N29*Days_Year</f>
        <v>71.540000000000006</v>
      </c>
      <c r="H99" s="632">
        <f>ROUND(G99-$G$87,2)</f>
        <v>0</v>
      </c>
      <c r="I99" s="632"/>
      <c r="J99" s="21" t="str">
        <f t="shared" si="13"/>
        <v>OK</v>
      </c>
      <c r="K99" s="21"/>
      <c r="L99" s="623"/>
      <c r="M99" s="623"/>
      <c r="N99" s="623"/>
      <c r="O99" s="623"/>
      <c r="P99" s="623"/>
      <c r="Q99" s="623"/>
      <c r="R99" s="623"/>
      <c r="S99" s="623"/>
      <c r="T99" s="623"/>
    </row>
    <row r="100" spans="2:20" x14ac:dyDescent="0.2">
      <c r="C100" s="600" t="s">
        <v>514</v>
      </c>
      <c r="D100" s="600"/>
      <c r="E100" s="600"/>
      <c r="F100" s="600"/>
      <c r="G100" s="609">
        <f>'Pricing Scheule (t)'!M37*Days_Summer_Demand</f>
        <v>59.8262</v>
      </c>
      <c r="H100" s="632">
        <f>ROUND(G100-$G$86,2)</f>
        <v>0</v>
      </c>
      <c r="I100" s="632"/>
      <c r="J100" s="21" t="str">
        <f t="shared" si="13"/>
        <v>OK</v>
      </c>
      <c r="K100" s="21"/>
      <c r="L100" s="623"/>
      <c r="M100" s="623"/>
      <c r="N100" s="623"/>
      <c r="O100" s="623"/>
      <c r="P100" s="623"/>
      <c r="Q100" s="623"/>
      <c r="R100" s="623"/>
      <c r="S100" s="623"/>
      <c r="T100" s="623"/>
    </row>
    <row r="101" spans="2:20" x14ac:dyDescent="0.2">
      <c r="C101" s="600" t="s">
        <v>517</v>
      </c>
      <c r="D101" s="600"/>
      <c r="E101" s="600"/>
      <c r="F101" s="600"/>
      <c r="G101" s="609">
        <f>'Pricing Scheule (t)'!N37*Days_Year</f>
        <v>71.540000000000006</v>
      </c>
      <c r="H101" s="632">
        <f>ROUND(G101-$G$87,2)</f>
        <v>0</v>
      </c>
      <c r="I101" s="632"/>
      <c r="J101" s="21" t="str">
        <f t="shared" si="13"/>
        <v>OK</v>
      </c>
      <c r="K101" s="21"/>
      <c r="L101" s="623"/>
      <c r="M101" s="623"/>
      <c r="N101" s="623"/>
      <c r="O101" s="623"/>
      <c r="P101" s="623"/>
      <c r="Q101" s="623"/>
      <c r="R101" s="623"/>
      <c r="S101" s="623"/>
      <c r="T101" s="623"/>
    </row>
    <row r="102" spans="2:20" x14ac:dyDescent="0.2">
      <c r="C102" s="600" t="s">
        <v>515</v>
      </c>
      <c r="D102" s="600"/>
      <c r="E102" s="600"/>
      <c r="F102" s="600"/>
      <c r="G102" s="609">
        <f>'Pricing Scheule (t)'!M61*Days_Summer_Demand</f>
        <v>59.8262</v>
      </c>
      <c r="H102" s="632">
        <f>ROUND(G102-$G$86,2)</f>
        <v>0</v>
      </c>
      <c r="I102" s="632"/>
      <c r="J102" s="21" t="str">
        <f t="shared" si="13"/>
        <v>OK</v>
      </c>
      <c r="K102" s="21"/>
      <c r="L102" s="623"/>
      <c r="M102" s="623"/>
      <c r="N102" s="623"/>
      <c r="O102" s="623"/>
      <c r="P102" s="623"/>
      <c r="Q102" s="623"/>
      <c r="R102" s="623"/>
      <c r="S102" s="623"/>
      <c r="T102" s="623"/>
    </row>
    <row r="103" spans="2:20" x14ac:dyDescent="0.2">
      <c r="C103" s="600" t="s">
        <v>518</v>
      </c>
      <c r="D103" s="600"/>
      <c r="E103" s="600"/>
      <c r="F103" s="600"/>
      <c r="G103" s="609">
        <f>'Pricing Scheule (t)'!N61*Days_Year</f>
        <v>71.540000000000006</v>
      </c>
      <c r="H103" s="632">
        <f>ROUND(G103-$G$87,2)</f>
        <v>0</v>
      </c>
      <c r="I103" s="632"/>
      <c r="J103" s="21" t="str">
        <f t="shared" si="13"/>
        <v>OK</v>
      </c>
      <c r="K103" s="21"/>
      <c r="L103" s="623"/>
      <c r="M103" s="623"/>
      <c r="N103" s="623"/>
      <c r="O103" s="623"/>
      <c r="P103" s="623"/>
      <c r="Q103" s="623"/>
      <c r="R103" s="623"/>
      <c r="S103" s="623"/>
      <c r="T103" s="623"/>
    </row>
    <row r="104" spans="2:20" x14ac:dyDescent="0.2">
      <c r="B104" s="21" t="s">
        <v>474</v>
      </c>
      <c r="C104" s="3" t="s">
        <v>606</v>
      </c>
      <c r="G104" s="629"/>
      <c r="H104" s="630"/>
      <c r="I104" s="630"/>
      <c r="J104" s="628"/>
      <c r="K104" s="628"/>
      <c r="L104" s="623"/>
      <c r="M104" s="623"/>
      <c r="N104" s="623"/>
      <c r="O104" s="623"/>
      <c r="P104" s="623"/>
      <c r="Q104" s="623"/>
      <c r="R104" s="623"/>
      <c r="S104" s="623"/>
      <c r="T104" s="623"/>
    </row>
    <row r="105" spans="2:20" x14ac:dyDescent="0.2">
      <c r="C105" s="600" t="s">
        <v>611</v>
      </c>
      <c r="D105" s="600"/>
      <c r="E105" s="600"/>
      <c r="F105" s="600"/>
      <c r="G105" s="721">
        <f>'Pricing Scheule (t)'!F29</f>
        <v>8.8899999999999993E-2</v>
      </c>
      <c r="H105" s="722">
        <f>G105-G88</f>
        <v>9.999999999999995E-3</v>
      </c>
      <c r="I105" s="722"/>
      <c r="J105" s="21" t="str">
        <f>IF(H105=0.01,"OK","ERROR")</f>
        <v>OK</v>
      </c>
      <c r="K105" s="21"/>
      <c r="L105" s="623"/>
      <c r="M105" s="623"/>
      <c r="N105" s="623"/>
      <c r="O105" s="623"/>
      <c r="P105" s="623"/>
      <c r="Q105" s="623"/>
      <c r="R105" s="623"/>
      <c r="S105" s="623"/>
      <c r="T105" s="623"/>
    </row>
    <row r="106" spans="2:20" x14ac:dyDescent="0.2">
      <c r="C106" s="600" t="s">
        <v>612</v>
      </c>
      <c r="D106" s="600"/>
      <c r="E106" s="600"/>
      <c r="F106" s="600"/>
      <c r="G106" s="721">
        <f>'Pricing Scheule (t)'!F37</f>
        <v>8.6999999999999994E-2</v>
      </c>
      <c r="H106" s="722">
        <f>G106-G89</f>
        <v>9.999999999999995E-3</v>
      </c>
      <c r="I106" s="722"/>
      <c r="J106" s="21" t="str">
        <f>IF(H106=0.01,"OK","ERROR")</f>
        <v>OK</v>
      </c>
      <c r="K106" s="21"/>
      <c r="L106" s="623"/>
      <c r="M106" s="623"/>
      <c r="N106" s="623"/>
      <c r="O106" s="623"/>
      <c r="P106" s="623"/>
      <c r="Q106" s="623"/>
      <c r="R106" s="623"/>
      <c r="S106" s="623"/>
      <c r="T106" s="623"/>
    </row>
    <row r="107" spans="2:20" x14ac:dyDescent="0.2">
      <c r="C107" s="600" t="s">
        <v>613</v>
      </c>
      <c r="D107" s="600"/>
      <c r="E107" s="600"/>
      <c r="F107" s="600"/>
      <c r="G107" s="721">
        <f>'Pricing Scheule (t)'!F61</f>
        <v>8.5400000000000004E-2</v>
      </c>
      <c r="H107" s="722">
        <f>G107-G90</f>
        <v>9.999999999999995E-3</v>
      </c>
      <c r="I107" s="722"/>
      <c r="J107" s="21" t="str">
        <f>IF(H107=0.01,"OK","ERROR")</f>
        <v>OK</v>
      </c>
      <c r="K107" s="21"/>
      <c r="L107" s="623"/>
      <c r="M107" s="623"/>
      <c r="N107" s="623"/>
      <c r="O107" s="623"/>
      <c r="P107" s="623"/>
      <c r="Q107" s="623"/>
      <c r="R107" s="623"/>
      <c r="S107" s="623"/>
      <c r="T107" s="623"/>
    </row>
    <row r="110" spans="2:20" s="624" customFormat="1" ht="15" x14ac:dyDescent="0.25">
      <c r="B110" s="625" t="s">
        <v>519</v>
      </c>
    </row>
    <row r="112" spans="2:20" ht="25.5" x14ac:dyDescent="0.2">
      <c r="G112" s="611" t="s">
        <v>487</v>
      </c>
      <c r="H112" s="612" t="s">
        <v>491</v>
      </c>
      <c r="I112" s="612"/>
      <c r="J112" s="611" t="s">
        <v>486</v>
      </c>
      <c r="K112" s="611"/>
      <c r="L112" s="622" t="s">
        <v>509</v>
      </c>
      <c r="M112" s="622"/>
    </row>
    <row r="113" spans="2:20" x14ac:dyDescent="0.2">
      <c r="B113" s="21" t="s">
        <v>419</v>
      </c>
      <c r="C113" s="3" t="s">
        <v>520</v>
      </c>
      <c r="G113" s="629"/>
      <c r="H113" s="630"/>
      <c r="I113" s="630"/>
      <c r="J113" s="628"/>
      <c r="K113" s="628"/>
      <c r="L113" s="623"/>
      <c r="M113" s="623"/>
      <c r="N113" s="623"/>
      <c r="O113" s="623"/>
      <c r="P113" s="623"/>
      <c r="Q113" s="623"/>
      <c r="R113" s="623"/>
      <c r="S113" s="623"/>
      <c r="T113" s="623"/>
    </row>
    <row r="114" spans="2:20" x14ac:dyDescent="0.2">
      <c r="C114" s="600" t="s">
        <v>607</v>
      </c>
      <c r="D114" s="600"/>
      <c r="E114" s="600"/>
      <c r="F114" s="600"/>
      <c r="G114" s="609">
        <f>'Pricing Scheule (t)'!E32*Days_Year</f>
        <v>204.98400000000001</v>
      </c>
      <c r="H114" s="632">
        <f>G114-('Pricing Scheule (t)'!E23*365)</f>
        <v>0</v>
      </c>
      <c r="I114" s="632"/>
      <c r="J114" s="21" t="str">
        <f>IF(H114=0,"OK","ERROR")</f>
        <v>OK</v>
      </c>
      <c r="K114" s="21"/>
      <c r="L114" s="623"/>
      <c r="M114" s="623"/>
      <c r="N114" s="623"/>
      <c r="O114" s="623"/>
      <c r="P114" s="623"/>
      <c r="Q114" s="623"/>
      <c r="R114" s="623"/>
      <c r="S114" s="623"/>
      <c r="T114" s="623"/>
    </row>
    <row r="115" spans="2:20" x14ac:dyDescent="0.2">
      <c r="C115" s="600" t="s">
        <v>628</v>
      </c>
      <c r="D115" s="600"/>
      <c r="E115" s="600"/>
      <c r="F115" s="600"/>
      <c r="G115" s="609">
        <f>'Pricing Scheule (t)'!E33*Days_Year</f>
        <v>204.98400000000001</v>
      </c>
      <c r="H115" s="632">
        <f>G115-('Pricing Scheule (t)'!E24*365)</f>
        <v>0</v>
      </c>
      <c r="I115" s="632"/>
      <c r="J115" s="21" t="str">
        <f>IF(H115=0,"OK","ERROR")</f>
        <v>OK</v>
      </c>
      <c r="K115" s="21"/>
      <c r="L115" s="623"/>
      <c r="M115" s="623"/>
      <c r="N115" s="623"/>
      <c r="O115" s="623"/>
      <c r="P115" s="623"/>
      <c r="Q115" s="623"/>
      <c r="R115" s="623"/>
      <c r="S115" s="623"/>
      <c r="T115" s="623"/>
    </row>
    <row r="116" spans="2:20" x14ac:dyDescent="0.2">
      <c r="B116" s="21" t="s">
        <v>473</v>
      </c>
      <c r="C116" s="3" t="s">
        <v>521</v>
      </c>
      <c r="G116" s="629"/>
      <c r="H116" s="630"/>
      <c r="I116" s="630"/>
      <c r="J116" s="628"/>
      <c r="K116" s="628"/>
      <c r="L116" s="623"/>
      <c r="M116" s="623"/>
      <c r="N116" s="623"/>
      <c r="O116" s="623"/>
      <c r="P116" s="623"/>
      <c r="Q116" s="623"/>
      <c r="R116" s="623"/>
      <c r="S116" s="623"/>
      <c r="T116" s="623"/>
    </row>
    <row r="117" spans="2:20" x14ac:dyDescent="0.2">
      <c r="C117" s="600" t="s">
        <v>608</v>
      </c>
      <c r="D117" s="600"/>
      <c r="E117" s="600"/>
      <c r="F117" s="600"/>
      <c r="G117" s="607">
        <f>'Pricing Scheule (t)'!F32</f>
        <v>0.18009999999999998</v>
      </c>
      <c r="H117" s="608">
        <f>G117/G68</f>
        <v>1.1998667554963356</v>
      </c>
      <c r="I117" s="608"/>
      <c r="J117" s="21" t="str">
        <f>IF(ABS(H117/1.2-1)&lt;0.002,"OK","ERROR")</f>
        <v>OK</v>
      </c>
      <c r="K117" s="21"/>
      <c r="L117" s="623"/>
      <c r="M117" s="623"/>
      <c r="N117" s="623"/>
      <c r="O117" s="623"/>
      <c r="P117" s="623"/>
      <c r="Q117" s="623"/>
      <c r="R117" s="623"/>
      <c r="S117" s="623"/>
      <c r="T117" s="623"/>
    </row>
    <row r="118" spans="2:20" x14ac:dyDescent="0.2">
      <c r="C118" s="600" t="s">
        <v>629</v>
      </c>
      <c r="D118" s="600"/>
      <c r="E118" s="600"/>
      <c r="F118" s="600"/>
      <c r="G118" s="607">
        <f>'Pricing Scheule (t)'!G33</f>
        <v>0.20310000000000003</v>
      </c>
      <c r="H118" s="608">
        <f>G118/G69</f>
        <v>1.1996455995274662</v>
      </c>
      <c r="I118" s="608"/>
      <c r="J118" s="21" t="str">
        <f>IF(ABS(H118/1.2-1)&lt;0.002,"OK","ERROR")</f>
        <v>OK</v>
      </c>
      <c r="K118" s="21"/>
      <c r="L118" s="623"/>
      <c r="M118" s="623"/>
      <c r="N118" s="623"/>
      <c r="O118" s="623"/>
      <c r="P118" s="623"/>
      <c r="Q118" s="623"/>
      <c r="R118" s="623"/>
      <c r="S118" s="623"/>
      <c r="T118" s="623"/>
    </row>
    <row r="119" spans="2:20" x14ac:dyDescent="0.2">
      <c r="C119" s="600" t="s">
        <v>630</v>
      </c>
      <c r="D119" s="600"/>
      <c r="E119" s="600"/>
      <c r="F119" s="600"/>
      <c r="G119" s="607">
        <f>'Pricing Scheule (t)'!I33</f>
        <v>0.10149999999999999</v>
      </c>
      <c r="H119" s="608">
        <f>G119/G70</f>
        <v>1.1997635933806146</v>
      </c>
      <c r="I119" s="608"/>
      <c r="J119" s="21" t="str">
        <f>IF(ABS(H119/1.2-1)&lt;0.002,"OK","ERROR")</f>
        <v>OK</v>
      </c>
      <c r="K119" s="21"/>
      <c r="L119" s="623"/>
      <c r="M119" s="623"/>
      <c r="N119" s="623"/>
      <c r="O119" s="623"/>
      <c r="P119" s="623"/>
      <c r="Q119" s="623"/>
      <c r="R119" s="623"/>
      <c r="S119" s="623"/>
      <c r="T119" s="623"/>
    </row>
    <row r="122" spans="2:20" s="624" customFormat="1" ht="15" x14ac:dyDescent="0.25">
      <c r="B122" s="625" t="s">
        <v>522</v>
      </c>
    </row>
    <row r="124" spans="2:20" x14ac:dyDescent="0.2">
      <c r="G124" s="593" t="s">
        <v>363</v>
      </c>
      <c r="H124" s="593" t="s">
        <v>364</v>
      </c>
      <c r="I124" s="593"/>
    </row>
    <row r="125" spans="2:20" ht="12.75" customHeight="1" x14ac:dyDescent="0.2">
      <c r="C125" s="3" t="s">
        <v>626</v>
      </c>
      <c r="G125" s="607">
        <f>'Pricing Scheule (t)'!G36</f>
        <v>6.7299999999999999E-2</v>
      </c>
      <c r="H125" s="3">
        <f>'Pricing Scheule (t)'!G60</f>
        <v>4.1700000000000001E-2</v>
      </c>
    </row>
    <row r="126" spans="2:20" ht="12.75" customHeight="1" x14ac:dyDescent="0.2">
      <c r="C126" s="3" t="s">
        <v>627</v>
      </c>
      <c r="G126" s="607">
        <f>'Pricing Scheule (t)'!I36</f>
        <v>4.2000000000000003E-2</v>
      </c>
      <c r="H126" s="3">
        <f>'Pricing Scheule (t)'!I60</f>
        <v>2.6100000000000002E-2</v>
      </c>
      <c r="L126" s="606"/>
      <c r="M126" s="606"/>
    </row>
    <row r="127" spans="2:20" ht="12.75" customHeight="1" x14ac:dyDescent="0.2">
      <c r="C127" s="3" t="s">
        <v>615</v>
      </c>
      <c r="G127" s="725">
        <f>G125/G126</f>
        <v>1.6023809523809522</v>
      </c>
      <c r="H127" s="725">
        <f>H125/H126</f>
        <v>1.5977011494252873</v>
      </c>
      <c r="I127" s="725"/>
      <c r="L127" s="606"/>
      <c r="M127" s="606"/>
    </row>
    <row r="128" spans="2:20" ht="12.75" customHeight="1" x14ac:dyDescent="0.2">
      <c r="G128" s="726"/>
      <c r="L128" s="606"/>
      <c r="M128" s="606"/>
    </row>
    <row r="129" spans="2:20" ht="25.5" x14ac:dyDescent="0.2">
      <c r="G129" s="872" t="s">
        <v>487</v>
      </c>
      <c r="H129" s="612" t="s">
        <v>491</v>
      </c>
      <c r="I129" s="612"/>
      <c r="J129" s="611" t="s">
        <v>486</v>
      </c>
      <c r="K129" s="611"/>
      <c r="L129" s="622" t="s">
        <v>509</v>
      </c>
      <c r="M129" s="622"/>
    </row>
    <row r="130" spans="2:20" x14ac:dyDescent="0.2">
      <c r="B130" s="21" t="s">
        <v>419</v>
      </c>
      <c r="C130" s="3" t="s">
        <v>523</v>
      </c>
      <c r="G130" s="629"/>
      <c r="H130" s="630"/>
      <c r="I130" s="630"/>
      <c r="J130" s="628"/>
      <c r="K130" s="628"/>
      <c r="L130" s="623"/>
      <c r="M130" s="623"/>
      <c r="N130" s="623"/>
      <c r="O130" s="623"/>
      <c r="P130" s="623"/>
      <c r="Q130" s="623"/>
      <c r="R130" s="623"/>
      <c r="S130" s="623"/>
      <c r="T130" s="623"/>
    </row>
    <row r="131" spans="2:20" x14ac:dyDescent="0.2">
      <c r="C131" s="724" t="s">
        <v>363</v>
      </c>
      <c r="D131" s="724"/>
      <c r="E131" s="724"/>
      <c r="F131" s="724"/>
      <c r="G131" s="607">
        <f>G125</f>
        <v>6.7299999999999999E-2</v>
      </c>
      <c r="H131" s="725">
        <f>ROUND(G125/G126,1)</f>
        <v>1.6</v>
      </c>
      <c r="I131" s="725"/>
      <c r="J131" s="21" t="str">
        <f>IF(H131=1.6,"OK","ERROR")</f>
        <v>OK</v>
      </c>
      <c r="K131" s="21"/>
      <c r="L131" s="623"/>
      <c r="M131" s="623"/>
      <c r="N131" s="623"/>
      <c r="O131" s="623"/>
      <c r="P131" s="623"/>
      <c r="Q131" s="623"/>
      <c r="R131" s="623"/>
      <c r="S131" s="623"/>
      <c r="T131" s="623"/>
    </row>
    <row r="132" spans="2:20" x14ac:dyDescent="0.2">
      <c r="C132" s="724" t="s">
        <v>364</v>
      </c>
      <c r="D132" s="724"/>
      <c r="E132" s="724"/>
      <c r="F132" s="724"/>
      <c r="G132" s="607">
        <f>H125</f>
        <v>4.1700000000000001E-2</v>
      </c>
      <c r="H132" s="725">
        <f>ROUND(H125/H126,1)</f>
        <v>1.6</v>
      </c>
      <c r="I132" s="725"/>
      <c r="J132" s="21" t="str">
        <f>IF(H132=1.6,"OK","ERROR")</f>
        <v>OK</v>
      </c>
      <c r="K132" s="21"/>
      <c r="L132" s="623"/>
      <c r="M132" s="623"/>
      <c r="N132" s="623"/>
      <c r="O132" s="623"/>
      <c r="P132" s="623"/>
      <c r="Q132" s="623"/>
      <c r="R132" s="623"/>
      <c r="S132" s="623"/>
      <c r="T132" s="623"/>
    </row>
    <row r="135" spans="2:20" s="624" customFormat="1" ht="15" x14ac:dyDescent="0.25">
      <c r="B135" s="625" t="s">
        <v>524</v>
      </c>
    </row>
    <row r="137" spans="2:20" x14ac:dyDescent="0.2">
      <c r="G137" s="593" t="s">
        <v>363</v>
      </c>
      <c r="H137" s="593" t="s">
        <v>364</v>
      </c>
      <c r="I137" s="593"/>
    </row>
    <row r="138" spans="2:20" ht="12.75" customHeight="1" x14ac:dyDescent="0.2">
      <c r="C138" s="3" t="s">
        <v>617</v>
      </c>
      <c r="G138" s="607">
        <f>'Pricing Scheule (t)'!L36*Days_Summer_Demand</f>
        <v>142.28729999999999</v>
      </c>
      <c r="H138" s="3">
        <f>'Pricing Scheule (t)'!L60*Days_Summer_Demand</f>
        <v>120.31679999999999</v>
      </c>
    </row>
    <row r="139" spans="2:20" ht="12.75" customHeight="1" x14ac:dyDescent="0.2">
      <c r="C139" s="3" t="s">
        <v>616</v>
      </c>
      <c r="G139" s="607">
        <f>'Pricing Scheule (t)'!J35*Days_Year</f>
        <v>94.863500000000002</v>
      </c>
      <c r="H139" s="3">
        <f>'Pricing Scheule (t)'!J59*Days_Year</f>
        <v>80.227000000000004</v>
      </c>
      <c r="L139" s="606"/>
      <c r="M139" s="606"/>
    </row>
    <row r="140" spans="2:20" ht="12.75" customHeight="1" x14ac:dyDescent="0.2">
      <c r="C140" s="3" t="s">
        <v>615</v>
      </c>
      <c r="G140" s="725">
        <f>G138/G139</f>
        <v>1.4999161953754603</v>
      </c>
      <c r="H140" s="725">
        <f>H138/H139</f>
        <v>1.4997045882308946</v>
      </c>
      <c r="I140" s="725"/>
      <c r="L140" s="606"/>
      <c r="M140" s="606"/>
    </row>
    <row r="141" spans="2:20" ht="12.75" customHeight="1" x14ac:dyDescent="0.2">
      <c r="G141" s="726"/>
      <c r="L141" s="606"/>
      <c r="M141" s="606"/>
    </row>
    <row r="142" spans="2:20" ht="25.5" x14ac:dyDescent="0.2">
      <c r="G142" s="611" t="s">
        <v>487</v>
      </c>
      <c r="H142" s="612" t="s">
        <v>491</v>
      </c>
      <c r="I142" s="612"/>
      <c r="J142" s="611" t="s">
        <v>486</v>
      </c>
      <c r="K142" s="611"/>
      <c r="L142" s="622" t="s">
        <v>509</v>
      </c>
      <c r="M142" s="622"/>
    </row>
    <row r="143" spans="2:20" ht="38.25" x14ac:dyDescent="0.2">
      <c r="B143" s="620" t="s">
        <v>419</v>
      </c>
      <c r="C143" s="613" t="s">
        <v>614</v>
      </c>
      <c r="D143" s="613"/>
      <c r="E143" s="613"/>
      <c r="F143" s="613"/>
      <c r="J143" s="21"/>
      <c r="K143" s="21"/>
      <c r="L143" s="623"/>
      <c r="M143" s="623"/>
      <c r="N143" s="623"/>
      <c r="O143" s="623"/>
      <c r="P143" s="623"/>
      <c r="Q143" s="623"/>
      <c r="R143" s="623"/>
      <c r="S143" s="623"/>
      <c r="T143" s="623"/>
    </row>
    <row r="144" spans="2:20" x14ac:dyDescent="0.2">
      <c r="B144" s="620"/>
      <c r="C144" s="724" t="s">
        <v>363</v>
      </c>
      <c r="D144" s="724"/>
      <c r="E144" s="724"/>
      <c r="F144" s="724"/>
      <c r="G144" s="609">
        <f>G138</f>
        <v>142.28729999999999</v>
      </c>
      <c r="H144" s="725">
        <f>ROUND(G138/G139,1)</f>
        <v>1.5</v>
      </c>
      <c r="I144" s="725"/>
      <c r="J144" s="21" t="str">
        <f>IF(H144=1.5,"OK","ERROR")</f>
        <v>OK</v>
      </c>
      <c r="K144" s="21"/>
      <c r="L144" s="623"/>
      <c r="M144" s="623"/>
      <c r="N144" s="623"/>
      <c r="O144" s="623"/>
      <c r="P144" s="623"/>
      <c r="Q144" s="623"/>
      <c r="R144" s="623"/>
      <c r="S144" s="623"/>
      <c r="T144" s="623"/>
    </row>
    <row r="145" spans="2:20" x14ac:dyDescent="0.2">
      <c r="B145" s="620"/>
      <c r="C145" s="724" t="s">
        <v>364</v>
      </c>
      <c r="D145" s="724"/>
      <c r="E145" s="724"/>
      <c r="F145" s="724"/>
      <c r="G145" s="609">
        <f>H138</f>
        <v>120.31679999999999</v>
      </c>
      <c r="H145" s="725">
        <f>ROUND(H138/H139,1)</f>
        <v>1.5</v>
      </c>
      <c r="I145" s="725"/>
      <c r="J145" s="21" t="str">
        <f>IF(H145=1.5,"OK","ERROR")</f>
        <v>OK</v>
      </c>
      <c r="K145" s="21"/>
      <c r="L145" s="623"/>
      <c r="M145" s="623"/>
      <c r="N145" s="623"/>
      <c r="O145" s="623"/>
      <c r="P145" s="623"/>
      <c r="Q145" s="623"/>
      <c r="R145" s="623"/>
      <c r="S145" s="623"/>
      <c r="T145" s="623"/>
    </row>
    <row r="146" spans="2:20" x14ac:dyDescent="0.2">
      <c r="B146" s="21" t="s">
        <v>473</v>
      </c>
      <c r="C146" s="3" t="s">
        <v>525</v>
      </c>
      <c r="G146" s="629"/>
      <c r="H146" s="630"/>
      <c r="I146" s="630"/>
      <c r="J146" s="628"/>
      <c r="K146" s="628"/>
      <c r="L146" s="623"/>
      <c r="M146" s="623"/>
      <c r="N146" s="623"/>
      <c r="O146" s="623"/>
      <c r="P146" s="623"/>
      <c r="Q146" s="623"/>
      <c r="R146" s="623"/>
      <c r="S146" s="623"/>
      <c r="T146" s="623"/>
    </row>
    <row r="147" spans="2:20" x14ac:dyDescent="0.2">
      <c r="C147" s="600" t="s">
        <v>618</v>
      </c>
      <c r="D147" s="600"/>
      <c r="E147" s="600"/>
      <c r="F147" s="600"/>
      <c r="G147" s="3">
        <f>'Pricing Scheule (t)'!E36</f>
        <v>6.7949999999999999</v>
      </c>
      <c r="H147" s="3">
        <f>'Pricing Scheule (t)'!E35</f>
        <v>6.7949999999999999</v>
      </c>
      <c r="J147" s="21" t="str">
        <f>IF(G147=H147,"OK","ERROR")</f>
        <v>OK</v>
      </c>
      <c r="K147" s="21"/>
      <c r="L147" s="623"/>
      <c r="M147" s="623"/>
      <c r="N147" s="623"/>
      <c r="O147" s="623"/>
      <c r="P147" s="623"/>
      <c r="Q147" s="623"/>
      <c r="R147" s="623"/>
      <c r="S147" s="623"/>
      <c r="T147" s="623"/>
    </row>
    <row r="148" spans="2:20" x14ac:dyDescent="0.2">
      <c r="C148" s="600" t="s">
        <v>619</v>
      </c>
      <c r="D148" s="600"/>
      <c r="E148" s="600"/>
      <c r="F148" s="600"/>
      <c r="G148" s="3">
        <f>'Pricing Scheule (t)'!K36</f>
        <v>0.1028</v>
      </c>
      <c r="H148" s="3">
        <f>'Pricing Scheule (t)'!K35</f>
        <v>0.1028</v>
      </c>
      <c r="J148" s="21" t="str">
        <f>IF(G148=H148,"OK","ERROR")</f>
        <v>OK</v>
      </c>
      <c r="K148" s="21"/>
      <c r="L148" s="623"/>
      <c r="M148" s="623"/>
      <c r="N148" s="623"/>
      <c r="O148" s="623"/>
      <c r="P148" s="623"/>
      <c r="Q148" s="623"/>
      <c r="R148" s="623"/>
      <c r="S148" s="623"/>
      <c r="T148" s="623"/>
    </row>
    <row r="149" spans="2:20" x14ac:dyDescent="0.2">
      <c r="C149" s="600" t="s">
        <v>620</v>
      </c>
      <c r="D149" s="600"/>
      <c r="E149" s="600"/>
      <c r="F149" s="600"/>
      <c r="G149" s="3">
        <f>'Pricing Scheule (t)'!G36</f>
        <v>6.7299999999999999E-2</v>
      </c>
      <c r="H149" s="3">
        <f>'Pricing Scheule (t)'!G35</f>
        <v>6.7299999999999999E-2</v>
      </c>
      <c r="J149" s="21" t="str">
        <f>IF(G149=H149,"OK","ERROR")</f>
        <v>OK</v>
      </c>
      <c r="K149" s="21"/>
      <c r="L149" s="623"/>
      <c r="M149" s="623"/>
      <c r="N149" s="623"/>
      <c r="O149" s="623"/>
      <c r="P149" s="623"/>
      <c r="Q149" s="623"/>
      <c r="R149" s="623"/>
      <c r="S149" s="623"/>
      <c r="T149" s="623"/>
    </row>
    <row r="150" spans="2:20" x14ac:dyDescent="0.2">
      <c r="C150" s="600" t="s">
        <v>621</v>
      </c>
      <c r="D150" s="600"/>
      <c r="E150" s="600"/>
      <c r="F150" s="600"/>
      <c r="G150" s="3">
        <f>'Pricing Scheule (t)'!I36</f>
        <v>4.2000000000000003E-2</v>
      </c>
      <c r="H150" s="3">
        <f>'Pricing Scheule (t)'!I35</f>
        <v>4.2000000000000003E-2</v>
      </c>
      <c r="J150" s="21" t="str">
        <f>IF(G150=H150,"OK","ERROR")</f>
        <v>OK</v>
      </c>
      <c r="K150" s="21"/>
      <c r="L150" s="623"/>
      <c r="M150" s="623"/>
      <c r="N150" s="623"/>
      <c r="O150" s="623"/>
      <c r="P150" s="623"/>
      <c r="Q150" s="623"/>
      <c r="R150" s="623"/>
      <c r="S150" s="623"/>
      <c r="T150" s="623"/>
    </row>
    <row r="151" spans="2:20" x14ac:dyDescent="0.2">
      <c r="L151" s="623"/>
      <c r="M151" s="623"/>
      <c r="N151" s="623"/>
      <c r="O151" s="623"/>
      <c r="P151" s="623"/>
      <c r="Q151" s="623"/>
      <c r="R151" s="623"/>
      <c r="S151" s="623"/>
      <c r="T151" s="623"/>
    </row>
    <row r="152" spans="2:20" x14ac:dyDescent="0.2">
      <c r="C152" s="600" t="s">
        <v>622</v>
      </c>
      <c r="D152" s="600"/>
      <c r="E152" s="600"/>
      <c r="F152" s="600"/>
      <c r="G152" s="3">
        <f>'Pricing Scheule (t)'!E60</f>
        <v>39.962600000000002</v>
      </c>
      <c r="H152" s="3">
        <f>'Pricing Scheule (t)'!E59</f>
        <v>39.962600000000002</v>
      </c>
      <c r="J152" s="21" t="str">
        <f>IF(G152=H152,"OK","ERROR")</f>
        <v>OK</v>
      </c>
      <c r="K152" s="21"/>
      <c r="L152" s="623"/>
      <c r="M152" s="623"/>
      <c r="N152" s="623"/>
      <c r="O152" s="623"/>
      <c r="P152" s="623"/>
      <c r="Q152" s="623"/>
      <c r="R152" s="623"/>
      <c r="S152" s="623"/>
      <c r="T152" s="623"/>
    </row>
    <row r="153" spans="2:20" x14ac:dyDescent="0.2">
      <c r="C153" s="600" t="s">
        <v>623</v>
      </c>
      <c r="D153" s="600"/>
      <c r="E153" s="600"/>
      <c r="F153" s="600"/>
      <c r="G153" s="3">
        <f>'Pricing Scheule (t)'!K60</f>
        <v>0.1007</v>
      </c>
      <c r="H153" s="3">
        <f>'Pricing Scheule (t)'!K59</f>
        <v>0.1007</v>
      </c>
      <c r="J153" s="21" t="str">
        <f>IF(G153=H153,"OK","ERROR")</f>
        <v>OK</v>
      </c>
      <c r="K153" s="21"/>
      <c r="L153" s="623"/>
      <c r="M153" s="623"/>
      <c r="N153" s="623"/>
      <c r="O153" s="623"/>
      <c r="P153" s="623"/>
      <c r="Q153" s="623"/>
      <c r="R153" s="623"/>
      <c r="S153" s="623"/>
      <c r="T153" s="623"/>
    </row>
    <row r="154" spans="2:20" x14ac:dyDescent="0.2">
      <c r="C154" s="600" t="s">
        <v>624</v>
      </c>
      <c r="D154" s="600"/>
      <c r="E154" s="600"/>
      <c r="F154" s="600"/>
      <c r="G154" s="3">
        <f>'Pricing Scheule (t)'!G60</f>
        <v>4.1700000000000001E-2</v>
      </c>
      <c r="H154" s="3">
        <f>'Pricing Scheule (t)'!G59</f>
        <v>4.1700000000000001E-2</v>
      </c>
      <c r="J154" s="21" t="str">
        <f>IF(G154=H154,"OK","ERROR")</f>
        <v>OK</v>
      </c>
      <c r="K154" s="21"/>
      <c r="L154" s="623"/>
      <c r="M154" s="623"/>
      <c r="N154" s="623"/>
      <c r="O154" s="623"/>
      <c r="P154" s="623"/>
      <c r="Q154" s="623"/>
      <c r="R154" s="623"/>
      <c r="S154" s="623"/>
      <c r="T154" s="623"/>
    </row>
    <row r="155" spans="2:20" x14ac:dyDescent="0.2">
      <c r="C155" s="600" t="s">
        <v>625</v>
      </c>
      <c r="D155" s="600"/>
      <c r="E155" s="600"/>
      <c r="F155" s="600"/>
      <c r="G155" s="3">
        <f>'Pricing Scheule (t)'!I60</f>
        <v>2.6100000000000002E-2</v>
      </c>
      <c r="H155" s="3">
        <f>'Pricing Scheule (t)'!I59</f>
        <v>2.6100000000000002E-2</v>
      </c>
      <c r="J155" s="21" t="str">
        <f>IF(G155=H155,"OK","ERROR")</f>
        <v>OK</v>
      </c>
      <c r="K155" s="21"/>
      <c r="L155" s="623"/>
      <c r="M155" s="623"/>
      <c r="N155" s="623"/>
      <c r="O155" s="623"/>
      <c r="P155" s="623"/>
      <c r="Q155" s="623"/>
      <c r="R155" s="623"/>
      <c r="S155" s="623"/>
      <c r="T155" s="623"/>
    </row>
    <row r="156" spans="2:20" ht="13.5" thickBot="1" x14ac:dyDescent="0.25"/>
    <row r="157" spans="2:20" s="633" customFormat="1" x14ac:dyDescent="0.2">
      <c r="B157" s="634"/>
    </row>
  </sheetData>
  <mergeCells count="5">
    <mergeCell ref="D5:E5"/>
    <mergeCell ref="G5:H5"/>
    <mergeCell ref="J5:K5"/>
    <mergeCell ref="P5:Q5"/>
    <mergeCell ref="M5:N5"/>
  </mergeCells>
  <phoneticPr fontId="26" type="noConversion"/>
  <conditionalFormatting sqref="J48:K56 J114:K115 M37:N37">
    <cfRule type="containsText" dxfId="35" priority="63" operator="containsText" text="OK">
      <formula>NOT(ISERROR(SEARCH("OK",J37)))</formula>
    </cfRule>
    <cfRule type="containsText" dxfId="34" priority="64" operator="containsText" text="ERROR">
      <formula>NOT(ISERROR(SEARCH("ERROR",J37)))</formula>
    </cfRule>
  </conditionalFormatting>
  <conditionalFormatting sqref="J67:K80">
    <cfRule type="containsText" dxfId="33" priority="61" operator="containsText" text="OK">
      <formula>NOT(ISERROR(SEARCH("OK",J67)))</formula>
    </cfRule>
    <cfRule type="containsText" dxfId="32" priority="62" operator="containsText" text="ERROR">
      <formula>NOT(ISERROR(SEARCH("ERROR",J67)))</formula>
    </cfRule>
  </conditionalFormatting>
  <conditionalFormatting sqref="J93:K93 J97:K97">
    <cfRule type="containsText" dxfId="31" priority="59" operator="containsText" text="OK">
      <formula>NOT(ISERROR(SEARCH("OK",J93)))</formula>
    </cfRule>
    <cfRule type="containsText" dxfId="30" priority="60" operator="containsText" text="ERROR">
      <formula>NOT(ISERROR(SEARCH("ERROR",J93)))</formula>
    </cfRule>
  </conditionalFormatting>
  <conditionalFormatting sqref="J98:K103">
    <cfRule type="containsText" dxfId="29" priority="57" operator="containsText" text="OK">
      <formula>NOT(ISERROR(SEARCH("OK",J98)))</formula>
    </cfRule>
    <cfRule type="containsText" dxfId="28" priority="58" operator="containsText" text="ERROR">
      <formula>NOT(ISERROR(SEARCH("ERROR",J98)))</formula>
    </cfRule>
  </conditionalFormatting>
  <conditionalFormatting sqref="J104:K104">
    <cfRule type="containsText" dxfId="27" priority="55" operator="containsText" text="OK">
      <formula>NOT(ISERROR(SEARCH("OK",J104)))</formula>
    </cfRule>
    <cfRule type="containsText" dxfId="26" priority="56" operator="containsText" text="ERROR">
      <formula>NOT(ISERROR(SEARCH("ERROR",J104)))</formula>
    </cfRule>
  </conditionalFormatting>
  <conditionalFormatting sqref="J143:K145">
    <cfRule type="containsText" dxfId="25" priority="33" operator="containsText" text="OK">
      <formula>NOT(ISERROR(SEARCH("OK",J143)))</formula>
    </cfRule>
    <cfRule type="containsText" dxfId="24" priority="34" operator="containsText" text="ERROR">
      <formula>NOT(ISERROR(SEARCH("ERROR",J143)))</formula>
    </cfRule>
  </conditionalFormatting>
  <conditionalFormatting sqref="J146:K146">
    <cfRule type="containsText" dxfId="23" priority="31" operator="containsText" text="OK">
      <formula>NOT(ISERROR(SEARCH("OK",J146)))</formula>
    </cfRule>
    <cfRule type="containsText" dxfId="22" priority="32" operator="containsText" text="ERROR">
      <formula>NOT(ISERROR(SEARCH("ERROR",J146)))</formula>
    </cfRule>
  </conditionalFormatting>
  <conditionalFormatting sqref="J65:K65">
    <cfRule type="containsText" dxfId="21" priority="29" operator="containsText" text="OK">
      <formula>NOT(ISERROR(SEARCH("OK",J65)))</formula>
    </cfRule>
    <cfRule type="containsText" dxfId="20" priority="30" operator="containsText" text="ERROR">
      <formula>NOT(ISERROR(SEARCH("ERROR",J65)))</formula>
    </cfRule>
  </conditionalFormatting>
  <conditionalFormatting sqref="J94:K96">
    <cfRule type="containsText" dxfId="19" priority="27" operator="containsText" text="OK">
      <formula>NOT(ISERROR(SEARCH("OK",J94)))</formula>
    </cfRule>
    <cfRule type="containsText" dxfId="18" priority="28" operator="containsText" text="ERROR">
      <formula>NOT(ISERROR(SEARCH("ERROR",J94)))</formula>
    </cfRule>
  </conditionalFormatting>
  <conditionalFormatting sqref="J105:K107">
    <cfRule type="containsText" dxfId="17" priority="25" operator="containsText" text="OK">
      <formula>NOT(ISERROR(SEARCH("OK",J105)))</formula>
    </cfRule>
    <cfRule type="containsText" dxfId="16" priority="26" operator="containsText" text="ERROR">
      <formula>NOT(ISERROR(SEARCH("ERROR",J105)))</formula>
    </cfRule>
  </conditionalFormatting>
  <conditionalFormatting sqref="J117:K119">
    <cfRule type="containsText" dxfId="15" priority="23" operator="containsText" text="OK">
      <formula>NOT(ISERROR(SEARCH("OK",J117)))</formula>
    </cfRule>
    <cfRule type="containsText" dxfId="14" priority="24" operator="containsText" text="ERROR">
      <formula>NOT(ISERROR(SEARCH("ERROR",J117)))</formula>
    </cfRule>
  </conditionalFormatting>
  <conditionalFormatting sqref="J113:K113">
    <cfRule type="containsText" dxfId="13" priority="21" operator="containsText" text="OK">
      <formula>NOT(ISERROR(SEARCH("OK",J113)))</formula>
    </cfRule>
    <cfRule type="containsText" dxfId="12" priority="22" operator="containsText" text="ERROR">
      <formula>NOT(ISERROR(SEARCH("ERROR",J113)))</formula>
    </cfRule>
  </conditionalFormatting>
  <conditionalFormatting sqref="J116:K116">
    <cfRule type="containsText" dxfId="11" priority="19" operator="containsText" text="OK">
      <formula>NOT(ISERROR(SEARCH("OK",J116)))</formula>
    </cfRule>
    <cfRule type="containsText" dxfId="10" priority="20" operator="containsText" text="ERROR">
      <formula>NOT(ISERROR(SEARCH("ERROR",J116)))</formula>
    </cfRule>
  </conditionalFormatting>
  <conditionalFormatting sqref="J130:K130">
    <cfRule type="containsText" dxfId="9" priority="17" operator="containsText" text="OK">
      <formula>NOT(ISERROR(SEARCH("OK",J130)))</formula>
    </cfRule>
    <cfRule type="containsText" dxfId="8" priority="18" operator="containsText" text="ERROR">
      <formula>NOT(ISERROR(SEARCH("ERROR",J130)))</formula>
    </cfRule>
  </conditionalFormatting>
  <conditionalFormatting sqref="J147:K150">
    <cfRule type="containsText" dxfId="7" priority="15" operator="containsText" text="OK">
      <formula>NOT(ISERROR(SEARCH("OK",J147)))</formula>
    </cfRule>
    <cfRule type="containsText" dxfId="6" priority="16" operator="containsText" text="ERROR">
      <formula>NOT(ISERROR(SEARCH("ERROR",J147)))</formula>
    </cfRule>
  </conditionalFormatting>
  <conditionalFormatting sqref="J152:K155">
    <cfRule type="containsText" dxfId="5" priority="11" operator="containsText" text="OK">
      <formula>NOT(ISERROR(SEARCH("OK",J152)))</formula>
    </cfRule>
    <cfRule type="containsText" dxfId="4" priority="12" operator="containsText" text="ERROR">
      <formula>NOT(ISERROR(SEARCH("ERROR",J152)))</formula>
    </cfRule>
  </conditionalFormatting>
  <conditionalFormatting sqref="J131:K132">
    <cfRule type="containsText" dxfId="3" priority="7" operator="containsText" text="OK">
      <formula>NOT(ISERROR(SEARCH("OK",J131)))</formula>
    </cfRule>
    <cfRule type="containsText" dxfId="2" priority="8" operator="containsText" text="ERROR">
      <formula>NOT(ISERROR(SEARCH("ERROR",J131)))</formula>
    </cfRule>
  </conditionalFormatting>
  <conditionalFormatting sqref="J37:K37">
    <cfRule type="containsText" dxfId="1" priority="1" operator="containsText" text="OK">
      <formula>NOT(ISERROR(SEARCH("OK",J37)))</formula>
    </cfRule>
    <cfRule type="containsText" dxfId="0" priority="2" operator="containsText" text="ERROR">
      <formula>NOT(ISERROR(SEARCH("ERROR",J37)))</formula>
    </cfRule>
  </conditionalFormatting>
  <pageMargins left="0.7" right="0.7" top="0.75" bottom="0.75" header="0.3" footer="0.3"/>
  <pageSetup paperSize="8" orientation="landscape" r:id="rId1"/>
  <customProperties>
    <customPr name="_pios_id" r:id="rId2"/>
  </customProperties>
  <ignoredErrors>
    <ignoredError sqref="H99:H101 J7:J13 J16:J21 J32:J36 J23:J29" formula="1"/>
  </ignoredError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5F8D-729A-4ABD-87BA-9FC4E6C7CAF5}">
  <sheetPr codeName="Sheet2">
    <tabColor theme="1" tint="0.499984740745262"/>
  </sheetPr>
  <dimension ref="A1:X35"/>
  <sheetViews>
    <sheetView showGridLines="0" topLeftCell="C7" zoomScale="110" zoomScaleNormal="110" workbookViewId="0">
      <selection activeCell="G9" sqref="G9"/>
    </sheetView>
  </sheetViews>
  <sheetFormatPr defaultRowHeight="15.75" x14ac:dyDescent="0.25"/>
  <cols>
    <col min="1" max="1" width="4" style="128" customWidth="1"/>
    <col min="2" max="3" width="14.42578125" style="128" customWidth="1"/>
    <col min="4" max="6" width="20.85546875" style="128" customWidth="1"/>
    <col min="7" max="11" width="20.85546875" style="329" customWidth="1"/>
    <col min="12" max="12" width="18.85546875" style="329" customWidth="1"/>
    <col min="13" max="13" width="9.140625" style="329"/>
    <col min="14" max="14" width="8.85546875" style="329" customWidth="1"/>
    <col min="15" max="15" width="13.85546875" style="329" customWidth="1"/>
    <col min="16" max="21" width="11.140625" style="329" customWidth="1"/>
    <col min="22" max="23" width="9.140625" style="329"/>
    <col min="24" max="16384" width="9.140625" style="128"/>
  </cols>
  <sheetData>
    <row r="1" spans="1:24" s="125" customFormat="1" ht="21" x14ac:dyDescent="0.35">
      <c r="A1" s="131" t="s">
        <v>216</v>
      </c>
      <c r="G1" s="328"/>
      <c r="H1" s="328"/>
      <c r="I1" s="328"/>
      <c r="J1" s="328"/>
      <c r="K1" s="328"/>
      <c r="L1" s="328"/>
      <c r="M1" s="328"/>
      <c r="N1" s="328"/>
      <c r="O1" s="328"/>
      <c r="P1" s="328"/>
      <c r="Q1" s="328"/>
      <c r="R1" s="328"/>
      <c r="S1" s="328"/>
      <c r="T1" s="328"/>
      <c r="U1" s="328"/>
      <c r="V1" s="328"/>
      <c r="W1" s="328"/>
    </row>
    <row r="3" spans="1:24" ht="18.75" x14ac:dyDescent="0.3">
      <c r="B3" s="127" t="s">
        <v>198</v>
      </c>
    </row>
    <row r="5" spans="1:24" x14ac:dyDescent="0.25">
      <c r="B5" s="126" t="s">
        <v>10</v>
      </c>
      <c r="D5" s="524" t="s">
        <v>11</v>
      </c>
      <c r="E5" s="525"/>
      <c r="L5" s="330"/>
      <c r="M5" s="331"/>
      <c r="N5"/>
      <c r="O5"/>
      <c r="P5"/>
      <c r="Q5"/>
      <c r="R5"/>
      <c r="S5"/>
      <c r="T5" s="331"/>
      <c r="U5" s="331"/>
    </row>
    <row r="6" spans="1:24" x14ac:dyDescent="0.25">
      <c r="B6" s="126"/>
      <c r="D6" s="129"/>
      <c r="L6" s="332"/>
      <c r="M6" s="333"/>
      <c r="N6"/>
      <c r="O6"/>
      <c r="P6"/>
      <c r="Q6"/>
      <c r="R6"/>
      <c r="S6"/>
      <c r="T6" s="334"/>
      <c r="U6" s="335"/>
    </row>
    <row r="7" spans="1:24" x14ac:dyDescent="0.25">
      <c r="B7" s="126" t="s">
        <v>189</v>
      </c>
      <c r="D7" s="526" t="s">
        <v>188</v>
      </c>
      <c r="L7" s="330"/>
      <c r="M7" s="333"/>
      <c r="N7"/>
      <c r="O7"/>
      <c r="P7"/>
      <c r="Q7"/>
      <c r="R7"/>
      <c r="S7"/>
      <c r="T7" s="334"/>
      <c r="U7" s="335"/>
    </row>
    <row r="8" spans="1:24" x14ac:dyDescent="0.25">
      <c r="B8" s="126"/>
      <c r="D8" s="129"/>
      <c r="F8" s="21" t="s">
        <v>535</v>
      </c>
      <c r="G8" s="21" t="s">
        <v>536</v>
      </c>
      <c r="L8" s="330"/>
      <c r="M8" s="333"/>
      <c r="N8"/>
      <c r="O8"/>
      <c r="P8"/>
      <c r="Q8"/>
      <c r="R8"/>
      <c r="S8"/>
      <c r="T8" s="334"/>
      <c r="U8" s="335"/>
    </row>
    <row r="9" spans="1:24" x14ac:dyDescent="0.25">
      <c r="B9" s="126" t="s">
        <v>190</v>
      </c>
      <c r="D9" s="830" t="s">
        <v>275</v>
      </c>
      <c r="E9" s="130" t="s">
        <v>213</v>
      </c>
      <c r="F9" s="526">
        <v>365</v>
      </c>
      <c r="G9" s="128">
        <f>IF(F9=365,151,152)</f>
        <v>151</v>
      </c>
      <c r="L9" s="330"/>
      <c r="M9" s="333"/>
      <c r="N9"/>
      <c r="O9"/>
      <c r="P9"/>
      <c r="Q9"/>
      <c r="R9"/>
      <c r="S9"/>
      <c r="T9" s="334"/>
      <c r="U9" s="335"/>
    </row>
    <row r="10" spans="1:24" x14ac:dyDescent="0.25">
      <c r="L10" s="330"/>
      <c r="M10" s="333"/>
      <c r="N10"/>
      <c r="O10"/>
      <c r="P10"/>
      <c r="Q10"/>
      <c r="R10"/>
      <c r="S10"/>
      <c r="T10" s="334"/>
      <c r="U10" s="335"/>
    </row>
    <row r="11" spans="1:24" x14ac:dyDescent="0.25">
      <c r="B11" s="128" t="s">
        <v>260</v>
      </c>
      <c r="C11" s="130" t="s">
        <v>191</v>
      </c>
      <c r="E11" s="130" t="s">
        <v>228</v>
      </c>
      <c r="G11" s="130" t="s">
        <v>349</v>
      </c>
      <c r="H11" s="130" t="s">
        <v>196</v>
      </c>
      <c r="I11" s="130" t="s">
        <v>269</v>
      </c>
      <c r="L11" s="130" t="s">
        <v>646</v>
      </c>
      <c r="M11" s="330"/>
      <c r="N11" s="333"/>
      <c r="O11"/>
      <c r="P11"/>
      <c r="Q11"/>
      <c r="R11"/>
      <c r="S11"/>
      <c r="T11"/>
      <c r="U11" s="334"/>
      <c r="V11" s="335"/>
      <c r="X11" s="329"/>
    </row>
    <row r="12" spans="1:24" x14ac:dyDescent="0.25">
      <c r="B12" s="128" t="s">
        <v>182</v>
      </c>
      <c r="C12" s="577">
        <v>2022</v>
      </c>
      <c r="E12" s="445">
        <f>INDEX($F$19:$F$31,MATCH($B$12,$B$19:$B$31,0))</f>
        <v>8.6058519793459354E-3</v>
      </c>
      <c r="G12" s="445">
        <f>INDEX($G$19:$G$31,MATCH($B$12,$B$19:$B$31,0))</f>
        <v>1.8134249912387396E-2</v>
      </c>
      <c r="H12" s="445">
        <f>INDEX($H$19:$H$31,MATCH($B$12,$B$19:$B$31,0))</f>
        <v>4.5654541153158243E-2</v>
      </c>
      <c r="I12" s="445">
        <f>INDEX($I$19:$I$31,MATCH($B$12,$B$19:$B$31,0))</f>
        <v>1.3775850933446687E-2</v>
      </c>
      <c r="L12" s="445">
        <f>INDEX($L$19:$L$31,MATCH($B$12,$B$19:$B$31,0))</f>
        <v>3.1203816756136815E-2</v>
      </c>
      <c r="N12" s="333"/>
      <c r="O12"/>
      <c r="P12"/>
      <c r="Q12"/>
      <c r="R12"/>
      <c r="S12"/>
      <c r="T12"/>
      <c r="X12" s="329"/>
    </row>
    <row r="13" spans="1:24" x14ac:dyDescent="0.25">
      <c r="B13" s="128" t="s">
        <v>181</v>
      </c>
      <c r="C13" s="129">
        <f>C12-1</f>
        <v>2021</v>
      </c>
      <c r="E13" s="445">
        <f>INDEX($F$19:$F$31,MATCH($B$13,$B$19:$B$31,0))</f>
        <v>1.8404907975460238E-2</v>
      </c>
      <c r="G13" s="445">
        <f>INDEX($G$19:$G$31,MATCH($B$13,$B$19:$B$31,0))</f>
        <v>0</v>
      </c>
      <c r="H13" s="445">
        <f>INDEX($H$19:$H$31,MATCH($B$13,$B$19:$B$31,0))</f>
        <v>4.7455559849309541E-2</v>
      </c>
      <c r="I13" s="445">
        <f>INDEX($I$19:$I$31,MATCH($B$13,$B$19:$B$31,0))</f>
        <v>4.2206517490312449E-2</v>
      </c>
      <c r="L13" s="445">
        <f>INDEX($L$19:$L$31,MATCH($B$13,$B$19:$B$31,0))</f>
        <v>4.3015806950562618E-2</v>
      </c>
      <c r="O13"/>
      <c r="P13"/>
      <c r="Q13"/>
      <c r="R13"/>
      <c r="S13"/>
      <c r="T13"/>
      <c r="X13" s="329"/>
    </row>
    <row r="14" spans="1:24" x14ac:dyDescent="0.25">
      <c r="B14" s="128" t="s">
        <v>180</v>
      </c>
      <c r="C14" s="129">
        <f>C13-1</f>
        <v>2020</v>
      </c>
      <c r="E14" s="445">
        <f>INDEX($F$19:$F$31,MATCH($B$14,$B$19:$B$31,0))</f>
        <v>1.7841213202497874E-2</v>
      </c>
      <c r="G14" s="445">
        <f>INDEX($G$19:$G$31,MATCH($B$14,$B$19:$B$31,0))</f>
        <v>-8.5389239476252911E-3</v>
      </c>
      <c r="H14" s="445">
        <f>INDEX($H$19:$H$31,MATCH($B$14,$B$19:$B$31,0))</f>
        <v>6.0856782764485799E-2</v>
      </c>
      <c r="I14" s="445">
        <f>INDEX($I$19:$I$31,MATCH($B$14,$B$19:$B$31,0))</f>
        <v>1.4359118242871505E-2</v>
      </c>
      <c r="X14" s="329"/>
    </row>
    <row r="16" spans="1:24" ht="15" x14ac:dyDescent="0.25">
      <c r="G16" s="128"/>
      <c r="H16" s="128"/>
      <c r="I16" s="128"/>
      <c r="J16" s="128"/>
      <c r="K16" s="128"/>
      <c r="L16" s="128"/>
      <c r="M16" s="128"/>
      <c r="N16" s="128"/>
      <c r="O16" s="128"/>
      <c r="P16" s="128"/>
      <c r="Q16" s="128"/>
      <c r="R16" s="128"/>
      <c r="S16" s="128"/>
      <c r="T16" s="128"/>
      <c r="U16" s="128"/>
      <c r="V16" s="128"/>
      <c r="W16" s="128"/>
    </row>
    <row r="17" spans="2:23" ht="15" x14ac:dyDescent="0.25">
      <c r="B17" s="344" t="s">
        <v>268</v>
      </c>
      <c r="E17" s="534" t="s">
        <v>188</v>
      </c>
      <c r="G17" s="128"/>
      <c r="H17" s="128"/>
      <c r="I17" s="128"/>
      <c r="J17" s="128"/>
      <c r="K17" s="128"/>
      <c r="L17" s="128"/>
      <c r="M17" s="128"/>
      <c r="N17" s="128"/>
      <c r="O17" s="128"/>
      <c r="P17" s="128"/>
      <c r="Q17" s="128"/>
      <c r="R17" s="128"/>
      <c r="S17" s="128"/>
      <c r="T17" s="128"/>
      <c r="U17" s="128"/>
      <c r="V17" s="128"/>
      <c r="W17" s="128"/>
    </row>
    <row r="18" spans="2:23" ht="15" x14ac:dyDescent="0.25">
      <c r="B18" s="146" t="s">
        <v>261</v>
      </c>
      <c r="C18" s="348" t="s">
        <v>248</v>
      </c>
      <c r="D18" s="345" t="s">
        <v>257</v>
      </c>
      <c r="E18" s="345" t="s">
        <v>228</v>
      </c>
      <c r="F18" s="345" t="s">
        <v>249</v>
      </c>
      <c r="G18" s="345" t="s">
        <v>258</v>
      </c>
      <c r="H18" s="345" t="s">
        <v>196</v>
      </c>
      <c r="I18" s="345" t="s">
        <v>269</v>
      </c>
      <c r="J18" s="586" t="s">
        <v>471</v>
      </c>
      <c r="K18" s="586" t="s">
        <v>645</v>
      </c>
      <c r="L18" s="586" t="s">
        <v>646</v>
      </c>
      <c r="M18" s="128"/>
      <c r="N18" s="128"/>
      <c r="O18" s="128"/>
      <c r="P18" s="128"/>
      <c r="Q18" s="128"/>
      <c r="R18" s="128"/>
      <c r="S18" s="128"/>
      <c r="T18" s="128"/>
      <c r="U18" s="128"/>
      <c r="V18" s="128"/>
      <c r="W18" s="128"/>
    </row>
    <row r="19" spans="2:23" ht="15" x14ac:dyDescent="0.25">
      <c r="B19" s="521" t="s">
        <v>181</v>
      </c>
      <c r="C19" s="527" t="s">
        <v>179</v>
      </c>
      <c r="D19" s="528" t="s">
        <v>270</v>
      </c>
      <c r="E19" s="564">
        <v>116.2</v>
      </c>
      <c r="F19" s="349">
        <f>E19/E31-1</f>
        <v>1.8404907975460238E-2</v>
      </c>
      <c r="G19" s="567">
        <v>0</v>
      </c>
      <c r="H19" s="567">
        <f>[6]SAPN!$B$3</f>
        <v>4.7455559849309541E-2</v>
      </c>
      <c r="I19" s="585">
        <f>'[7]S-factor'!$M$36</f>
        <v>4.2206517490312449E-2</v>
      </c>
      <c r="J19" s="589">
        <f>[6]SAPN!$H$11</f>
        <v>775.90954497412315</v>
      </c>
      <c r="K19" s="763">
        <f>[6]SAPN!$B$9</f>
        <v>2.4166123692419772E-2</v>
      </c>
      <c r="L19" s="763">
        <f>(1+K19)*(1+F19)-1</f>
        <v>4.3015806950562618E-2</v>
      </c>
      <c r="M19" s="128"/>
      <c r="N19" s="128"/>
      <c r="O19" s="128"/>
      <c r="P19" s="128"/>
      <c r="Q19" s="128"/>
      <c r="R19" s="128"/>
      <c r="S19" s="128"/>
      <c r="T19" s="128"/>
      <c r="U19" s="128"/>
      <c r="V19" s="128"/>
      <c r="W19" s="128"/>
    </row>
    <row r="20" spans="2:23" ht="15" x14ac:dyDescent="0.25">
      <c r="B20" s="522" t="s">
        <v>182</v>
      </c>
      <c r="C20" s="529" t="s">
        <v>275</v>
      </c>
      <c r="D20" s="530" t="s">
        <v>271</v>
      </c>
      <c r="E20" s="565">
        <v>117.2</v>
      </c>
      <c r="F20" s="346">
        <f>IF(E20="","",(E20/E19-1))</f>
        <v>8.6058519793459354E-3</v>
      </c>
      <c r="G20" s="568">
        <v>1.8134249912387396E-2</v>
      </c>
      <c r="H20" s="568">
        <v>4.5654541153158243E-2</v>
      </c>
      <c r="I20" s="584">
        <f>'[8]S-factor'!$N$36</f>
        <v>1.3775850933446687E-2</v>
      </c>
      <c r="J20" s="587"/>
      <c r="K20" s="828">
        <v>2.2405149377671484E-2</v>
      </c>
      <c r="L20" s="828">
        <f>(1+K20)*(1+F20)-1</f>
        <v>3.1203816756136815E-2</v>
      </c>
      <c r="M20" s="128"/>
      <c r="N20" s="128"/>
      <c r="O20" s="128"/>
      <c r="P20" s="128"/>
      <c r="Q20" s="128"/>
      <c r="R20" s="128"/>
      <c r="S20" s="128"/>
      <c r="T20" s="128"/>
      <c r="U20" s="128"/>
      <c r="V20" s="128"/>
      <c r="W20" s="128"/>
    </row>
    <row r="21" spans="2:23" ht="15" x14ac:dyDescent="0.25">
      <c r="B21" s="522"/>
      <c r="C21" s="529" t="s">
        <v>276</v>
      </c>
      <c r="D21" s="530" t="s">
        <v>272</v>
      </c>
      <c r="E21" s="565">
        <f>E20*(1+[6]SAPN!$B$6)</f>
        <v>119.86511638536409</v>
      </c>
      <c r="F21" s="346">
        <f>IF(E21="","",(E21/E20-1))</f>
        <v>2.2739900899011012E-2</v>
      </c>
      <c r="G21" s="568">
        <f>[6]SAPN!$J$13</f>
        <v>1.7892495215348712E-2</v>
      </c>
      <c r="H21" s="568"/>
      <c r="I21" s="568"/>
      <c r="J21" s="587"/>
      <c r="K21" s="587"/>
      <c r="L21" s="587"/>
      <c r="M21" s="128"/>
      <c r="N21" s="128"/>
      <c r="O21" s="128"/>
      <c r="P21" s="128"/>
      <c r="Q21" s="128"/>
      <c r="R21" s="128"/>
      <c r="S21" s="128"/>
      <c r="T21" s="128"/>
      <c r="U21" s="128"/>
      <c r="V21" s="128"/>
      <c r="W21" s="128"/>
    </row>
    <row r="22" spans="2:23" ht="15" x14ac:dyDescent="0.25">
      <c r="B22" s="522"/>
      <c r="C22" s="529" t="s">
        <v>277</v>
      </c>
      <c r="D22" s="530" t="s">
        <v>273</v>
      </c>
      <c r="E22" s="565">
        <f>E21*(1+[6]SAPN!$B$6)</f>
        <v>122.5908372532157</v>
      </c>
      <c r="F22" s="346">
        <f>IF(E22="","",(E22/E21-1))</f>
        <v>2.2739900899011012E-2</v>
      </c>
      <c r="G22" s="568">
        <f>[6]SAPN!$K$13</f>
        <v>1.7892495215348712E-2</v>
      </c>
      <c r="H22" s="568"/>
      <c r="I22" s="568"/>
      <c r="J22" s="587"/>
      <c r="K22" s="829"/>
      <c r="L22" s="587"/>
      <c r="M22" s="128"/>
      <c r="N22" s="128"/>
      <c r="O22" s="128"/>
      <c r="P22" s="128"/>
      <c r="Q22" s="128"/>
      <c r="R22" s="128"/>
      <c r="S22" s="128"/>
      <c r="T22" s="128"/>
      <c r="U22" s="128"/>
      <c r="V22" s="128"/>
      <c r="W22" s="128"/>
    </row>
    <row r="23" spans="2:23" ht="15" x14ac:dyDescent="0.25">
      <c r="B23" s="523"/>
      <c r="C23" s="532" t="s">
        <v>278</v>
      </c>
      <c r="D23" s="533" t="s">
        <v>274</v>
      </c>
      <c r="E23" s="566">
        <f>E22*(1+[6]SAPN!$B$6)</f>
        <v>125.37854074348061</v>
      </c>
      <c r="F23" s="347">
        <f>IF(E23="","",(E23/E22-1))</f>
        <v>2.2739900899011012E-2</v>
      </c>
      <c r="G23" s="569">
        <f>[6]SAPN!$L$13</f>
        <v>1.7892495215348712E-2</v>
      </c>
      <c r="H23" s="569"/>
      <c r="I23" s="569"/>
      <c r="J23" s="588"/>
      <c r="K23" s="588"/>
      <c r="L23" s="588"/>
      <c r="M23" s="128"/>
      <c r="N23" s="128"/>
      <c r="O23" s="128"/>
      <c r="P23" s="128"/>
      <c r="Q23" s="128"/>
      <c r="R23" s="128"/>
      <c r="S23" s="128"/>
      <c r="T23" s="128"/>
      <c r="U23" s="128"/>
      <c r="V23" s="128"/>
      <c r="W23" s="128"/>
    </row>
    <row r="24" spans="2:23" ht="15" x14ac:dyDescent="0.25">
      <c r="B24" s="129"/>
      <c r="C24" s="129"/>
      <c r="D24" s="129"/>
      <c r="E24" s="129"/>
      <c r="F24" s="129"/>
      <c r="G24" s="570"/>
      <c r="H24" s="570"/>
      <c r="I24" s="571"/>
      <c r="J24" s="237"/>
      <c r="K24" s="237"/>
      <c r="L24" s="128"/>
      <c r="M24" s="128"/>
      <c r="N24" s="128"/>
      <c r="O24" s="128"/>
      <c r="P24" s="128"/>
      <c r="Q24" s="128"/>
      <c r="R24" s="128"/>
      <c r="S24" s="128"/>
      <c r="T24" s="128"/>
      <c r="U24" s="128"/>
      <c r="V24" s="128"/>
      <c r="W24" s="128"/>
    </row>
    <row r="25" spans="2:23" ht="15" x14ac:dyDescent="0.25">
      <c r="B25" s="344" t="s">
        <v>256</v>
      </c>
      <c r="E25" s="534" t="s">
        <v>267</v>
      </c>
      <c r="G25" s="572"/>
      <c r="H25" s="572"/>
      <c r="I25" s="573"/>
      <c r="J25" s="233"/>
      <c r="K25" s="233"/>
      <c r="L25" s="128"/>
      <c r="M25" s="128"/>
      <c r="N25" s="128"/>
      <c r="O25" s="128"/>
      <c r="P25" s="128"/>
      <c r="Q25" s="128"/>
      <c r="R25" s="128"/>
      <c r="S25" s="128"/>
      <c r="T25" s="128"/>
      <c r="U25" s="128"/>
      <c r="V25" s="128"/>
      <c r="W25" s="128"/>
    </row>
    <row r="26" spans="2:23" ht="15" x14ac:dyDescent="0.25">
      <c r="B26" s="146" t="s">
        <v>261</v>
      </c>
      <c r="C26" s="348" t="s">
        <v>248</v>
      </c>
      <c r="D26" s="345" t="s">
        <v>257</v>
      </c>
      <c r="E26" s="345" t="s">
        <v>228</v>
      </c>
      <c r="F26" s="345" t="s">
        <v>249</v>
      </c>
      <c r="G26" s="574" t="s">
        <v>258</v>
      </c>
      <c r="H26" s="574" t="s">
        <v>196</v>
      </c>
      <c r="I26" s="574" t="s">
        <v>259</v>
      </c>
      <c r="J26" s="412" t="s">
        <v>250</v>
      </c>
      <c r="K26" s="413" t="s">
        <v>279</v>
      </c>
      <c r="L26" s="128"/>
      <c r="M26" s="128"/>
      <c r="N26" s="128"/>
      <c r="O26" s="128"/>
      <c r="P26" s="128"/>
      <c r="Q26" s="128"/>
      <c r="R26" s="128"/>
      <c r="S26" s="128"/>
      <c r="T26" s="128"/>
      <c r="U26" s="128"/>
      <c r="V26" s="128"/>
      <c r="W26" s="128"/>
    </row>
    <row r="27" spans="2:23" ht="15" x14ac:dyDescent="0.25">
      <c r="B27" s="521"/>
      <c r="C27" s="527" t="s">
        <v>251</v>
      </c>
      <c r="D27" s="528" t="s">
        <v>262</v>
      </c>
      <c r="E27" s="564">
        <v>106.6</v>
      </c>
      <c r="F27" s="535">
        <v>1.7175572519083859E-2</v>
      </c>
      <c r="G27" s="567"/>
      <c r="H27" s="567">
        <f>ROUND([9]!vanilla01,8)</f>
        <v>6.1679999999999999E-2</v>
      </c>
      <c r="I27" s="567">
        <f>'[7]S-factor'!$H$36</f>
        <v>-5.8292991223979158E-7</v>
      </c>
      <c r="J27" s="414">
        <v>1</v>
      </c>
      <c r="K27" s="417">
        <f>J27-1</f>
        <v>0</v>
      </c>
      <c r="L27" s="128"/>
      <c r="M27" s="128"/>
      <c r="N27" s="128"/>
      <c r="O27" s="128"/>
      <c r="P27" s="128"/>
      <c r="Q27" s="128"/>
      <c r="R27" s="128"/>
      <c r="S27" s="128"/>
      <c r="T27" s="128"/>
      <c r="U27" s="128"/>
      <c r="V27" s="128"/>
      <c r="W27" s="128"/>
    </row>
    <row r="28" spans="2:23" ht="15" x14ac:dyDescent="0.25">
      <c r="B28" s="522"/>
      <c r="C28" s="529" t="s">
        <v>252</v>
      </c>
      <c r="D28" s="530" t="s">
        <v>263</v>
      </c>
      <c r="E28" s="565">
        <v>108.4</v>
      </c>
      <c r="F28" s="346">
        <f>E28/E27-1</f>
        <v>1.6885553470919357E-2</v>
      </c>
      <c r="G28" s="568">
        <v>-7.127E-2</v>
      </c>
      <c r="H28" s="568">
        <f>ROUND([9]!vanilla02,8)</f>
        <v>6.1856399999999999E-2</v>
      </c>
      <c r="I28" s="568">
        <f>'[7]S-factor'!$I$36</f>
        <v>2.2371809708668033E-2</v>
      </c>
      <c r="J28" s="414">
        <f>(1+I28)*J27</f>
        <v>1.022371809708668</v>
      </c>
      <c r="K28" s="417">
        <f>J28-1</f>
        <v>2.2371809708668033E-2</v>
      </c>
      <c r="L28" s="128"/>
      <c r="M28" s="128"/>
      <c r="N28" s="128"/>
      <c r="O28" s="128"/>
      <c r="P28" s="128"/>
      <c r="Q28" s="128"/>
      <c r="R28" s="128"/>
      <c r="S28" s="128"/>
      <c r="T28" s="128"/>
      <c r="U28" s="128"/>
      <c r="V28" s="128"/>
      <c r="W28" s="128"/>
    </row>
    <row r="29" spans="2:23" ht="15" x14ac:dyDescent="0.25">
      <c r="B29" s="522"/>
      <c r="C29" s="529" t="s">
        <v>253</v>
      </c>
      <c r="D29" s="530" t="s">
        <v>264</v>
      </c>
      <c r="E29" s="565">
        <v>110</v>
      </c>
      <c r="F29" s="346">
        <f>E29/E28-1</f>
        <v>1.4760147601476037E-2</v>
      </c>
      <c r="G29" s="568">
        <f>ROUND([9]!X_03_RevCap,8)</f>
        <v>-9.4255199999999997E-3</v>
      </c>
      <c r="H29" s="568">
        <f>ROUND([9]!vanilla03,8)</f>
        <v>6.175398E-2</v>
      </c>
      <c r="I29" s="568">
        <f>'[7]S-factor'!$J$36</f>
        <v>1.3487255731585046E-2</v>
      </c>
      <c r="J29" s="414">
        <f>(1+I29)*J28</f>
        <v>1.0361607997589724</v>
      </c>
      <c r="K29" s="417">
        <f>J29-1</f>
        <v>3.6160799758972351E-2</v>
      </c>
      <c r="L29" s="128"/>
      <c r="M29" s="128"/>
      <c r="N29" s="128"/>
      <c r="O29" s="128"/>
      <c r="P29" s="128"/>
      <c r="Q29" s="128"/>
      <c r="R29" s="128"/>
      <c r="S29" s="128"/>
      <c r="T29" s="128"/>
      <c r="U29" s="128"/>
      <c r="V29" s="128"/>
      <c r="W29" s="128"/>
    </row>
    <row r="30" spans="2:23" ht="15" x14ac:dyDescent="0.25">
      <c r="B30" s="522"/>
      <c r="C30" s="529" t="s">
        <v>254</v>
      </c>
      <c r="D30" s="530" t="s">
        <v>265</v>
      </c>
      <c r="E30" s="565">
        <v>112.1</v>
      </c>
      <c r="F30" s="346">
        <f>E30/E29-1</f>
        <v>1.9090909090909047E-2</v>
      </c>
      <c r="G30" s="568">
        <v>-7.3863031297503766E-3</v>
      </c>
      <c r="H30" s="568">
        <v>6.1290228084052739E-2</v>
      </c>
      <c r="I30" s="568">
        <f>'[7]S-factor'!$K$36</f>
        <v>-6.6536169262350064E-3</v>
      </c>
      <c r="J30" s="414">
        <f>(1+I30)*J29</f>
        <v>1.0292665827233949</v>
      </c>
      <c r="K30" s="417">
        <f>J30-1</f>
        <v>2.9266582723394885E-2</v>
      </c>
      <c r="L30" s="128"/>
      <c r="M30" s="128"/>
      <c r="N30" s="128"/>
      <c r="O30" s="128"/>
      <c r="P30" s="128"/>
      <c r="Q30" s="128"/>
      <c r="R30" s="128"/>
      <c r="S30" s="128"/>
      <c r="T30" s="128"/>
      <c r="U30" s="128"/>
      <c r="V30" s="128"/>
      <c r="W30" s="128"/>
    </row>
    <row r="31" spans="2:23" ht="15" x14ac:dyDescent="0.25">
      <c r="B31" s="523" t="s">
        <v>180</v>
      </c>
      <c r="C31" s="532" t="s">
        <v>255</v>
      </c>
      <c r="D31" s="533" t="s">
        <v>266</v>
      </c>
      <c r="E31" s="566">
        <v>114.1</v>
      </c>
      <c r="F31" s="347">
        <f>E31/E30-1</f>
        <v>1.7841213202497874E-2</v>
      </c>
      <c r="G31" s="569">
        <f>[10]!X_05_RevCap</f>
        <v>-8.5389239476252911E-3</v>
      </c>
      <c r="H31" s="569">
        <f>[10]!vanilla05</f>
        <v>6.0856782764485799E-2</v>
      </c>
      <c r="I31" s="569">
        <f>'[7]S-factor'!$L$36</f>
        <v>1.4359118242871505E-2</v>
      </c>
      <c r="J31" s="416">
        <f>(1+I31)*J30</f>
        <v>1.0440459432881564</v>
      </c>
      <c r="K31" s="418">
        <f>J31-1</f>
        <v>4.4045943288156364E-2</v>
      </c>
      <c r="L31" s="128"/>
      <c r="M31" s="128"/>
      <c r="N31" s="128"/>
      <c r="O31" s="128"/>
      <c r="P31" s="128"/>
      <c r="Q31" s="128"/>
      <c r="R31" s="128"/>
      <c r="S31" s="128"/>
      <c r="T31" s="128"/>
      <c r="U31" s="128"/>
      <c r="V31" s="128"/>
      <c r="W31" s="128"/>
    </row>
    <row r="32" spans="2:23" ht="14.25" customHeight="1" x14ac:dyDescent="0.25">
      <c r="G32" s="128"/>
      <c r="H32" s="128"/>
      <c r="I32" s="128"/>
      <c r="J32" s="128"/>
      <c r="K32" s="128"/>
      <c r="L32" s="128"/>
      <c r="M32" s="128"/>
      <c r="N32" s="128"/>
      <c r="O32" s="128"/>
      <c r="P32" s="128"/>
      <c r="Q32" s="128"/>
      <c r="R32" s="128"/>
      <c r="S32" s="128"/>
      <c r="T32" s="128"/>
      <c r="U32" s="128"/>
      <c r="V32" s="128"/>
      <c r="W32" s="128"/>
    </row>
    <row r="33" spans="7:24" ht="15" x14ac:dyDescent="0.25">
      <c r="G33" s="128"/>
      <c r="H33" s="128"/>
      <c r="I33" s="128"/>
      <c r="J33" s="128"/>
      <c r="K33" s="128"/>
      <c r="L33" s="128"/>
      <c r="M33" s="128"/>
      <c r="N33" s="128"/>
      <c r="O33" s="128"/>
      <c r="P33" s="128"/>
      <c r="Q33" s="128"/>
      <c r="R33" s="128"/>
      <c r="S33" s="128"/>
      <c r="T33" s="128"/>
      <c r="U33" s="128"/>
      <c r="V33" s="128"/>
      <c r="W33" s="128"/>
    </row>
    <row r="34" spans="7:24" x14ac:dyDescent="0.25">
      <c r="G34" s="128"/>
      <c r="X34" s="329"/>
    </row>
    <row r="35" spans="7:24" x14ac:dyDescent="0.25">
      <c r="G35" s="128"/>
      <c r="X35" s="329"/>
    </row>
  </sheetData>
  <phoneticPr fontId="26" type="noConversion"/>
  <pageMargins left="0.7" right="0.7" top="0.75" bottom="0.75" header="0.3" footer="0.3"/>
  <pageSetup paperSize="9" orientation="portrait" r:id="rId1"/>
  <customProperties>
    <customPr name="_pios_id" r:id="rId2"/>
  </customProperties>
  <ignoredErrors>
    <ignoredError sqref="H27:H31" unlockedFormula="1"/>
  </ignoredError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680A6-8E9D-463B-BF80-90540980D019}">
  <sheetPr codeName="Sheet15">
    <tabColor rgb="FFFA780A"/>
    <pageSetUpPr fitToPage="1"/>
  </sheetPr>
  <dimension ref="A1:Q77"/>
  <sheetViews>
    <sheetView showGridLines="0" workbookViewId="0">
      <selection activeCell="G40" sqref="G40"/>
    </sheetView>
  </sheetViews>
  <sheetFormatPr defaultRowHeight="12.75" x14ac:dyDescent="0.2"/>
  <cols>
    <col min="1" max="1" width="3.28515625" style="3" customWidth="1"/>
    <col min="2" max="2" width="18.28515625" style="3" customWidth="1"/>
    <col min="3" max="3" width="29.85546875" style="3" customWidth="1"/>
    <col min="4" max="5" width="12" style="3" customWidth="1"/>
    <col min="6" max="8" width="12.28515625" style="3" bestFit="1" customWidth="1"/>
    <col min="9" max="10" width="11.42578125" style="3" customWidth="1"/>
    <col min="11" max="16384" width="9.140625" style="3"/>
  </cols>
  <sheetData>
    <row r="1" spans="1:17" s="125" customFormat="1" ht="21" x14ac:dyDescent="0.35">
      <c r="A1" s="131" t="s">
        <v>449</v>
      </c>
    </row>
    <row r="3" spans="1:17" s="592" customFormat="1" x14ac:dyDescent="0.2">
      <c r="A3" s="592" t="s">
        <v>415</v>
      </c>
    </row>
    <row r="5" spans="1:17" x14ac:dyDescent="0.2">
      <c r="B5" s="36" t="s">
        <v>416</v>
      </c>
    </row>
    <row r="6" spans="1:17" ht="12.75" customHeight="1" x14ac:dyDescent="0.2">
      <c r="B6" s="940" t="s">
        <v>439</v>
      </c>
      <c r="C6" s="940"/>
      <c r="D6" s="940"/>
      <c r="E6" s="940"/>
      <c r="F6" s="940"/>
      <c r="G6" s="940"/>
      <c r="H6" s="940"/>
      <c r="I6" s="940"/>
      <c r="J6" s="940"/>
      <c r="K6" s="940"/>
      <c r="L6" s="940"/>
      <c r="M6" s="940"/>
      <c r="N6" s="940"/>
      <c r="O6" s="940"/>
      <c r="P6" s="940"/>
      <c r="Q6" s="940"/>
    </row>
    <row r="7" spans="1:17" x14ac:dyDescent="0.2">
      <c r="B7" s="940"/>
      <c r="C7" s="940"/>
      <c r="D7" s="940"/>
      <c r="E7" s="940"/>
      <c r="F7" s="940"/>
      <c r="G7" s="940"/>
      <c r="H7" s="940"/>
      <c r="I7" s="940"/>
      <c r="J7" s="940"/>
      <c r="K7" s="940"/>
      <c r="L7" s="940"/>
      <c r="M7" s="940"/>
      <c r="N7" s="940"/>
      <c r="O7" s="940"/>
      <c r="P7" s="940"/>
      <c r="Q7" s="940"/>
    </row>
    <row r="9" spans="1:17" x14ac:dyDescent="0.2">
      <c r="B9" s="36" t="s">
        <v>406</v>
      </c>
      <c r="D9" s="593" t="s">
        <v>251</v>
      </c>
      <c r="E9" s="593" t="s">
        <v>252</v>
      </c>
      <c r="F9" s="593" t="s">
        <v>253</v>
      </c>
      <c r="G9" s="593" t="s">
        <v>254</v>
      </c>
      <c r="H9" s="593" t="s">
        <v>255</v>
      </c>
    </row>
    <row r="10" spans="1:17" x14ac:dyDescent="0.2">
      <c r="B10" s="36"/>
      <c r="C10" s="36"/>
      <c r="D10" s="21" t="s">
        <v>433</v>
      </c>
      <c r="E10" s="21" t="s">
        <v>433</v>
      </c>
      <c r="F10" s="21" t="s">
        <v>433</v>
      </c>
      <c r="G10" s="21" t="s">
        <v>433</v>
      </c>
      <c r="H10" s="21" t="s">
        <v>433</v>
      </c>
    </row>
    <row r="11" spans="1:17" x14ac:dyDescent="0.2">
      <c r="B11" s="3" t="s">
        <v>407</v>
      </c>
      <c r="C11" s="3" t="s">
        <v>408</v>
      </c>
      <c r="D11" s="594">
        <f>679011681.463434+D12</f>
        <v>640948975.9268676</v>
      </c>
      <c r="E11" s="594">
        <f>755805870.737435+E12</f>
        <v>778002805.51524854</v>
      </c>
      <c r="F11" s="594">
        <f>788554421.168484+F12</f>
        <v>805621981.8863188</v>
      </c>
      <c r="G11" s="594">
        <f>804157866.603311+G12</f>
        <v>814258651.68082845</v>
      </c>
      <c r="H11" s="594">
        <f>837347539.09784+H12</f>
        <v>810713166.69622874</v>
      </c>
    </row>
    <row r="12" spans="1:17" x14ac:dyDescent="0.2">
      <c r="B12" s="3" t="s">
        <v>410</v>
      </c>
      <c r="C12" s="3" t="s">
        <v>411</v>
      </c>
      <c r="D12" s="595">
        <f>'[22]3.1 Revenue'!$C$24</f>
        <v>-38062705.536566369</v>
      </c>
      <c r="E12" s="595">
        <f>'[23]3.1 Revenue'!$C$24</f>
        <v>22196934.777813505</v>
      </c>
      <c r="F12" s="595">
        <f>'[24]3.1 Revenue'!$C$24</f>
        <v>17067560.717834804</v>
      </c>
      <c r="G12" s="594">
        <v>10100785.07751747</v>
      </c>
      <c r="H12" s="594">
        <v>-26634372.401611205</v>
      </c>
    </row>
    <row r="13" spans="1:17" ht="13.5" thickBot="1" x14ac:dyDescent="0.25">
      <c r="B13" s="3" t="s">
        <v>407</v>
      </c>
      <c r="C13" s="3" t="s">
        <v>409</v>
      </c>
      <c r="D13" s="596">
        <f>D11-D12</f>
        <v>679011681.46343398</v>
      </c>
      <c r="E13" s="596">
        <f>E11-E12</f>
        <v>755805870.73743498</v>
      </c>
      <c r="F13" s="596">
        <f>F11-F12</f>
        <v>788554421.16848397</v>
      </c>
      <c r="G13" s="596">
        <f>G11-G12</f>
        <v>804157866.60331094</v>
      </c>
      <c r="H13" s="596">
        <f>H11-H12</f>
        <v>837347539.09783995</v>
      </c>
    </row>
    <row r="16" spans="1:17" x14ac:dyDescent="0.2">
      <c r="B16" s="36" t="s">
        <v>412</v>
      </c>
      <c r="D16" s="593" t="s">
        <v>251</v>
      </c>
      <c r="E16" s="593" t="s">
        <v>252</v>
      </c>
      <c r="F16" s="593" t="s">
        <v>253</v>
      </c>
      <c r="G16" s="593" t="s">
        <v>254</v>
      </c>
      <c r="H16" s="593" t="s">
        <v>732</v>
      </c>
    </row>
    <row r="17" spans="1:10" x14ac:dyDescent="0.2">
      <c r="B17" s="36"/>
      <c r="D17" s="21" t="s">
        <v>433</v>
      </c>
      <c r="E17" s="21" t="s">
        <v>433</v>
      </c>
      <c r="F17" s="21" t="s">
        <v>433</v>
      </c>
      <c r="G17" s="21" t="s">
        <v>433</v>
      </c>
      <c r="H17" s="21" t="s">
        <v>433</v>
      </c>
    </row>
    <row r="18" spans="1:10" x14ac:dyDescent="0.2">
      <c r="B18" s="3" t="s">
        <v>443</v>
      </c>
      <c r="C18" s="3" t="s">
        <v>413</v>
      </c>
      <c r="D18" s="594">
        <v>679011681.17999959</v>
      </c>
      <c r="E18" s="594">
        <v>755805871.23255897</v>
      </c>
      <c r="F18" s="594">
        <v>787201009.71000004</v>
      </c>
      <c r="G18" s="594">
        <v>804888317.33000147</v>
      </c>
      <c r="H18" s="594">
        <v>837347539</v>
      </c>
    </row>
    <row r="19" spans="1:10" x14ac:dyDescent="0.2">
      <c r="B19" s="3" t="s">
        <v>442</v>
      </c>
      <c r="C19" s="3" t="s">
        <v>450</v>
      </c>
      <c r="D19" s="594">
        <v>256974743.08000004</v>
      </c>
      <c r="E19" s="594">
        <v>245653183.64999998</v>
      </c>
      <c r="F19" s="594">
        <v>239066369.16</v>
      </c>
      <c r="G19" s="594">
        <v>239995710.85999998</v>
      </c>
      <c r="H19" s="594">
        <v>245073622.43000001</v>
      </c>
    </row>
    <row r="20" spans="1:10" x14ac:dyDescent="0.2">
      <c r="B20" s="3" t="s">
        <v>442</v>
      </c>
      <c r="C20" s="3" t="s">
        <v>444</v>
      </c>
      <c r="D20" s="116">
        <f>D19</f>
        <v>256974743.08000004</v>
      </c>
      <c r="E20" s="116">
        <f>E19</f>
        <v>245653183.64999998</v>
      </c>
      <c r="F20" s="116">
        <f>F19</f>
        <v>239066369.16</v>
      </c>
      <c r="G20" s="116">
        <f>G19</f>
        <v>239995710.85999998</v>
      </c>
      <c r="H20" s="116">
        <f>H19</f>
        <v>245073622.43000001</v>
      </c>
    </row>
    <row r="21" spans="1:10" x14ac:dyDescent="0.2">
      <c r="B21" s="3" t="s">
        <v>414</v>
      </c>
      <c r="C21" s="3" t="s">
        <v>420</v>
      </c>
      <c r="D21" s="594">
        <v>118764149.50041787</v>
      </c>
      <c r="E21" s="594">
        <v>88752730.464447781</v>
      </c>
      <c r="F21" s="594">
        <v>81307981.549999997</v>
      </c>
      <c r="G21" s="594">
        <v>82131292.203488007</v>
      </c>
      <c r="H21" s="594">
        <v>82890371.829999983</v>
      </c>
    </row>
    <row r="23" spans="1:10" x14ac:dyDescent="0.2">
      <c r="B23" s="597" t="s">
        <v>417</v>
      </c>
      <c r="D23" s="593" t="s">
        <v>251</v>
      </c>
      <c r="E23" s="593" t="s">
        <v>252</v>
      </c>
      <c r="F23" s="593" t="s">
        <v>253</v>
      </c>
      <c r="G23" s="593" t="s">
        <v>254</v>
      </c>
      <c r="H23" s="593" t="s">
        <v>732</v>
      </c>
    </row>
    <row r="24" spans="1:10" x14ac:dyDescent="0.2">
      <c r="B24" s="3" t="s">
        <v>445</v>
      </c>
      <c r="D24" s="598">
        <f>ROUND(D13-D18,0)</f>
        <v>0</v>
      </c>
      <c r="E24" s="598">
        <f>ROUND(E13-E18,0)</f>
        <v>0</v>
      </c>
      <c r="F24" s="598">
        <f>ROUND(F13-F18,0)</f>
        <v>1353411</v>
      </c>
      <c r="G24" s="598">
        <f>ROUND(G13-G18,0)</f>
        <v>-730451</v>
      </c>
      <c r="H24" s="598">
        <f>ROUND(H13-H18,0)</f>
        <v>0</v>
      </c>
    </row>
    <row r="25" spans="1:10" x14ac:dyDescent="0.2">
      <c r="B25" s="3" t="s">
        <v>421</v>
      </c>
      <c r="D25" s="599"/>
      <c r="E25" s="599"/>
      <c r="F25" s="21" t="s">
        <v>419</v>
      </c>
      <c r="G25" s="21" t="s">
        <v>419</v>
      </c>
      <c r="H25" s="599"/>
    </row>
    <row r="26" spans="1:10" x14ac:dyDescent="0.2">
      <c r="B26" s="600" t="s">
        <v>459</v>
      </c>
    </row>
    <row r="29" spans="1:10" s="592" customFormat="1" x14ac:dyDescent="0.2">
      <c r="A29" s="592" t="s">
        <v>418</v>
      </c>
    </row>
    <row r="31" spans="1:10" x14ac:dyDescent="0.2">
      <c r="B31" s="36" t="s">
        <v>413</v>
      </c>
      <c r="D31" s="593" t="s">
        <v>251</v>
      </c>
      <c r="E31" s="593" t="s">
        <v>252</v>
      </c>
      <c r="F31" s="593" t="s">
        <v>253</v>
      </c>
      <c r="G31" s="593" t="s">
        <v>254</v>
      </c>
      <c r="H31" s="891" t="s">
        <v>255</v>
      </c>
      <c r="I31" s="593" t="s">
        <v>179</v>
      </c>
      <c r="J31" s="593" t="s">
        <v>275</v>
      </c>
    </row>
    <row r="32" spans="1:10" x14ac:dyDescent="0.2">
      <c r="D32" s="21" t="s">
        <v>187</v>
      </c>
      <c r="E32" s="21" t="s">
        <v>187</v>
      </c>
      <c r="F32" s="21" t="s">
        <v>187</v>
      </c>
      <c r="G32" s="21" t="s">
        <v>187</v>
      </c>
      <c r="H32" s="892" t="s">
        <v>187</v>
      </c>
      <c r="I32" s="21" t="s">
        <v>187</v>
      </c>
      <c r="J32" s="21" t="s">
        <v>187</v>
      </c>
    </row>
    <row r="33" spans="2:10" x14ac:dyDescent="0.2">
      <c r="D33" s="593" t="s">
        <v>435</v>
      </c>
      <c r="E33" s="593" t="s">
        <v>435</v>
      </c>
      <c r="F33" s="593" t="s">
        <v>435</v>
      </c>
      <c r="G33" s="891" t="s">
        <v>435</v>
      </c>
      <c r="H33" s="891" t="s">
        <v>435</v>
      </c>
      <c r="I33" s="891" t="s">
        <v>436</v>
      </c>
      <c r="J33" s="891" t="s">
        <v>437</v>
      </c>
    </row>
    <row r="34" spans="2:10" x14ac:dyDescent="0.2">
      <c r="B34" s="3" t="s">
        <v>438</v>
      </c>
      <c r="D34" s="594">
        <v>682000</v>
      </c>
      <c r="E34" s="594">
        <v>759583.73100000003</v>
      </c>
      <c r="F34" s="594">
        <v>788554.34900000005</v>
      </c>
      <c r="G34" s="594">
        <v>804157.86699999997</v>
      </c>
      <c r="H34" s="893">
        <f>'Outcome - DUoS'!H14</f>
        <v>837347.53899999999</v>
      </c>
      <c r="I34" s="893">
        <f>'Outcome - DUoS'!I14</f>
        <v>808657.98475497379</v>
      </c>
      <c r="J34" s="893">
        <f>'Outcome - DUoS'!J14</f>
        <v>811858.63742873806</v>
      </c>
    </row>
    <row r="35" spans="2:10" x14ac:dyDescent="0.2">
      <c r="B35" s="3" t="s">
        <v>461</v>
      </c>
      <c r="D35" s="116">
        <f>D18/1000</f>
        <v>679011.68117999961</v>
      </c>
      <c r="E35" s="116">
        <f>E18/1000</f>
        <v>755805.87123255897</v>
      </c>
      <c r="F35" s="116">
        <f>F18/1000</f>
        <v>787201.00971000001</v>
      </c>
      <c r="G35" s="893">
        <f>G18/1000</f>
        <v>804888.3173300015</v>
      </c>
      <c r="H35" s="116">
        <f>H18/1000</f>
        <v>837347.53899999999</v>
      </c>
      <c r="I35" s="116"/>
    </row>
    <row r="36" spans="2:10" ht="13.5" thickBot="1" x14ac:dyDescent="0.25">
      <c r="B36" s="3" t="s">
        <v>457</v>
      </c>
      <c r="D36" s="596">
        <f>+D34-D35</f>
        <v>2988.3188200003933</v>
      </c>
      <c r="E36" s="596">
        <f>+E34-E35</f>
        <v>3777.8597674410557</v>
      </c>
      <c r="F36" s="596">
        <f>+F34-F35</f>
        <v>1353.3392900000326</v>
      </c>
      <c r="G36" s="596">
        <f>+G34-G35</f>
        <v>-730.45033000153489</v>
      </c>
      <c r="H36" s="596">
        <f>+H34-H35</f>
        <v>0</v>
      </c>
      <c r="I36" s="596"/>
    </row>
    <row r="37" spans="2:10" x14ac:dyDescent="0.2">
      <c r="B37" s="600" t="s">
        <v>458</v>
      </c>
      <c r="D37" s="601">
        <f t="shared" ref="D37:I37" si="0">D36/D34</f>
        <v>4.3816991495606939E-3</v>
      </c>
      <c r="E37" s="601">
        <f t="shared" si="0"/>
        <v>4.9735922627877549E-3</v>
      </c>
      <c r="F37" s="601">
        <f t="shared" si="0"/>
        <v>1.7162283002005643E-3</v>
      </c>
      <c r="G37" s="601">
        <f t="shared" si="0"/>
        <v>-9.083419561964379E-4</v>
      </c>
      <c r="H37" s="894">
        <f t="shared" si="0"/>
        <v>0</v>
      </c>
      <c r="I37" s="601">
        <f t="shared" si="0"/>
        <v>0</v>
      </c>
    </row>
    <row r="38" spans="2:10" x14ac:dyDescent="0.2">
      <c r="D38" s="116"/>
      <c r="E38" s="116"/>
      <c r="F38" s="116"/>
      <c r="G38" s="116"/>
      <c r="H38" s="893"/>
      <c r="I38" s="116"/>
    </row>
    <row r="39" spans="2:10" x14ac:dyDescent="0.2">
      <c r="B39" s="597" t="s">
        <v>440</v>
      </c>
      <c r="H39" s="824"/>
    </row>
    <row r="40" spans="2:10" x14ac:dyDescent="0.2">
      <c r="B40" s="23" t="s">
        <v>460</v>
      </c>
      <c r="D40" s="594">
        <v>2965.7629999999999</v>
      </c>
      <c r="E40" s="594">
        <v>3790.8193000000001</v>
      </c>
      <c r="F40" s="594">
        <v>1139.1588999999999</v>
      </c>
      <c r="G40" s="594">
        <v>-1000.9823000000001</v>
      </c>
      <c r="H40" s="824"/>
    </row>
    <row r="41" spans="2:10" x14ac:dyDescent="0.2">
      <c r="B41" s="3" t="s">
        <v>462</v>
      </c>
      <c r="D41" s="594"/>
      <c r="E41" s="594"/>
      <c r="F41" s="594">
        <v>229.54338999999999</v>
      </c>
      <c r="G41" s="594">
        <v>225.24108000000001</v>
      </c>
      <c r="H41" s="824"/>
    </row>
    <row r="42" spans="2:10" ht="15.75" thickBot="1" x14ac:dyDescent="0.3">
      <c r="B42" s="602" t="s">
        <v>455</v>
      </c>
      <c r="D42" s="596">
        <f t="shared" ref="D42:I42" si="1">SUM(D40:D41)</f>
        <v>2965.7629999999999</v>
      </c>
      <c r="E42" s="596">
        <f t="shared" si="1"/>
        <v>3790.8193000000001</v>
      </c>
      <c r="F42" s="596">
        <f t="shared" si="1"/>
        <v>1368.7022899999999</v>
      </c>
      <c r="G42" s="596">
        <f>SUM(G40:G41)</f>
        <v>-775.74122000000011</v>
      </c>
      <c r="H42" s="895">
        <f t="shared" si="1"/>
        <v>0</v>
      </c>
      <c r="I42" s="596">
        <f t="shared" si="1"/>
        <v>0</v>
      </c>
    </row>
    <row r="43" spans="2:10" ht="15" x14ac:dyDescent="0.25">
      <c r="B43" s="602" t="s">
        <v>456</v>
      </c>
      <c r="D43" s="116">
        <f t="shared" ref="D43:I43" si="2">D36-D42</f>
        <v>22.555820000393396</v>
      </c>
      <c r="E43" s="116">
        <f t="shared" si="2"/>
        <v>-12.959532558944375</v>
      </c>
      <c r="F43" s="116">
        <f t="shared" si="2"/>
        <v>-15.362999999967315</v>
      </c>
      <c r="G43" s="116">
        <f t="shared" si="2"/>
        <v>45.290889998465218</v>
      </c>
      <c r="H43" s="893">
        <f t="shared" si="2"/>
        <v>0</v>
      </c>
      <c r="I43" s="116">
        <f t="shared" si="2"/>
        <v>0</v>
      </c>
    </row>
    <row r="45" spans="2:10" ht="13.5" thickBot="1" x14ac:dyDescent="0.25"/>
    <row r="46" spans="2:10" s="603" customFormat="1" x14ac:dyDescent="0.2"/>
    <row r="47" spans="2:10" x14ac:dyDescent="0.2">
      <c r="B47" s="36" t="s">
        <v>434</v>
      </c>
      <c r="D47" s="593" t="s">
        <v>251</v>
      </c>
      <c r="E47" s="593" t="s">
        <v>252</v>
      </c>
      <c r="F47" s="593" t="s">
        <v>253</v>
      </c>
      <c r="G47" s="593" t="s">
        <v>254</v>
      </c>
      <c r="H47" s="891" t="s">
        <v>255</v>
      </c>
      <c r="I47" s="593" t="s">
        <v>179</v>
      </c>
      <c r="J47" s="593" t="s">
        <v>275</v>
      </c>
    </row>
    <row r="48" spans="2:10" x14ac:dyDescent="0.2">
      <c r="D48" s="21" t="s">
        <v>187</v>
      </c>
      <c r="E48" s="21" t="s">
        <v>187</v>
      </c>
      <c r="F48" s="21" t="s">
        <v>187</v>
      </c>
      <c r="G48" s="21" t="s">
        <v>187</v>
      </c>
      <c r="H48" s="21" t="s">
        <v>187</v>
      </c>
      <c r="I48" s="892" t="s">
        <v>187</v>
      </c>
      <c r="J48" s="21" t="s">
        <v>187</v>
      </c>
    </row>
    <row r="49" spans="2:10" x14ac:dyDescent="0.2">
      <c r="D49" s="593" t="s">
        <v>435</v>
      </c>
      <c r="E49" s="593" t="s">
        <v>435</v>
      </c>
      <c r="F49" s="593" t="s">
        <v>435</v>
      </c>
      <c r="G49" s="593" t="s">
        <v>435</v>
      </c>
      <c r="H49" s="593" t="s">
        <v>435</v>
      </c>
      <c r="I49" s="891" t="s">
        <v>436</v>
      </c>
      <c r="J49" s="593" t="s">
        <v>437</v>
      </c>
    </row>
    <row r="50" spans="2:10" x14ac:dyDescent="0.2">
      <c r="B50" s="3" t="s">
        <v>447</v>
      </c>
      <c r="D50" s="594">
        <v>256974.64554999999</v>
      </c>
      <c r="E50" s="594">
        <v>245716.82481999998</v>
      </c>
      <c r="F50" s="594">
        <v>239001.86692</v>
      </c>
      <c r="G50" s="594">
        <v>239994.50161000001</v>
      </c>
      <c r="H50" s="893">
        <f>TUoS!D13</f>
        <v>245073.14301999999</v>
      </c>
      <c r="I50" s="893">
        <f>TUoS!E13</f>
        <v>263186.61064000003</v>
      </c>
      <c r="J50" s="893">
        <f>TUoS!F13</f>
        <v>275135</v>
      </c>
    </row>
    <row r="51" spans="2:10" x14ac:dyDescent="0.2">
      <c r="B51" s="3" t="s">
        <v>441</v>
      </c>
      <c r="D51" s="116">
        <f>D19/1000</f>
        <v>256974.74308000004</v>
      </c>
      <c r="E51" s="116">
        <f>E19/1000</f>
        <v>245653.18364999996</v>
      </c>
      <c r="F51" s="116">
        <f>F19/1000</f>
        <v>239066.36916</v>
      </c>
      <c r="G51" s="116">
        <f>G19/1000</f>
        <v>239995.71085999999</v>
      </c>
      <c r="H51" s="116">
        <f>H19/1000</f>
        <v>245073.62243000002</v>
      </c>
      <c r="I51" s="116"/>
    </row>
    <row r="52" spans="2:10" ht="13.5" thickBot="1" x14ac:dyDescent="0.25">
      <c r="B52" s="3" t="s">
        <v>457</v>
      </c>
      <c r="D52" s="596">
        <f>+D50-D51</f>
        <v>-9.7530000057304278E-2</v>
      </c>
      <c r="E52" s="596">
        <f>+E50-E51</f>
        <v>63.641170000017155</v>
      </c>
      <c r="F52" s="596">
        <f>+F50-F51</f>
        <v>-64.502240000001621</v>
      </c>
      <c r="G52" s="596">
        <f>+G50-G51</f>
        <v>-1.2092499999853317</v>
      </c>
      <c r="H52" s="596">
        <f>+H50-H51</f>
        <v>-0.47941000002902001</v>
      </c>
      <c r="I52" s="596"/>
    </row>
    <row r="53" spans="2:10" x14ac:dyDescent="0.2">
      <c r="B53" s="600" t="s">
        <v>458</v>
      </c>
      <c r="D53" s="601">
        <f t="shared" ref="D53:I53" si="3">D52/D50</f>
        <v>-3.7953160650756773E-7</v>
      </c>
      <c r="E53" s="601">
        <f t="shared" si="3"/>
        <v>2.5900208521185936E-4</v>
      </c>
      <c r="F53" s="601">
        <f t="shared" si="3"/>
        <v>-2.6988174122335269E-4</v>
      </c>
      <c r="G53" s="601">
        <f t="shared" si="3"/>
        <v>-5.0386571020298123E-6</v>
      </c>
      <c r="H53" s="894">
        <f t="shared" si="3"/>
        <v>-1.9561915031623688E-6</v>
      </c>
      <c r="I53" s="601">
        <f t="shared" si="3"/>
        <v>0</v>
      </c>
    </row>
    <row r="54" spans="2:10" x14ac:dyDescent="0.2">
      <c r="H54" s="824"/>
    </row>
    <row r="55" spans="2:10" x14ac:dyDescent="0.2">
      <c r="B55" s="597" t="s">
        <v>440</v>
      </c>
      <c r="H55" s="824"/>
    </row>
    <row r="56" spans="2:10" x14ac:dyDescent="0.2">
      <c r="B56" s="3" t="s">
        <v>451</v>
      </c>
      <c r="E56" s="117">
        <f>E52</f>
        <v>63.641170000017155</v>
      </c>
      <c r="H56" s="824"/>
    </row>
    <row r="57" spans="2:10" x14ac:dyDescent="0.2">
      <c r="B57" s="3" t="s">
        <v>452</v>
      </c>
      <c r="F57" s="117">
        <f>-E56</f>
        <v>-63.641170000017155</v>
      </c>
      <c r="H57" s="824"/>
    </row>
    <row r="58" spans="2:10" ht="15.75" thickBot="1" x14ac:dyDescent="0.3">
      <c r="B58" s="602" t="s">
        <v>453</v>
      </c>
      <c r="D58" s="596">
        <f t="shared" ref="D58:I58" si="4">SUM(D56:D57)</f>
        <v>0</v>
      </c>
      <c r="E58" s="596">
        <f t="shared" si="4"/>
        <v>63.641170000017155</v>
      </c>
      <c r="F58" s="596">
        <f t="shared" si="4"/>
        <v>-63.641170000017155</v>
      </c>
      <c r="G58" s="596">
        <f t="shared" si="4"/>
        <v>0</v>
      </c>
      <c r="H58" s="895">
        <f t="shared" si="4"/>
        <v>0</v>
      </c>
      <c r="I58" s="596">
        <f t="shared" si="4"/>
        <v>0</v>
      </c>
    </row>
    <row r="59" spans="2:10" ht="15" x14ac:dyDescent="0.25">
      <c r="B59" s="602" t="s">
        <v>456</v>
      </c>
      <c r="D59" s="116">
        <f t="shared" ref="D59:I59" si="5">D52-D58</f>
        <v>-9.7530000057304278E-2</v>
      </c>
      <c r="E59" s="116">
        <f t="shared" si="5"/>
        <v>0</v>
      </c>
      <c r="F59" s="116">
        <f t="shared" si="5"/>
        <v>-0.86106999998446554</v>
      </c>
      <c r="G59" s="116">
        <f t="shared" si="5"/>
        <v>-1.2092499999853317</v>
      </c>
      <c r="H59" s="893">
        <f t="shared" si="5"/>
        <v>-0.47941000002902001</v>
      </c>
      <c r="I59" s="116">
        <f t="shared" si="5"/>
        <v>0</v>
      </c>
    </row>
    <row r="60" spans="2:10" ht="15" x14ac:dyDescent="0.25">
      <c r="B60" s="602"/>
      <c r="D60" s="116"/>
      <c r="E60" s="116"/>
      <c r="F60" s="116"/>
      <c r="G60" s="116"/>
      <c r="H60" s="116"/>
      <c r="I60" s="116"/>
    </row>
    <row r="61" spans="2:10" ht="13.5" thickBot="1" x14ac:dyDescent="0.25"/>
    <row r="62" spans="2:10" s="603" customFormat="1" x14ac:dyDescent="0.2"/>
    <row r="63" spans="2:10" x14ac:dyDescent="0.2">
      <c r="B63" s="36" t="s">
        <v>446</v>
      </c>
      <c r="D63" s="593" t="s">
        <v>251</v>
      </c>
      <c r="E63" s="593" t="s">
        <v>252</v>
      </c>
      <c r="F63" s="593" t="s">
        <v>253</v>
      </c>
      <c r="G63" s="593" t="s">
        <v>254</v>
      </c>
      <c r="H63" s="891" t="s">
        <v>255</v>
      </c>
      <c r="I63" s="593" t="s">
        <v>179</v>
      </c>
      <c r="J63" s="593" t="s">
        <v>275</v>
      </c>
    </row>
    <row r="64" spans="2:10" x14ac:dyDescent="0.2">
      <c r="D64" s="21" t="s">
        <v>187</v>
      </c>
      <c r="E64" s="21" t="s">
        <v>187</v>
      </c>
      <c r="F64" s="21" t="s">
        <v>187</v>
      </c>
      <c r="G64" s="21" t="s">
        <v>187</v>
      </c>
      <c r="H64" s="21" t="s">
        <v>187</v>
      </c>
      <c r="I64" s="892" t="s">
        <v>187</v>
      </c>
      <c r="J64" s="21" t="s">
        <v>187</v>
      </c>
    </row>
    <row r="65" spans="2:10" x14ac:dyDescent="0.2">
      <c r="D65" s="593" t="s">
        <v>435</v>
      </c>
      <c r="E65" s="593" t="s">
        <v>435</v>
      </c>
      <c r="F65" s="593" t="s">
        <v>435</v>
      </c>
      <c r="G65" s="593" t="s">
        <v>435</v>
      </c>
      <c r="H65" s="593" t="s">
        <v>435</v>
      </c>
      <c r="I65" s="891" t="s">
        <v>436</v>
      </c>
      <c r="J65" s="593" t="s">
        <v>437</v>
      </c>
    </row>
    <row r="66" spans="2:10" x14ac:dyDescent="0.2">
      <c r="B66" s="3" t="s">
        <v>448</v>
      </c>
      <c r="D66" s="594">
        <v>118991.38755549773</v>
      </c>
      <c r="E66" s="594">
        <v>89457.213808631088</v>
      </c>
      <c r="F66" s="594">
        <v>81142.771285372437</v>
      </c>
      <c r="G66" s="594">
        <v>82288.802927292563</v>
      </c>
      <c r="H66" s="893">
        <f>JSO!D13</f>
        <v>82665.464211292187</v>
      </c>
      <c r="I66" s="893">
        <f>JSO!E13</f>
        <v>79569.248000000007</v>
      </c>
      <c r="J66" s="893">
        <f>JSO!F13</f>
        <v>80000.36</v>
      </c>
    </row>
    <row r="67" spans="2:10" x14ac:dyDescent="0.2">
      <c r="B67" s="3" t="s">
        <v>454</v>
      </c>
      <c r="D67" s="116">
        <f t="shared" ref="D67:G67" si="6">D21/1000</f>
        <v>118764.14950041787</v>
      </c>
      <c r="E67" s="116">
        <f t="shared" si="6"/>
        <v>88752.730464447784</v>
      </c>
      <c r="F67" s="116">
        <f t="shared" si="6"/>
        <v>81307.981549999997</v>
      </c>
      <c r="G67" s="116">
        <f t="shared" si="6"/>
        <v>82131.292203488003</v>
      </c>
      <c r="H67" s="116">
        <f t="shared" ref="H67" si="7">H21/1000</f>
        <v>82890.371829999989</v>
      </c>
      <c r="I67" s="116"/>
    </row>
    <row r="68" spans="2:10" ht="13.5" thickBot="1" x14ac:dyDescent="0.25">
      <c r="B68" s="3" t="s">
        <v>457</v>
      </c>
      <c r="D68" s="596">
        <f>+D66-D67</f>
        <v>227.23805507985526</v>
      </c>
      <c r="E68" s="596">
        <f>+E66-E67</f>
        <v>704.48334418330342</v>
      </c>
      <c r="F68" s="596">
        <f>+F66-F67</f>
        <v>-165.21026462755981</v>
      </c>
      <c r="G68" s="596">
        <f>+G66-G67</f>
        <v>157.51072380456026</v>
      </c>
      <c r="H68" s="596">
        <f t="shared" ref="H68" si="8">+H66-H67</f>
        <v>-224.90761870780261</v>
      </c>
      <c r="I68" s="596"/>
    </row>
    <row r="69" spans="2:10" x14ac:dyDescent="0.2">
      <c r="B69" s="600" t="s">
        <v>458</v>
      </c>
      <c r="C69" s="600"/>
      <c r="D69" s="601">
        <f t="shared" ref="D69:I69" si="9">D68/D66</f>
        <v>1.9097016998299238E-3</v>
      </c>
      <c r="E69" s="601">
        <f t="shared" si="9"/>
        <v>7.8750870297654273E-3</v>
      </c>
      <c r="F69" s="601">
        <f t="shared" si="9"/>
        <v>-2.0360441479935279E-3</v>
      </c>
      <c r="G69" s="601">
        <f t="shared" si="9"/>
        <v>1.9141209763827904E-3</v>
      </c>
      <c r="H69" s="894">
        <f t="shared" si="9"/>
        <v>-2.7206962527052503E-3</v>
      </c>
      <c r="I69" s="601">
        <f t="shared" si="9"/>
        <v>0</v>
      </c>
    </row>
    <row r="70" spans="2:10" x14ac:dyDescent="0.2">
      <c r="H70" s="824"/>
    </row>
    <row r="71" spans="2:10" x14ac:dyDescent="0.2">
      <c r="B71" s="597" t="s">
        <v>440</v>
      </c>
      <c r="H71" s="824"/>
    </row>
    <row r="72" spans="2:10" ht="15.75" thickBot="1" x14ac:dyDescent="0.3">
      <c r="B72" s="602" t="s">
        <v>453</v>
      </c>
      <c r="D72" s="596">
        <f t="shared" ref="D72:I72" si="10">D68</f>
        <v>227.23805507985526</v>
      </c>
      <c r="E72" s="596">
        <f t="shared" si="10"/>
        <v>704.48334418330342</v>
      </c>
      <c r="F72" s="596">
        <f t="shared" si="10"/>
        <v>-165.21026462755981</v>
      </c>
      <c r="G72" s="596">
        <f t="shared" si="10"/>
        <v>157.51072380456026</v>
      </c>
      <c r="H72" s="895">
        <f t="shared" si="10"/>
        <v>-224.90761870780261</v>
      </c>
      <c r="I72" s="596">
        <f t="shared" si="10"/>
        <v>0</v>
      </c>
    </row>
    <row r="73" spans="2:10" ht="15" x14ac:dyDescent="0.25">
      <c r="B73" s="602" t="s">
        <v>456</v>
      </c>
      <c r="D73" s="116">
        <f t="shared" ref="D73:I73" si="11">D68-D72</f>
        <v>0</v>
      </c>
      <c r="E73" s="116">
        <f t="shared" si="11"/>
        <v>0</v>
      </c>
      <c r="F73" s="116">
        <f t="shared" si="11"/>
        <v>0</v>
      </c>
      <c r="G73" s="116">
        <f t="shared" si="11"/>
        <v>0</v>
      </c>
      <c r="H73" s="893">
        <f t="shared" si="11"/>
        <v>0</v>
      </c>
      <c r="I73" s="116">
        <f t="shared" si="11"/>
        <v>0</v>
      </c>
    </row>
    <row r="75" spans="2:10" ht="13.5" thickBot="1" x14ac:dyDescent="0.25"/>
    <row r="76" spans="2:10" s="603" customFormat="1" x14ac:dyDescent="0.2"/>
    <row r="77" spans="2:10" x14ac:dyDescent="0.2">
      <c r="D77" s="604"/>
    </row>
  </sheetData>
  <mergeCells count="1">
    <mergeCell ref="B6:Q7"/>
  </mergeCells>
  <phoneticPr fontId="26" type="noConversion"/>
  <pageMargins left="0.7" right="0.7" top="0.75" bottom="0.75" header="0.3" footer="0.3"/>
  <pageSetup paperSize="9" scale="49" orientation="landscape" r:id="rId1"/>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6269-38FF-4F8F-A169-21AEDD1F41C2}">
  <sheetPr codeName="Sheet5">
    <tabColor rgb="FF289696"/>
  </sheetPr>
  <dimension ref="A1:T66"/>
  <sheetViews>
    <sheetView showGridLines="0" topLeftCell="G1" zoomScale="90" zoomScaleNormal="90" workbookViewId="0">
      <selection activeCell="P9" sqref="P9"/>
    </sheetView>
  </sheetViews>
  <sheetFormatPr defaultRowHeight="15" x14ac:dyDescent="0.25"/>
  <cols>
    <col min="1" max="1" width="4" style="128" customWidth="1"/>
    <col min="2" max="2" width="48.85546875" style="128" customWidth="1"/>
    <col min="3" max="3" width="34.85546875" style="128" customWidth="1"/>
    <col min="4" max="5" width="4.7109375" style="128" customWidth="1"/>
    <col min="6" max="6" width="65.85546875" style="128" customWidth="1"/>
    <col min="7" max="7" width="10.42578125" style="128" customWidth="1"/>
    <col min="8" max="9" width="12.42578125" style="128" customWidth="1"/>
    <col min="10" max="10" width="13.28515625" style="128" bestFit="1" customWidth="1"/>
    <col min="11" max="12" width="4.7109375" style="128" customWidth="1"/>
    <col min="13" max="13" width="46" style="128" bestFit="1" customWidth="1"/>
    <col min="14" max="17" width="18" style="128" customWidth="1"/>
    <col min="18" max="18" width="18.42578125" style="128" customWidth="1"/>
    <col min="19" max="16384" width="9.140625" style="128"/>
  </cols>
  <sheetData>
    <row r="1" spans="1:20" s="125" customFormat="1" ht="21" x14ac:dyDescent="0.35">
      <c r="A1" s="131" t="s">
        <v>240</v>
      </c>
    </row>
    <row r="2" spans="1:20" x14ac:dyDescent="0.25">
      <c r="F2" s="230"/>
    </row>
    <row r="3" spans="1:20" ht="18.75" x14ac:dyDescent="0.3">
      <c r="B3" s="123" t="s">
        <v>319</v>
      </c>
      <c r="F3" s="230"/>
    </row>
    <row r="5" spans="1:20" x14ac:dyDescent="0.25">
      <c r="B5" s="518" t="s">
        <v>232</v>
      </c>
      <c r="C5" s="519">
        <f>'Model Update'!C12</f>
        <v>2022</v>
      </c>
    </row>
    <row r="6" spans="1:20" ht="15" customHeight="1" x14ac:dyDescent="0.25">
      <c r="J6" s="137"/>
    </row>
    <row r="7" spans="1:20" s="329" customFormat="1" ht="15" customHeight="1" x14ac:dyDescent="0.25">
      <c r="B7" s="520" t="s">
        <v>230</v>
      </c>
      <c r="C7" s="897"/>
      <c r="F7" s="520" t="s">
        <v>241</v>
      </c>
      <c r="M7" s="520" t="s">
        <v>354</v>
      </c>
      <c r="N7" s="128"/>
      <c r="O7" s="128"/>
      <c r="P7" s="128"/>
      <c r="Q7" s="128"/>
      <c r="R7" s="128"/>
      <c r="S7" s="128"/>
      <c r="T7" s="128"/>
    </row>
    <row r="8" spans="1:20" ht="15" customHeight="1" x14ac:dyDescent="0.25">
      <c r="B8" s="231" t="s">
        <v>734</v>
      </c>
      <c r="C8" s="265">
        <f>J12</f>
        <v>791701.63088250009</v>
      </c>
      <c r="F8" s="269"/>
      <c r="G8" s="270"/>
      <c r="H8" s="271" t="str">
        <f>'Model Update'!B14</f>
        <v>t-2</v>
      </c>
      <c r="I8" s="272" t="str">
        <f>'Model Update'!B13</f>
        <v>t-1</v>
      </c>
      <c r="J8" s="337" t="str">
        <f>'Model Update'!B12</f>
        <v>t</v>
      </c>
      <c r="K8" s="232"/>
      <c r="M8" s="437" t="s">
        <v>356</v>
      </c>
      <c r="N8" s="446" t="s">
        <v>357</v>
      </c>
      <c r="O8" s="447" t="s">
        <v>358</v>
      </c>
      <c r="P8" s="447" t="s">
        <v>359</v>
      </c>
      <c r="Q8" s="580" t="s">
        <v>360</v>
      </c>
    </row>
    <row r="9" spans="1:20" ht="15" customHeight="1" x14ac:dyDescent="0.25">
      <c r="B9" s="231" t="str">
        <f>B20</f>
        <v>Total Annual Revenue for year t (TARt)</v>
      </c>
      <c r="C9" s="265">
        <f>C20</f>
        <v>791710.17055879941</v>
      </c>
      <c r="F9" s="273"/>
      <c r="G9" s="274"/>
      <c r="H9" s="275" t="s">
        <v>183</v>
      </c>
      <c r="I9" s="276" t="s">
        <v>184</v>
      </c>
      <c r="J9" s="338" t="s">
        <v>185</v>
      </c>
      <c r="K9" s="232"/>
      <c r="M9" s="449" t="s">
        <v>361</v>
      </c>
      <c r="N9" s="450">
        <v>244000</v>
      </c>
      <c r="O9" s="450">
        <v>652000</v>
      </c>
      <c r="P9" s="451">
        <f>'DUoS (t)'!BM131</f>
        <v>435180.72892950004</v>
      </c>
      <c r="Q9" s="448" t="str">
        <f>IF(AND(P9&gt;=N9,P9&lt;=O9)=TRUE,"YES","NO")</f>
        <v>YES</v>
      </c>
    </row>
    <row r="10" spans="1:20" ht="15" customHeight="1" x14ac:dyDescent="0.25">
      <c r="B10" s="231"/>
      <c r="C10" s="266" t="str">
        <f>IF(C8="","",IF(C9&gt;=C8,"DUoS REVENUE CAP FORMULA COMPLIANT","DUoS REVENUE CAP FORMULA BREACHED"))</f>
        <v>DUoS REVENUE CAP FORMULA COMPLIANT</v>
      </c>
      <c r="F10" s="277" t="s">
        <v>186</v>
      </c>
      <c r="G10" s="278"/>
      <c r="H10" s="275">
        <f>'Model Update'!C14</f>
        <v>2020</v>
      </c>
      <c r="I10" s="276">
        <f>'Model Update'!C13</f>
        <v>2021</v>
      </c>
      <c r="J10" s="338">
        <f>'Model Update'!C12</f>
        <v>2022</v>
      </c>
      <c r="K10" s="232"/>
      <c r="M10" s="449" t="s">
        <v>362</v>
      </c>
      <c r="N10" s="450">
        <v>61000</v>
      </c>
      <c r="O10" s="450">
        <v>301000</v>
      </c>
      <c r="P10" s="451">
        <f>'DUoS (t)'!BM132</f>
        <v>136892.33365639998</v>
      </c>
      <c r="Q10" s="448" t="str">
        <f>IF(AND(P10&gt;=N10,P10&lt;=O10)=TRUE,"YES","NO")</f>
        <v>YES</v>
      </c>
    </row>
    <row r="11" spans="1:20" ht="15" customHeight="1" x14ac:dyDescent="0.25">
      <c r="F11" s="279"/>
      <c r="G11" s="280"/>
      <c r="H11" s="281"/>
      <c r="I11" s="279"/>
      <c r="J11" s="279"/>
      <c r="K11" s="232"/>
      <c r="M11" s="449" t="s">
        <v>363</v>
      </c>
      <c r="N11" s="450">
        <v>44000</v>
      </c>
      <c r="O11" s="450">
        <v>254000</v>
      </c>
      <c r="P11" s="451">
        <f>'DUoS (t)'!BM133</f>
        <v>175321.18972009997</v>
      </c>
      <c r="Q11" s="448" t="str">
        <f>IF(AND(P11&gt;=N11,P11&lt;=O11)=TRUE,"YES","NO")</f>
        <v>YES</v>
      </c>
    </row>
    <row r="12" spans="1:20" ht="15" customHeight="1" x14ac:dyDescent="0.25">
      <c r="F12" s="282" t="s">
        <v>242</v>
      </c>
      <c r="G12" s="283" t="s">
        <v>187</v>
      </c>
      <c r="H12" s="443">
        <f>'[11]DUoS O&amp;U'!$D$12</f>
        <v>861765.83509515808</v>
      </c>
      <c r="I12" s="443">
        <f>'[12]Under-Overs'!$P$9</f>
        <v>829072.30470022652</v>
      </c>
      <c r="J12" s="339">
        <f>'DUoS (t)'!I165</f>
        <v>791701.63088250009</v>
      </c>
      <c r="K12" s="232"/>
      <c r="M12" s="449" t="s">
        <v>364</v>
      </c>
      <c r="N12" s="450">
        <v>5000</v>
      </c>
      <c r="O12" s="450">
        <v>89000</v>
      </c>
      <c r="P12" s="451">
        <f>'DUoS (t)'!BM134</f>
        <v>31838.141982000001</v>
      </c>
      <c r="Q12" s="448" t="str">
        <f>IF(AND(P12&gt;=N12,P12&lt;=O12)=TRUE,"YES","NO")</f>
        <v>YES</v>
      </c>
    </row>
    <row r="13" spans="1:20" ht="15" customHeight="1" x14ac:dyDescent="0.35">
      <c r="B13" s="520" t="s">
        <v>370</v>
      </c>
      <c r="F13" s="285"/>
      <c r="G13" s="283"/>
      <c r="H13" s="286"/>
      <c r="I13" s="287"/>
      <c r="J13" s="340"/>
      <c r="K13" s="232"/>
      <c r="M13" s="449" t="s">
        <v>113</v>
      </c>
      <c r="N13" s="450">
        <v>5000</v>
      </c>
      <c r="O13" s="450">
        <v>75000</v>
      </c>
      <c r="P13" s="451">
        <f>'DUoS (t)'!BM135</f>
        <v>12469.236594499998</v>
      </c>
      <c r="Q13" s="448" t="str">
        <f>IF(AND(P13&gt;=N13,P13&lt;=O13)=TRUE,"YES","NO")</f>
        <v>YES</v>
      </c>
    </row>
    <row r="14" spans="1:20" ht="15" customHeight="1" x14ac:dyDescent="0.35">
      <c r="B14" s="231" t="s">
        <v>735</v>
      </c>
      <c r="C14" s="265">
        <f>C28</f>
        <v>811858.63742873806</v>
      </c>
      <c r="F14" s="282" t="s">
        <v>423</v>
      </c>
      <c r="G14" s="283"/>
      <c r="H14" s="290">
        <f>SUM(H15:H18)</f>
        <v>837347.53899999999</v>
      </c>
      <c r="I14" s="290">
        <f>SUM(I15:I18)</f>
        <v>808657.98475497379</v>
      </c>
      <c r="J14" s="290">
        <f>SUM(J15:J18)</f>
        <v>811858.63742873806</v>
      </c>
      <c r="K14" s="232"/>
      <c r="M14" s="581" t="s">
        <v>404</v>
      </c>
      <c r="N14" s="582">
        <f>SUM(N9:N13)</f>
        <v>359000</v>
      </c>
      <c r="O14" s="582">
        <f>SUM(O9:O13)</f>
        <v>1371000</v>
      </c>
      <c r="P14" s="582">
        <f>SUM(P9:P13)</f>
        <v>791701.63088250009</v>
      </c>
      <c r="Q14" s="448"/>
    </row>
    <row r="15" spans="1:20" ht="15" customHeight="1" x14ac:dyDescent="0.25">
      <c r="B15" s="231" t="s">
        <v>350</v>
      </c>
      <c r="C15" s="265">
        <f>C37</f>
        <v>0</v>
      </c>
      <c r="F15" s="300" t="s">
        <v>695</v>
      </c>
      <c r="G15" s="283" t="s">
        <v>187</v>
      </c>
      <c r="H15" s="443">
        <f>'[13]Outcome - DUoS'!$I$15</f>
        <v>837347.53899999999</v>
      </c>
      <c r="I15" s="444">
        <f>'[13]Outcome - DUoS'!$J$15+'[13]Outcome - DUoS'!$J$16</f>
        <v>808657.98475497379</v>
      </c>
      <c r="J15" s="288">
        <f>C28</f>
        <v>811858.63742873806</v>
      </c>
      <c r="K15" s="232"/>
    </row>
    <row r="16" spans="1:20" ht="15" customHeight="1" x14ac:dyDescent="0.25">
      <c r="B16" s="231" t="s">
        <v>351</v>
      </c>
      <c r="C16" s="265">
        <f>C43</f>
        <v>0</v>
      </c>
      <c r="F16" s="300" t="s">
        <v>367</v>
      </c>
      <c r="G16" s="283" t="s">
        <v>187</v>
      </c>
      <c r="H16" s="443">
        <f>'[13]Outcome - DUoS'!$I$16</f>
        <v>0</v>
      </c>
      <c r="I16" s="444">
        <v>0</v>
      </c>
      <c r="J16" s="288">
        <v>0</v>
      </c>
      <c r="K16" s="232"/>
      <c r="M16" s="520" t="s">
        <v>386</v>
      </c>
    </row>
    <row r="17" spans="2:18" ht="15" customHeight="1" x14ac:dyDescent="0.25">
      <c r="B17" s="231" t="s">
        <v>352</v>
      </c>
      <c r="C17" s="265">
        <f>C49</f>
        <v>0</v>
      </c>
      <c r="F17" s="300" t="s">
        <v>368</v>
      </c>
      <c r="G17" s="283" t="s">
        <v>187</v>
      </c>
      <c r="H17" s="443">
        <f>'[13]Outcome - DUoS'!$I$17</f>
        <v>0</v>
      </c>
      <c r="I17" s="444">
        <f>'[13]Outcome - DUoS'!$J$17</f>
        <v>0</v>
      </c>
      <c r="J17" s="288">
        <f>C43</f>
        <v>0</v>
      </c>
      <c r="K17" s="232"/>
      <c r="M17" s="267" t="s">
        <v>387</v>
      </c>
      <c r="N17" s="578">
        <v>0.02</v>
      </c>
      <c r="O17" s="578">
        <f>N17</f>
        <v>0.02</v>
      </c>
    </row>
    <row r="18" spans="2:18" ht="15" customHeight="1" x14ac:dyDescent="0.25">
      <c r="B18" s="267" t="s">
        <v>348</v>
      </c>
      <c r="C18" s="268">
        <f>SUM(C14:C17)</f>
        <v>811858.63742873806</v>
      </c>
      <c r="F18" s="300" t="s">
        <v>369</v>
      </c>
      <c r="G18" s="283" t="s">
        <v>187</v>
      </c>
      <c r="H18" s="443">
        <f>'[13]Outcome - DUoS'!$I$18</f>
        <v>0</v>
      </c>
      <c r="I18" s="444">
        <f>'[13]Outcome - DUoS'!$J$18</f>
        <v>0</v>
      </c>
      <c r="J18" s="288">
        <f>C49</f>
        <v>0</v>
      </c>
      <c r="K18" s="232"/>
      <c r="M18" s="231" t="s">
        <v>229</v>
      </c>
      <c r="N18" s="578">
        <f>'Model Update'!E12</f>
        <v>8.6058519793459354E-3</v>
      </c>
      <c r="O18" s="578">
        <f>N18</f>
        <v>8.6058519793459354E-3</v>
      </c>
    </row>
    <row r="19" spans="2:18" ht="15" customHeight="1" x14ac:dyDescent="0.25">
      <c r="B19" s="231" t="s">
        <v>353</v>
      </c>
      <c r="C19" s="440">
        <f>-J26*((1+J25)^0.5)</f>
        <v>-20148.46686993862</v>
      </c>
      <c r="F19" s="289"/>
      <c r="G19" s="283"/>
      <c r="H19" s="290"/>
      <c r="I19" s="290"/>
      <c r="J19" s="290"/>
      <c r="K19" s="232"/>
      <c r="M19" s="231" t="s">
        <v>231</v>
      </c>
      <c r="N19" s="578">
        <f>'Model Update'!G12</f>
        <v>1.8134249912387396E-2</v>
      </c>
      <c r="O19" s="578"/>
    </row>
    <row r="20" spans="2:18" ht="15" customHeight="1" x14ac:dyDescent="0.35">
      <c r="B20" s="267" t="s">
        <v>733</v>
      </c>
      <c r="C20" s="268">
        <f>SUM(C18:C19)</f>
        <v>791710.17055879941</v>
      </c>
      <c r="F20" s="289" t="s">
        <v>243</v>
      </c>
      <c r="G20" s="283" t="s">
        <v>187</v>
      </c>
      <c r="H20" s="336">
        <v>0</v>
      </c>
      <c r="I20" s="336">
        <v>0</v>
      </c>
      <c r="J20" s="336">
        <v>0</v>
      </c>
      <c r="K20" s="232"/>
      <c r="M20" s="231" t="s">
        <v>729</v>
      </c>
      <c r="N20" s="578">
        <f>'Model Update'!I12</f>
        <v>1.3775850933446687E-2</v>
      </c>
      <c r="O20" s="578">
        <f>N20</f>
        <v>1.3775850933446687E-2</v>
      </c>
    </row>
    <row r="21" spans="2:18" ht="15" customHeight="1" x14ac:dyDescent="0.25">
      <c r="F21" s="289" t="s">
        <v>422</v>
      </c>
      <c r="G21" s="283" t="s">
        <v>187</v>
      </c>
      <c r="H21" s="290">
        <f>H12-H14+H20</f>
        <v>24418.29609515809</v>
      </c>
      <c r="I21" s="290">
        <f>I12-I14+I20</f>
        <v>20414.319945252733</v>
      </c>
      <c r="J21" s="290">
        <f>J12-J14+J20</f>
        <v>-20157.006546237972</v>
      </c>
      <c r="K21" s="232"/>
      <c r="M21" s="231" t="s">
        <v>401</v>
      </c>
      <c r="N21" s="578"/>
      <c r="O21" s="578"/>
    </row>
    <row r="22" spans="2:18" ht="15" customHeight="1" x14ac:dyDescent="0.25">
      <c r="F22" s="273"/>
      <c r="G22" s="283"/>
      <c r="H22" s="286"/>
      <c r="I22" s="309"/>
      <c r="J22" s="309"/>
      <c r="K22" s="232"/>
      <c r="M22" s="231" t="s">
        <v>402</v>
      </c>
      <c r="N22" s="578">
        <f>(C19-'[13]Outcome - DUoS'!$C$19)/N35</f>
        <v>-2.5093659367783898E-2</v>
      </c>
      <c r="O22" s="578">
        <f>N22</f>
        <v>-2.5093659367783898E-2</v>
      </c>
    </row>
    <row r="23" spans="2:18" ht="15" customHeight="1" x14ac:dyDescent="0.35">
      <c r="B23" s="520" t="s">
        <v>694</v>
      </c>
      <c r="F23" s="273"/>
      <c r="G23" s="283"/>
      <c r="H23" s="286"/>
      <c r="I23" s="309"/>
      <c r="J23" s="309"/>
      <c r="K23" s="232"/>
      <c r="M23" s="231" t="s">
        <v>403</v>
      </c>
      <c r="N23" s="578"/>
      <c r="O23" s="578"/>
    </row>
    <row r="24" spans="2:18" ht="15" customHeight="1" x14ac:dyDescent="0.25">
      <c r="B24" s="231" t="s">
        <v>736</v>
      </c>
      <c r="C24" s="590">
        <f>I15</f>
        <v>808657.98475497379</v>
      </c>
      <c r="F24" s="310" t="s">
        <v>244</v>
      </c>
      <c r="G24" s="274"/>
      <c r="H24" s="311"/>
      <c r="I24" s="311"/>
      <c r="J24" s="341"/>
      <c r="K24" s="232"/>
      <c r="M24" s="579" t="s">
        <v>388</v>
      </c>
      <c r="N24" s="578">
        <f>(1+N17)*(1+N18)*(1-N19)*(1+N20)+(N21+N22+N23)</f>
        <v>0.99894348091746143</v>
      </c>
      <c r="O24" s="578">
        <f>(1+O17)*(1+O18)*(1-O19)*(1+O20)+(O21+O22+O23)</f>
        <v>1.0178566015959678</v>
      </c>
      <c r="P24" s="128" t="s">
        <v>730</v>
      </c>
    </row>
    <row r="25" spans="2:18" ht="15" customHeight="1" x14ac:dyDescent="0.25">
      <c r="B25" s="231" t="s">
        <v>229</v>
      </c>
      <c r="C25" s="885">
        <f>'Model Update'!E12</f>
        <v>8.6058519793459354E-3</v>
      </c>
      <c r="F25" s="273" t="s">
        <v>245</v>
      </c>
      <c r="G25" s="291" t="s">
        <v>192</v>
      </c>
      <c r="H25" s="312">
        <f>'Model Update'!H14</f>
        <v>6.0856782764485799E-2</v>
      </c>
      <c r="I25" s="312">
        <f>'Model Update'!L13</f>
        <v>4.3015806950562618E-2</v>
      </c>
      <c r="J25" s="342">
        <f>'Model Update'!L12</f>
        <v>3.1203816756136815E-2</v>
      </c>
      <c r="K25" s="232"/>
    </row>
    <row r="26" spans="2:18" ht="15" customHeight="1" x14ac:dyDescent="0.25">
      <c r="B26" s="231" t="s">
        <v>231</v>
      </c>
      <c r="C26" s="885">
        <f>'Model Update'!G12</f>
        <v>1.8134249912387396E-2</v>
      </c>
      <c r="F26" s="273" t="s">
        <v>193</v>
      </c>
      <c r="G26" s="291" t="s">
        <v>187</v>
      </c>
      <c r="H26" s="442">
        <f>'[13]Outcome - DUoS'!$I$26</f>
        <v>-24618.088097353368</v>
      </c>
      <c r="I26" s="292">
        <f>H31</f>
        <v>-965.93304128271041</v>
      </c>
      <c r="J26" s="343">
        <f>I31</f>
        <v>19841.282912264684</v>
      </c>
      <c r="K26" s="232"/>
      <c r="M26" s="576" t="s">
        <v>396</v>
      </c>
    </row>
    <row r="27" spans="2:18" ht="15" customHeight="1" x14ac:dyDescent="0.25">
      <c r="B27" s="231" t="s">
        <v>234</v>
      </c>
      <c r="C27" s="885">
        <f>'Model Update'!I12</f>
        <v>1.3775850933446687E-2</v>
      </c>
      <c r="F27" s="273" t="s">
        <v>246</v>
      </c>
      <c r="G27" s="291" t="s">
        <v>187</v>
      </c>
      <c r="H27" s="293">
        <f>H26*H25</f>
        <v>-1498.1776394176075</v>
      </c>
      <c r="I27" s="293">
        <f>I26*I25</f>
        <v>-41.550389230986902</v>
      </c>
      <c r="J27" s="294">
        <f>J26*J25</f>
        <v>619.12375620097578</v>
      </c>
      <c r="K27" s="232"/>
      <c r="L27" s="233"/>
    </row>
    <row r="28" spans="2:18" ht="15" customHeight="1" x14ac:dyDescent="0.25">
      <c r="B28" s="267" t="s">
        <v>365</v>
      </c>
      <c r="C28" s="268">
        <f>C24*(1+C25)*(1-C26)*(1+C27)</f>
        <v>811858.63742873806</v>
      </c>
      <c r="F28" s="273" t="s">
        <v>194</v>
      </c>
      <c r="G28" s="291" t="s">
        <v>187</v>
      </c>
      <c r="H28" s="293">
        <f>H12-H14</f>
        <v>24418.29609515809</v>
      </c>
      <c r="I28" s="293">
        <f>I12-I14</f>
        <v>20414.319945252733</v>
      </c>
      <c r="J28" s="294">
        <f>J12-J14</f>
        <v>-20157.006546237972</v>
      </c>
      <c r="K28" s="232"/>
      <c r="M28" s="520" t="s">
        <v>389</v>
      </c>
    </row>
    <row r="29" spans="2:18" ht="15" customHeight="1" x14ac:dyDescent="0.25">
      <c r="F29" s="273" t="s">
        <v>247</v>
      </c>
      <c r="G29" s="291" t="s">
        <v>187</v>
      </c>
      <c r="H29" s="293">
        <f>H28*(((1+H25)^0.5)-1)</f>
        <v>732.03660033017593</v>
      </c>
      <c r="I29" s="293">
        <f>I28*(((1+I25)^0.5)-1)</f>
        <v>434.44639752564672</v>
      </c>
      <c r="J29" s="294">
        <f>J28*(((1+J25)^0.5)-1)</f>
        <v>-312.072010318715</v>
      </c>
      <c r="K29" s="232"/>
      <c r="M29" s="437" t="s">
        <v>356</v>
      </c>
      <c r="N29" s="446" t="s">
        <v>393</v>
      </c>
      <c r="O29" s="447" t="s">
        <v>385</v>
      </c>
      <c r="P29" s="447" t="s">
        <v>390</v>
      </c>
      <c r="Q29" s="580" t="s">
        <v>360</v>
      </c>
    </row>
    <row r="30" spans="2:18" ht="15" customHeight="1" x14ac:dyDescent="0.25">
      <c r="F30" s="273"/>
      <c r="G30" s="291"/>
      <c r="H30" s="294"/>
      <c r="I30" s="294"/>
      <c r="J30" s="294"/>
      <c r="K30" s="232"/>
      <c r="M30" s="449" t="s">
        <v>361</v>
      </c>
      <c r="N30" s="450">
        <f>'DUoS (t-1)'!BM131</f>
        <v>442198.85225449991</v>
      </c>
      <c r="O30" s="575">
        <f>'DUoS (t)'!$BM$131</f>
        <v>435180.72892950004</v>
      </c>
      <c r="P30" s="884">
        <f t="shared" ref="P30:P35" si="0">O30/N30-1</f>
        <v>-1.5870966849458767E-2</v>
      </c>
      <c r="Q30" s="448" t="str">
        <f>IF(($O$24-1)&gt;P30,"YES","NO")</f>
        <v>YES</v>
      </c>
      <c r="R30" s="136"/>
    </row>
    <row r="31" spans="2:18" ht="15" customHeight="1" x14ac:dyDescent="0.35">
      <c r="B31" s="520" t="s">
        <v>371</v>
      </c>
      <c r="F31" s="295" t="s">
        <v>195</v>
      </c>
      <c r="G31" s="296" t="str">
        <f>G29</f>
        <v>$'000</v>
      </c>
      <c r="H31" s="297">
        <f>SUM(H26:H29)</f>
        <v>-965.93304128271041</v>
      </c>
      <c r="I31" s="298">
        <f>SUM(I26:I29)</f>
        <v>19841.282912264684</v>
      </c>
      <c r="J31" s="298">
        <f>SUM(J26:J29)</f>
        <v>-8.6718880910257212</v>
      </c>
      <c r="K31" s="232"/>
      <c r="M31" s="449" t="s">
        <v>362</v>
      </c>
      <c r="N31" s="450">
        <f>'DUoS (t-1)'!BM132</f>
        <v>137470.22264339999</v>
      </c>
      <c r="O31" s="575">
        <f>'DUoS (t)'!$BM$132</f>
        <v>136892.33365639998</v>
      </c>
      <c r="P31" s="884">
        <f t="shared" si="0"/>
        <v>-4.2037393690637082E-3</v>
      </c>
      <c r="Q31" s="448" t="str">
        <f>IF(($O$24-1)&gt;P31,"YES","NO")</f>
        <v>YES</v>
      </c>
      <c r="R31" s="136"/>
    </row>
    <row r="32" spans="2:18" ht="15" customHeight="1" x14ac:dyDescent="0.25">
      <c r="B32" s="231" t="s">
        <v>234</v>
      </c>
      <c r="C32" s="591">
        <v>0</v>
      </c>
      <c r="M32" s="449" t="s">
        <v>363</v>
      </c>
      <c r="N32" s="450">
        <f>'DUoS (t-1)'!BM133</f>
        <v>176354.48954290006</v>
      </c>
      <c r="O32" s="575">
        <f>'DUoS (t)'!$BM$133</f>
        <v>175321.18972009997</v>
      </c>
      <c r="P32" s="884">
        <f t="shared" si="0"/>
        <v>-5.859220400219689E-3</v>
      </c>
      <c r="Q32" s="448" t="str">
        <f>IF(($O$24-1)&gt;P32,"YES","NO")</f>
        <v>YES</v>
      </c>
      <c r="R32" s="136"/>
    </row>
    <row r="33" spans="2:18" ht="15" customHeight="1" x14ac:dyDescent="0.25">
      <c r="B33" s="231" t="s">
        <v>235</v>
      </c>
      <c r="C33" s="411"/>
      <c r="M33" s="449" t="s">
        <v>364</v>
      </c>
      <c r="N33" s="450">
        <f>'DUoS (t-1)'!BM134</f>
        <v>32730.041781</v>
      </c>
      <c r="O33" s="575">
        <f>'DUoS (t)'!$BM$134</f>
        <v>31838.141982000001</v>
      </c>
      <c r="P33" s="884">
        <f t="shared" si="0"/>
        <v>-2.7250188220589222E-2</v>
      </c>
      <c r="Q33" s="448" t="str">
        <f>IF(($O$24-1)&gt;P33,"YES","NO")</f>
        <v>YES</v>
      </c>
      <c r="R33" s="136"/>
    </row>
    <row r="34" spans="2:18" ht="15" customHeight="1" x14ac:dyDescent="0.25">
      <c r="B34" s="231" t="s">
        <v>236</v>
      </c>
      <c r="C34" s="411"/>
      <c r="F34" s="313" t="s">
        <v>217</v>
      </c>
      <c r="G34" s="314"/>
      <c r="H34" s="314"/>
      <c r="I34" s="315"/>
      <c r="J34" s="280"/>
      <c r="M34" s="449" t="s">
        <v>113</v>
      </c>
      <c r="N34" s="450">
        <f>'DUoS (t-1)'!BM135</f>
        <v>13016.699955</v>
      </c>
      <c r="O34" s="575">
        <f>'DUoS (t)'!$BM$135</f>
        <v>12469.236594499998</v>
      </c>
      <c r="P34" s="884">
        <f t="shared" si="0"/>
        <v>-4.205853729383302E-2</v>
      </c>
      <c r="Q34" s="448" t="str">
        <f>IF(($O$24-1)&gt;P34,"YES","NO")</f>
        <v>YES</v>
      </c>
      <c r="R34" s="136"/>
    </row>
    <row r="35" spans="2:18" ht="15" customHeight="1" x14ac:dyDescent="0.25">
      <c r="B35" s="231" t="s">
        <v>237</v>
      </c>
      <c r="C35" s="411"/>
      <c r="F35" s="310" t="s">
        <v>218</v>
      </c>
      <c r="G35" s="316"/>
      <c r="H35" s="317">
        <f>H12</f>
        <v>861765.83509515808</v>
      </c>
      <c r="I35" s="317">
        <f>I12</f>
        <v>829072.30470022652</v>
      </c>
      <c r="J35" s="318">
        <f>J12</f>
        <v>791701.63088250009</v>
      </c>
      <c r="M35" s="581" t="s">
        <v>404</v>
      </c>
      <c r="N35" s="582">
        <f>SUM(N30:N34)</f>
        <v>801770.30617679982</v>
      </c>
      <c r="O35" s="582">
        <f>SUM(O30:O34)</f>
        <v>791701.63088250009</v>
      </c>
      <c r="P35" s="884">
        <f t="shared" si="0"/>
        <v>-1.2558054615805947E-2</v>
      </c>
      <c r="Q35" s="448"/>
      <c r="R35" s="136"/>
    </row>
    <row r="36" spans="2:18" ht="15" customHeight="1" x14ac:dyDescent="0.25">
      <c r="B36" s="231" t="s">
        <v>238</v>
      </c>
      <c r="C36" s="411"/>
      <c r="F36" s="319"/>
      <c r="G36" s="141"/>
      <c r="H36" s="141"/>
      <c r="I36" s="141"/>
      <c r="J36" s="320"/>
    </row>
    <row r="37" spans="2:18" ht="15" customHeight="1" x14ac:dyDescent="0.25">
      <c r="B37" s="267" t="s">
        <v>233</v>
      </c>
      <c r="C37" s="268">
        <f>SUM(C32:C36)</f>
        <v>0</v>
      </c>
      <c r="F37" s="321" t="s">
        <v>219</v>
      </c>
      <c r="G37" s="141"/>
      <c r="H37" s="322">
        <f>H28</f>
        <v>24418.29609515809</v>
      </c>
      <c r="I37" s="322">
        <f>I28</f>
        <v>20414.319945252733</v>
      </c>
      <c r="J37" s="323">
        <f>J28</f>
        <v>-20157.006546237972</v>
      </c>
      <c r="M37" s="576"/>
    </row>
    <row r="38" spans="2:18" ht="15" customHeight="1" x14ac:dyDescent="0.25">
      <c r="F38" s="321" t="s">
        <v>220</v>
      </c>
      <c r="G38" s="141"/>
      <c r="H38" s="322">
        <f>H27</f>
        <v>-1498.1776394176075</v>
      </c>
      <c r="I38" s="322">
        <f>I27</f>
        <v>-41.550389230986902</v>
      </c>
      <c r="J38" s="323">
        <f>J27</f>
        <v>619.12375620097578</v>
      </c>
      <c r="M38" s="520" t="s">
        <v>394</v>
      </c>
    </row>
    <row r="39" spans="2:18" ht="15" customHeight="1" x14ac:dyDescent="0.25">
      <c r="F39" s="321" t="s">
        <v>221</v>
      </c>
      <c r="G39" s="141"/>
      <c r="H39" s="324">
        <f>H29</f>
        <v>732.03660033017593</v>
      </c>
      <c r="I39" s="324">
        <f>I29</f>
        <v>434.44639752564672</v>
      </c>
      <c r="J39" s="325">
        <f>J29</f>
        <v>-312.072010318715</v>
      </c>
      <c r="M39" s="437" t="s">
        <v>356</v>
      </c>
      <c r="N39" s="446" t="s">
        <v>397</v>
      </c>
      <c r="O39" s="447" t="s">
        <v>398</v>
      </c>
      <c r="P39" s="447" t="s">
        <v>390</v>
      </c>
    </row>
    <row r="40" spans="2:18" ht="15" customHeight="1" x14ac:dyDescent="0.35">
      <c r="B40" s="520" t="s">
        <v>372</v>
      </c>
      <c r="F40" s="321"/>
      <c r="G40" s="141"/>
      <c r="H40" s="322">
        <f>SUM(H37:H39)</f>
        <v>23652.155056070656</v>
      </c>
      <c r="I40" s="322">
        <f>SUM(I37:I39)</f>
        <v>20807.215953547395</v>
      </c>
      <c r="J40" s="323">
        <f>SUM(J37:J39)</f>
        <v>-19849.95480035571</v>
      </c>
      <c r="M40" s="449" t="s">
        <v>361</v>
      </c>
      <c r="N40" s="450">
        <f>'NUoS (t-1)'!BM131</f>
        <v>610715.01916949998</v>
      </c>
      <c r="O40" s="575">
        <f>'NUoS (t)'!$BM131</f>
        <v>607959.30160999997</v>
      </c>
      <c r="P40" s="884">
        <f t="shared" ref="P40:P45" si="1">O40/N40-1</f>
        <v>-4.5122806431835416E-3</v>
      </c>
      <c r="R40" s="136">
        <v>604377.11020400003</v>
      </c>
    </row>
    <row r="41" spans="2:18" ht="15" customHeight="1" x14ac:dyDescent="0.25">
      <c r="B41" s="231" t="s">
        <v>697</v>
      </c>
      <c r="C41" s="411"/>
      <c r="F41" s="321"/>
      <c r="G41" s="141"/>
      <c r="H41" s="141"/>
      <c r="I41" s="141"/>
      <c r="J41" s="320"/>
      <c r="M41" s="449" t="s">
        <v>362</v>
      </c>
      <c r="N41" s="450">
        <f>'NUoS (t-1)'!BM132</f>
        <v>190784.08616319997</v>
      </c>
      <c r="O41" s="575">
        <f>'NUoS (t)'!$BM132</f>
        <v>193478.89717619997</v>
      </c>
      <c r="P41" s="884">
        <f t="shared" si="1"/>
        <v>1.4124925549056533E-2</v>
      </c>
      <c r="R41" s="136">
        <v>196502.02866440004</v>
      </c>
    </row>
    <row r="42" spans="2:18" ht="15" customHeight="1" x14ac:dyDescent="0.25">
      <c r="B42" s="231"/>
      <c r="C42" s="411"/>
      <c r="F42" s="310" t="s">
        <v>222</v>
      </c>
      <c r="G42" s="316"/>
      <c r="H42" s="317">
        <f>H35-H40</f>
        <v>838113.68003908743</v>
      </c>
      <c r="I42" s="317">
        <f>I35-I40</f>
        <v>808265.08874667913</v>
      </c>
      <c r="J42" s="318">
        <f>J35-J40</f>
        <v>811551.5856828558</v>
      </c>
      <c r="M42" s="449" t="s">
        <v>363</v>
      </c>
      <c r="N42" s="450">
        <f>'NUoS (t-1)'!BM133</f>
        <v>255236.23800250003</v>
      </c>
      <c r="O42" s="575">
        <f>'NUoS (t)'!$BM133</f>
        <v>259064.99294550007</v>
      </c>
      <c r="P42" s="884">
        <f t="shared" si="1"/>
        <v>1.5000828146364276E-2</v>
      </c>
      <c r="R42" s="136">
        <v>266535.83535539999</v>
      </c>
    </row>
    <row r="43" spans="2:18" ht="15" customHeight="1" x14ac:dyDescent="0.25">
      <c r="B43" s="267" t="s">
        <v>239</v>
      </c>
      <c r="C43" s="268">
        <f>SUM(C41:C42)</f>
        <v>0</v>
      </c>
      <c r="F43" s="321"/>
      <c r="G43" s="141"/>
      <c r="H43" s="141"/>
      <c r="I43" s="141"/>
      <c r="J43" s="320"/>
      <c r="M43" s="449" t="s">
        <v>364</v>
      </c>
      <c r="N43" s="450">
        <f>'NUoS (t-1)'!BM134</f>
        <v>49874.22649500001</v>
      </c>
      <c r="O43" s="575">
        <f>'NUoS (t)'!$BM134</f>
        <v>50046.449265999996</v>
      </c>
      <c r="P43" s="884">
        <f t="shared" si="1"/>
        <v>3.4531416946836924E-3</v>
      </c>
      <c r="R43" s="136">
        <v>51183.243633699989</v>
      </c>
    </row>
    <row r="44" spans="2:18" ht="15" customHeight="1" x14ac:dyDescent="0.25">
      <c r="F44" s="321" t="s">
        <v>223</v>
      </c>
      <c r="G44" s="141"/>
      <c r="H44" s="322">
        <f>H27</f>
        <v>-1498.1776394176075</v>
      </c>
      <c r="I44" s="322">
        <f>I27</f>
        <v>-41.550389230986902</v>
      </c>
      <c r="J44" s="323">
        <f>J27</f>
        <v>619.12375620097578</v>
      </c>
      <c r="M44" s="449" t="s">
        <v>113</v>
      </c>
      <c r="N44" s="450">
        <f>'NUoS (t-1)'!BM135</f>
        <v>32692.142992000001</v>
      </c>
      <c r="O44" s="575">
        <f>'NUoS (t)'!$BM135</f>
        <v>31854.457267500002</v>
      </c>
      <c r="P44" s="884">
        <f t="shared" si="1"/>
        <v>-2.5623457131733085E-2</v>
      </c>
      <c r="R44" s="136">
        <v>32596.130923668003</v>
      </c>
    </row>
    <row r="45" spans="2:18" ht="15" customHeight="1" x14ac:dyDescent="0.25">
      <c r="F45" s="321" t="s">
        <v>224</v>
      </c>
      <c r="G45" s="141"/>
      <c r="H45" s="324">
        <f>H29</f>
        <v>732.03660033017593</v>
      </c>
      <c r="I45" s="324">
        <f>I29</f>
        <v>434.44639752564672</v>
      </c>
      <c r="J45" s="325">
        <f>J29</f>
        <v>-312.072010318715</v>
      </c>
      <c r="M45" s="581" t="s">
        <v>404</v>
      </c>
      <c r="N45" s="582">
        <f>SUM(N40:N44)</f>
        <v>1139301.7128222003</v>
      </c>
      <c r="O45" s="582">
        <f>SUM(O40:O44)</f>
        <v>1142404.0982651999</v>
      </c>
      <c r="P45" s="884">
        <f t="shared" si="1"/>
        <v>2.7230587017328389E-3</v>
      </c>
      <c r="R45" s="137">
        <f>SUM(R40:R44)</f>
        <v>1151194.348781168</v>
      </c>
    </row>
    <row r="46" spans="2:18" ht="15" customHeight="1" x14ac:dyDescent="0.35">
      <c r="B46" s="520" t="s">
        <v>373</v>
      </c>
      <c r="F46" s="321" t="s">
        <v>225</v>
      </c>
      <c r="G46" s="141"/>
      <c r="H46" s="322">
        <f>SUM(H44:H45)</f>
        <v>-766.14103908743152</v>
      </c>
      <c r="I46" s="322">
        <f>SUM(I44:I45)</f>
        <v>392.89600829465979</v>
      </c>
      <c r="J46" s="323">
        <f>SUM(J44:J45)</f>
        <v>307.05174588226078</v>
      </c>
    </row>
    <row r="47" spans="2:18" ht="15" customHeight="1" x14ac:dyDescent="0.25">
      <c r="B47" s="231" t="s">
        <v>696</v>
      </c>
      <c r="C47" s="411"/>
      <c r="F47" s="321"/>
      <c r="G47" s="141"/>
      <c r="H47" s="141"/>
      <c r="I47" s="141"/>
      <c r="J47" s="320"/>
      <c r="M47" s="576"/>
    </row>
    <row r="48" spans="2:18" ht="15" customHeight="1" x14ac:dyDescent="0.25">
      <c r="B48" s="231"/>
      <c r="C48" s="411"/>
      <c r="F48" s="310" t="s">
        <v>226</v>
      </c>
      <c r="G48" s="316"/>
      <c r="H48" s="317">
        <f>H42+H46</f>
        <v>837347.53899999999</v>
      </c>
      <c r="I48" s="317">
        <f>I42+I46</f>
        <v>808657.98475497379</v>
      </c>
      <c r="J48" s="318">
        <f>J42+J46</f>
        <v>811858.63742873806</v>
      </c>
    </row>
    <row r="49" spans="2:10" ht="15" customHeight="1" x14ac:dyDescent="0.25">
      <c r="B49" s="267" t="s">
        <v>355</v>
      </c>
      <c r="C49" s="268">
        <f>SUM(C47:C48)</f>
        <v>0</v>
      </c>
      <c r="F49" s="321"/>
      <c r="G49" s="141"/>
      <c r="H49" s="141"/>
      <c r="I49" s="141"/>
      <c r="J49" s="320"/>
    </row>
    <row r="50" spans="2:10" ht="15" customHeight="1" x14ac:dyDescent="0.25">
      <c r="F50" s="326" t="s">
        <v>227</v>
      </c>
      <c r="G50" s="327"/>
      <c r="H50" s="324">
        <f>H14-H48</f>
        <v>0</v>
      </c>
      <c r="I50" s="324">
        <f>I14-I48</f>
        <v>0</v>
      </c>
      <c r="J50" s="325">
        <f>J14-J48</f>
        <v>0</v>
      </c>
    </row>
    <row r="51" spans="2:10" ht="15" customHeight="1" x14ac:dyDescent="0.25">
      <c r="F51" s="141"/>
      <c r="G51" s="141"/>
      <c r="H51" s="141"/>
      <c r="I51" s="141"/>
      <c r="J51" s="141"/>
    </row>
    <row r="52" spans="2:10" ht="15" customHeight="1" x14ac:dyDescent="0.25">
      <c r="F52" s="141"/>
      <c r="G52" s="141"/>
      <c r="H52" s="141"/>
      <c r="I52" s="141"/>
      <c r="J52" s="141"/>
    </row>
    <row r="53" spans="2:10" ht="15" customHeight="1" x14ac:dyDescent="0.25">
      <c r="F53" s="141"/>
      <c r="G53" s="141"/>
      <c r="H53" s="141"/>
      <c r="I53" s="141"/>
      <c r="J53" s="141"/>
    </row>
    <row r="54" spans="2:10" ht="15" customHeight="1" x14ac:dyDescent="0.25">
      <c r="F54" s="141"/>
      <c r="G54" s="141"/>
      <c r="H54" s="141"/>
      <c r="I54" s="141"/>
      <c r="J54" s="141"/>
    </row>
    <row r="55" spans="2:10" x14ac:dyDescent="0.25">
      <c r="F55" s="141"/>
      <c r="G55" s="141"/>
      <c r="H55" s="141"/>
      <c r="I55" s="141"/>
      <c r="J55" s="141"/>
    </row>
    <row r="56" spans="2:10" x14ac:dyDescent="0.25">
      <c r="F56" s="299"/>
      <c r="G56" s="299"/>
      <c r="H56" s="299"/>
      <c r="I56" s="299"/>
      <c r="J56" s="299"/>
    </row>
    <row r="57" spans="2:10" x14ac:dyDescent="0.25">
      <c r="F57" s="299"/>
      <c r="G57" s="299"/>
      <c r="H57" s="299"/>
      <c r="I57" s="299"/>
      <c r="J57" s="299"/>
    </row>
    <row r="58" spans="2:10" x14ac:dyDescent="0.25">
      <c r="F58" s="299"/>
      <c r="G58" s="299"/>
      <c r="H58" s="299"/>
      <c r="I58" s="299"/>
      <c r="J58" s="299"/>
    </row>
    <row r="59" spans="2:10" x14ac:dyDescent="0.25">
      <c r="F59" s="299"/>
      <c r="G59" s="299"/>
      <c r="H59" s="299"/>
      <c r="I59" s="299"/>
      <c r="J59" s="299"/>
    </row>
    <row r="60" spans="2:10" x14ac:dyDescent="0.25">
      <c r="F60" s="299"/>
      <c r="G60" s="299"/>
      <c r="H60" s="299"/>
      <c r="I60" s="299"/>
      <c r="J60" s="299"/>
    </row>
    <row r="61" spans="2:10" x14ac:dyDescent="0.25">
      <c r="F61" s="299"/>
      <c r="G61" s="299"/>
      <c r="H61" s="299"/>
      <c r="I61" s="299"/>
      <c r="J61" s="299"/>
    </row>
    <row r="62" spans="2:10" x14ac:dyDescent="0.25">
      <c r="F62" s="299"/>
      <c r="G62" s="299"/>
      <c r="H62" s="299"/>
      <c r="I62" s="299"/>
      <c r="J62" s="299"/>
    </row>
    <row r="63" spans="2:10" x14ac:dyDescent="0.25">
      <c r="F63" s="299"/>
      <c r="G63" s="299"/>
      <c r="H63" s="299"/>
      <c r="I63" s="299"/>
      <c r="J63" s="299"/>
    </row>
    <row r="64" spans="2:10" x14ac:dyDescent="0.25">
      <c r="F64" s="299"/>
      <c r="G64" s="299"/>
      <c r="H64" s="299"/>
      <c r="I64" s="299"/>
      <c r="J64" s="299"/>
    </row>
    <row r="65" spans="6:10" x14ac:dyDescent="0.25">
      <c r="F65" s="299"/>
      <c r="G65" s="299"/>
      <c r="H65" s="299"/>
      <c r="I65" s="299"/>
      <c r="J65" s="299"/>
    </row>
    <row r="66" spans="6:10" x14ac:dyDescent="0.25">
      <c r="I66" s="299"/>
      <c r="J66" s="299"/>
    </row>
  </sheetData>
  <phoneticPr fontId="26" type="noConversion"/>
  <conditionalFormatting sqref="Q9:Q13">
    <cfRule type="cellIs" dxfId="43" priority="21" stopIfTrue="1" operator="equal">
      <formula>"YES"</formula>
    </cfRule>
    <cfRule type="cellIs" dxfId="42" priority="22" stopIfTrue="1" operator="equal">
      <formula>"NO"</formula>
    </cfRule>
  </conditionalFormatting>
  <conditionalFormatting sqref="Q35">
    <cfRule type="cellIs" dxfId="41" priority="11" stopIfTrue="1" operator="equal">
      <formula>"YES"</formula>
    </cfRule>
    <cfRule type="cellIs" dxfId="40" priority="12" stopIfTrue="1" operator="equal">
      <formula>"NO"</formula>
    </cfRule>
  </conditionalFormatting>
  <conditionalFormatting sqref="Q14">
    <cfRule type="cellIs" dxfId="39" priority="7" stopIfTrue="1" operator="equal">
      <formula>"YES"</formula>
    </cfRule>
    <cfRule type="cellIs" dxfId="38" priority="8" stopIfTrue="1" operator="equal">
      <formula>"NO"</formula>
    </cfRule>
  </conditionalFormatting>
  <conditionalFormatting sqref="Q30:Q34">
    <cfRule type="cellIs" dxfId="37" priority="1" stopIfTrue="1" operator="equal">
      <formula>"YES"</formula>
    </cfRule>
    <cfRule type="cellIs" dxfId="36" priority="2" stopIfTrue="1" operator="equal">
      <formula>"NO"</formula>
    </cfRule>
  </conditionalFormatting>
  <pageMargins left="0.7" right="0.7" top="0.75" bottom="0.75" header="0.3" footer="0.3"/>
  <pageSetup paperSize="9" orientation="portrait" r:id="rId1"/>
  <customProperties>
    <customPr name="_pios_id" r:id="rId2"/>
  </customProperties>
  <ignoredErrors>
    <ignoredError sqref="H13:J13 H27:J50 J18 H22:J22 P10:Q13 P9 I26:J26" unlockedFormula="1"/>
  </ignoredError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B436-EEC1-496E-8749-205C10080B1F}">
  <sheetPr codeName="Sheet6">
    <tabColor rgb="FF289696"/>
  </sheetPr>
  <dimension ref="A1:M48"/>
  <sheetViews>
    <sheetView showGridLines="0" topLeftCell="A4" zoomScale="90" zoomScaleNormal="90" workbookViewId="0">
      <selection activeCell="L21" sqref="L21"/>
    </sheetView>
  </sheetViews>
  <sheetFormatPr defaultRowHeight="15" x14ac:dyDescent="0.25"/>
  <cols>
    <col min="1" max="1" width="2.28515625" style="128" customWidth="1"/>
    <col min="2" max="2" width="66.140625" style="128" bestFit="1" customWidth="1"/>
    <col min="3" max="3" width="9.140625" style="128"/>
    <col min="4" max="6" width="12.28515625" style="128" customWidth="1"/>
    <col min="7" max="7" width="9.140625" style="128"/>
    <col min="8" max="8" width="12.140625" style="128" bestFit="1" customWidth="1"/>
    <col min="9" max="13" width="24.28515625" style="128" customWidth="1"/>
    <col min="14" max="16384" width="9.140625" style="128"/>
  </cols>
  <sheetData>
    <row r="1" spans="1:13" s="125" customFormat="1" ht="21" x14ac:dyDescent="0.35">
      <c r="A1" s="131" t="s">
        <v>424</v>
      </c>
    </row>
    <row r="2" spans="1:13" x14ac:dyDescent="0.25">
      <c r="F2" s="230"/>
      <c r="I2" s="230"/>
    </row>
    <row r="3" spans="1:13" ht="18.75" x14ac:dyDescent="0.3">
      <c r="B3" s="123" t="s">
        <v>321</v>
      </c>
      <c r="F3" s="230"/>
      <c r="I3" s="230"/>
    </row>
    <row r="5" spans="1:13" x14ac:dyDescent="0.25">
      <c r="B5" s="518" t="s">
        <v>232</v>
      </c>
      <c r="C5" s="519">
        <f>'Model Update'!C12</f>
        <v>2022</v>
      </c>
    </row>
    <row r="7" spans="1:13" x14ac:dyDescent="0.25">
      <c r="B7" s="126" t="s">
        <v>336</v>
      </c>
      <c r="I7" s="520" t="s">
        <v>395</v>
      </c>
    </row>
    <row r="8" spans="1:13" x14ac:dyDescent="0.25">
      <c r="B8" s="269"/>
      <c r="C8" s="270"/>
      <c r="D8" s="271">
        <f>'Model Update'!C14</f>
        <v>2020</v>
      </c>
      <c r="E8" s="272">
        <f>'Model Update'!C13</f>
        <v>2021</v>
      </c>
      <c r="F8" s="337">
        <f>'Model Update'!C12</f>
        <v>2022</v>
      </c>
      <c r="G8" s="232"/>
      <c r="I8" s="437" t="s">
        <v>356</v>
      </c>
      <c r="J8" s="446" t="s">
        <v>391</v>
      </c>
      <c r="K8" s="447" t="s">
        <v>392</v>
      </c>
      <c r="L8" s="447" t="s">
        <v>390</v>
      </c>
      <c r="M8"/>
    </row>
    <row r="9" spans="1:13" x14ac:dyDescent="0.25">
      <c r="B9" s="273"/>
      <c r="C9" s="274"/>
      <c r="D9" s="275" t="s">
        <v>183</v>
      </c>
      <c r="E9" s="276" t="s">
        <v>184</v>
      </c>
      <c r="F9" s="338" t="s">
        <v>185</v>
      </c>
      <c r="G9" s="232"/>
      <c r="I9" s="449" t="s">
        <v>361</v>
      </c>
      <c r="J9" s="450">
        <f>'TUoS (t-1)'!BM131</f>
        <v>116563.26319149999</v>
      </c>
      <c r="K9" s="575">
        <f>'TUoS (t)'!$BM131</f>
        <v>122492.14655799999</v>
      </c>
      <c r="L9" s="884">
        <f t="shared" ref="L9:L14" si="0">K9/J9-1</f>
        <v>5.0864081908547076E-2</v>
      </c>
      <c r="M9"/>
    </row>
    <row r="10" spans="1:13" x14ac:dyDescent="0.25">
      <c r="B10" s="277" t="s">
        <v>186</v>
      </c>
      <c r="C10" s="278"/>
      <c r="D10" s="275" t="str">
        <f>'Model Update'!B14</f>
        <v>t-2</v>
      </c>
      <c r="E10" s="275" t="str">
        <f>'Model Update'!B13</f>
        <v>t-1</v>
      </c>
      <c r="F10" s="421" t="str">
        <f>'Model Update'!B12</f>
        <v>t</v>
      </c>
      <c r="G10" s="232"/>
      <c r="I10" s="449" t="s">
        <v>362</v>
      </c>
      <c r="J10" s="450">
        <f>'TUoS (t-1)'!BM132</f>
        <v>42377.877851300007</v>
      </c>
      <c r="K10" s="575">
        <f>'TUoS (t)'!$BM132</f>
        <v>45598.067851300002</v>
      </c>
      <c r="L10" s="884">
        <f t="shared" si="0"/>
        <v>7.598752375707285E-2</v>
      </c>
      <c r="M10"/>
    </row>
    <row r="11" spans="1:13" x14ac:dyDescent="0.25">
      <c r="B11" s="279"/>
      <c r="C11" s="280"/>
      <c r="D11" s="281"/>
      <c r="E11" s="279"/>
      <c r="F11" s="279"/>
      <c r="G11" s="232"/>
      <c r="I11" s="449" t="s">
        <v>363</v>
      </c>
      <c r="J11" s="450">
        <f>'TUoS (t-1)'!BM133</f>
        <v>64785.681959599984</v>
      </c>
      <c r="K11" s="575">
        <f>'TUoS (t)'!$BM133</f>
        <v>69509.40732540001</v>
      </c>
      <c r="L11" s="884">
        <f t="shared" si="0"/>
        <v>7.2913107077358763E-2</v>
      </c>
      <c r="M11"/>
    </row>
    <row r="12" spans="1:13" x14ac:dyDescent="0.25">
      <c r="B12" s="282" t="s">
        <v>425</v>
      </c>
      <c r="C12" s="283" t="s">
        <v>187</v>
      </c>
      <c r="D12" s="284">
        <f>'[11]TUoS O&amp;U'!$D$12</f>
        <v>254255.413509381</v>
      </c>
      <c r="E12" s="284">
        <f>'[12]Under-Overs'!$P$47</f>
        <v>265015.77740463248</v>
      </c>
      <c r="F12" s="339">
        <f>'TUoS (t)'!I165</f>
        <v>271554.56809169997</v>
      </c>
      <c r="G12" s="232"/>
      <c r="I12" s="449" t="s">
        <v>364</v>
      </c>
      <c r="J12" s="450">
        <f>'TUoS (t-1)'!BM134</f>
        <v>14569.035914</v>
      </c>
      <c r="K12" s="575">
        <f>'TUoS (t)'!$BM134</f>
        <v>15633.158484</v>
      </c>
      <c r="L12" s="884">
        <f t="shared" si="0"/>
        <v>7.3040012824557632E-2</v>
      </c>
      <c r="M12"/>
    </row>
    <row r="13" spans="1:13" x14ac:dyDescent="0.25">
      <c r="B13" s="289" t="s">
        <v>426</v>
      </c>
      <c r="C13" s="283" t="s">
        <v>187</v>
      </c>
      <c r="D13" s="290">
        <f>SUM(D14:D16)</f>
        <v>245073.14301999999</v>
      </c>
      <c r="E13" s="290">
        <f>SUM(E14:E16)</f>
        <v>263186.61064000003</v>
      </c>
      <c r="F13" s="290">
        <f>SUM(F14:F16)</f>
        <v>275135</v>
      </c>
      <c r="G13" s="757"/>
      <c r="I13" s="449" t="s">
        <v>113</v>
      </c>
      <c r="J13" s="450">
        <f>'TUoS (t-1)'!BM135</f>
        <v>18580.711837000003</v>
      </c>
      <c r="K13" s="575">
        <f>'TUoS (t)'!$BM135</f>
        <v>18321.787873000001</v>
      </c>
      <c r="L13" s="884">
        <f t="shared" si="0"/>
        <v>-1.3935093890450556E-2</v>
      </c>
      <c r="M13"/>
    </row>
    <row r="14" spans="1:13" x14ac:dyDescent="0.25">
      <c r="B14" s="300" t="s">
        <v>427</v>
      </c>
      <c r="C14" s="283" t="s">
        <v>187</v>
      </c>
      <c r="D14" s="284">
        <f>D45</f>
        <v>245073.14301999999</v>
      </c>
      <c r="E14" s="284">
        <f>E45</f>
        <v>263186.61064000003</v>
      </c>
      <c r="F14" s="284">
        <f>F45</f>
        <v>275135</v>
      </c>
      <c r="G14" s="756"/>
      <c r="I14" s="581" t="s">
        <v>404</v>
      </c>
      <c r="J14" s="582">
        <f>SUM(J9:J13)</f>
        <v>256876.57075340001</v>
      </c>
      <c r="K14" s="582">
        <f>SUM(K9:K13)</f>
        <v>271554.56809170003</v>
      </c>
      <c r="L14" s="884">
        <f t="shared" si="0"/>
        <v>5.714027283706935E-2</v>
      </c>
      <c r="M14"/>
    </row>
    <row r="15" spans="1:13" x14ac:dyDescent="0.25">
      <c r="B15" s="300" t="s">
        <v>428</v>
      </c>
      <c r="C15" s="283" t="s">
        <v>187</v>
      </c>
      <c r="D15" s="419"/>
      <c r="E15" s="420"/>
      <c r="F15" s="420"/>
      <c r="G15" s="232"/>
    </row>
    <row r="16" spans="1:13" x14ac:dyDescent="0.25">
      <c r="B16" s="300" t="s">
        <v>429</v>
      </c>
      <c r="C16" s="283" t="s">
        <v>187</v>
      </c>
      <c r="D16" s="419"/>
      <c r="E16" s="420"/>
      <c r="F16" s="420"/>
      <c r="G16" s="232"/>
      <c r="I16" s="576" t="s">
        <v>396</v>
      </c>
    </row>
    <row r="17" spans="2:11" x14ac:dyDescent="0.25">
      <c r="B17" s="289"/>
      <c r="C17" s="283"/>
      <c r="D17" s="290"/>
      <c r="E17" s="290"/>
      <c r="F17" s="290"/>
      <c r="G17" s="232"/>
    </row>
    <row r="18" spans="2:11" x14ac:dyDescent="0.25">
      <c r="B18" s="289" t="s">
        <v>430</v>
      </c>
      <c r="C18" s="283" t="s">
        <v>187</v>
      </c>
      <c r="D18" s="290">
        <f>D12-D13</f>
        <v>9182.2704893810151</v>
      </c>
      <c r="E18" s="290">
        <f>E12-E13</f>
        <v>1829.1667646324495</v>
      </c>
      <c r="F18" s="290">
        <f>F12-F13</f>
        <v>-3580.43190830003</v>
      </c>
      <c r="G18" s="232"/>
    </row>
    <row r="19" spans="2:11" x14ac:dyDescent="0.25">
      <c r="B19" s="273"/>
      <c r="C19" s="283"/>
      <c r="D19" s="286"/>
      <c r="E19" s="309"/>
      <c r="F19" s="309"/>
      <c r="G19" s="232"/>
    </row>
    <row r="20" spans="2:11" x14ac:dyDescent="0.25">
      <c r="B20" s="273"/>
      <c r="C20" s="283"/>
      <c r="D20" s="286"/>
      <c r="E20" s="309"/>
      <c r="F20" s="309"/>
      <c r="G20" s="232"/>
    </row>
    <row r="21" spans="2:11" x14ac:dyDescent="0.25">
      <c r="B21" s="310" t="s">
        <v>431</v>
      </c>
      <c r="C21" s="274"/>
      <c r="D21" s="311"/>
      <c r="E21" s="311"/>
      <c r="F21" s="341"/>
      <c r="G21" s="232"/>
    </row>
    <row r="22" spans="2:11" x14ac:dyDescent="0.25">
      <c r="B22" s="273" t="s">
        <v>245</v>
      </c>
      <c r="C22" s="291" t="s">
        <v>192</v>
      </c>
      <c r="D22" s="312">
        <f>'Model Update'!H14</f>
        <v>6.0856782764485799E-2</v>
      </c>
      <c r="E22" s="312">
        <f>'Model Update'!L13</f>
        <v>4.3015806950562618E-2</v>
      </c>
      <c r="F22" s="342">
        <f>'Model Update'!L12</f>
        <v>3.1203816756136815E-2</v>
      </c>
      <c r="G22" s="232"/>
    </row>
    <row r="23" spans="2:11" x14ac:dyDescent="0.25">
      <c r="B23" s="273" t="s">
        <v>193</v>
      </c>
      <c r="C23" s="291" t="s">
        <v>187</v>
      </c>
      <c r="D23" s="442">
        <f>[13]TUoS!$D$28</f>
        <v>-7436.648155538338</v>
      </c>
      <c r="E23" s="292">
        <f>D28</f>
        <v>1568.327328203414</v>
      </c>
      <c r="F23" s="343">
        <f>E28</f>
        <v>3503.8842855865632</v>
      </c>
      <c r="G23" s="232"/>
    </row>
    <row r="24" spans="2:11" x14ac:dyDescent="0.25">
      <c r="B24" s="273" t="s">
        <v>246</v>
      </c>
      <c r="C24" s="291" t="s">
        <v>187</v>
      </c>
      <c r="D24" s="293">
        <f>D23*D22</f>
        <v>-452.57048129751064</v>
      </c>
      <c r="E24" s="293">
        <f>E23*E22</f>
        <v>67.46286558528972</v>
      </c>
      <c r="F24" s="294">
        <f>F23*F22</f>
        <v>109.33456318215048</v>
      </c>
      <c r="G24" s="232"/>
    </row>
    <row r="25" spans="2:11" x14ac:dyDescent="0.25">
      <c r="B25" s="273" t="s">
        <v>194</v>
      </c>
      <c r="C25" s="291" t="s">
        <v>187</v>
      </c>
      <c r="D25" s="293">
        <f>D12-D13</f>
        <v>9182.2704893810151</v>
      </c>
      <c r="E25" s="293">
        <f>E12-E13</f>
        <v>1829.1667646324495</v>
      </c>
      <c r="F25" s="294">
        <f>F12-F13</f>
        <v>-3580.43190830003</v>
      </c>
      <c r="G25" s="232"/>
    </row>
    <row r="26" spans="2:11" x14ac:dyDescent="0.25">
      <c r="B26" s="273" t="s">
        <v>247</v>
      </c>
      <c r="C26" s="291" t="s">
        <v>187</v>
      </c>
      <c r="D26" s="293">
        <f>D25*(((1+D22)^0.5)-1)</f>
        <v>275.27547565824784</v>
      </c>
      <c r="E26" s="293">
        <f>E25*(((1+E22)^0.5)-1)</f>
        <v>38.927327165410112</v>
      </c>
      <c r="F26" s="294">
        <f>F25*(((1+F22)^0.5)-1)</f>
        <v>-55.432466168494742</v>
      </c>
      <c r="G26" s="232"/>
    </row>
    <row r="27" spans="2:11" x14ac:dyDescent="0.25">
      <c r="B27" s="273"/>
      <c r="C27" s="291"/>
      <c r="D27" s="294"/>
      <c r="E27" s="294"/>
      <c r="F27" s="294"/>
      <c r="G27" s="232"/>
    </row>
    <row r="28" spans="2:11" x14ac:dyDescent="0.25">
      <c r="B28" s="295" t="s">
        <v>195</v>
      </c>
      <c r="C28" s="296" t="str">
        <f>C26</f>
        <v>$'000</v>
      </c>
      <c r="D28" s="297">
        <f>SUM(D23:D26)</f>
        <v>1568.327328203414</v>
      </c>
      <c r="E28" s="298">
        <f>SUM(E23:E26)</f>
        <v>3503.8842855865632</v>
      </c>
      <c r="F28" s="298">
        <f>SUM(F23:F26)</f>
        <v>-22.645525699811245</v>
      </c>
      <c r="G28" s="232"/>
    </row>
    <row r="29" spans="2:11" x14ac:dyDescent="0.25">
      <c r="H29"/>
      <c r="I29"/>
      <c r="J29"/>
      <c r="K29"/>
    </row>
    <row r="30" spans="2:11" x14ac:dyDescent="0.25">
      <c r="H30"/>
      <c r="I30"/>
      <c r="J30"/>
      <c r="K30"/>
    </row>
    <row r="31" spans="2:11" x14ac:dyDescent="0.25">
      <c r="B31" s="126" t="s">
        <v>322</v>
      </c>
      <c r="H31"/>
      <c r="I31"/>
      <c r="J31"/>
      <c r="K31"/>
    </row>
    <row r="32" spans="2:11" x14ac:dyDescent="0.25">
      <c r="B32" s="422" t="s">
        <v>323</v>
      </c>
      <c r="C32" s="423"/>
      <c r="D32" s="412">
        <f>D8</f>
        <v>2020</v>
      </c>
      <c r="E32" s="412">
        <f>E8</f>
        <v>2021</v>
      </c>
      <c r="F32" s="413">
        <f>F8</f>
        <v>2022</v>
      </c>
      <c r="H32"/>
      <c r="I32"/>
      <c r="J32"/>
      <c r="K32"/>
    </row>
    <row r="33" spans="2:13" x14ac:dyDescent="0.25">
      <c r="B33" s="232" t="s">
        <v>324</v>
      </c>
      <c r="C33" s="233"/>
      <c r="D33" s="531">
        <f>'[11]TUoS O&amp;U'!$K33</f>
        <v>21560.358230000002</v>
      </c>
      <c r="E33" s="233"/>
      <c r="F33" s="145"/>
      <c r="H33"/>
      <c r="I33"/>
      <c r="J33"/>
      <c r="K33"/>
      <c r="L33" s="299"/>
      <c r="M33" s="299"/>
    </row>
    <row r="34" spans="2:13" x14ac:dyDescent="0.25">
      <c r="B34" s="232" t="s">
        <v>325</v>
      </c>
      <c r="C34" s="233"/>
      <c r="D34" s="531">
        <f>'[11]TUoS O&amp;U'!$K34</f>
        <v>21479.464940000002</v>
      </c>
      <c r="E34" s="233"/>
      <c r="F34" s="145"/>
      <c r="H34"/>
      <c r="I34"/>
      <c r="J34"/>
      <c r="K34"/>
      <c r="L34" s="299"/>
      <c r="M34" s="299"/>
    </row>
    <row r="35" spans="2:13" x14ac:dyDescent="0.25">
      <c r="B35" s="232" t="s">
        <v>326</v>
      </c>
      <c r="C35" s="233"/>
      <c r="D35" s="531">
        <f>'[11]TUoS O&amp;U'!$K35</f>
        <v>19704.297470000001</v>
      </c>
      <c r="E35" s="233"/>
      <c r="F35" s="145"/>
      <c r="H35"/>
      <c r="I35"/>
      <c r="J35"/>
      <c r="K35"/>
      <c r="L35" s="299"/>
      <c r="M35" s="299"/>
    </row>
    <row r="36" spans="2:13" x14ac:dyDescent="0.25">
      <c r="B36" s="232" t="s">
        <v>327</v>
      </c>
      <c r="C36" s="233"/>
      <c r="D36" s="531">
        <f>'[11]TUoS O&amp;U'!$K36</f>
        <v>19700.415249999998</v>
      </c>
      <c r="E36" s="233"/>
      <c r="F36" s="145"/>
      <c r="H36"/>
      <c r="I36"/>
      <c r="J36"/>
      <c r="K36"/>
      <c r="L36" s="299"/>
      <c r="M36" s="299"/>
    </row>
    <row r="37" spans="2:13" x14ac:dyDescent="0.25">
      <c r="B37" s="232" t="s">
        <v>328</v>
      </c>
      <c r="C37" s="233"/>
      <c r="D37" s="531">
        <f>'[11]TUoS O&amp;U'!$K37</f>
        <v>19956.817510000001</v>
      </c>
      <c r="E37" s="233"/>
      <c r="F37" s="145"/>
      <c r="H37"/>
      <c r="I37"/>
      <c r="J37"/>
      <c r="K37"/>
      <c r="L37" s="299"/>
      <c r="M37" s="299"/>
    </row>
    <row r="38" spans="2:13" x14ac:dyDescent="0.25">
      <c r="B38" s="232" t="s">
        <v>329</v>
      </c>
      <c r="C38" s="233"/>
      <c r="D38" s="531">
        <f>'[11]TUoS O&amp;U'!$K38</f>
        <v>20079.89473</v>
      </c>
      <c r="E38" s="233"/>
      <c r="F38" s="145"/>
      <c r="H38"/>
      <c r="I38"/>
      <c r="J38"/>
      <c r="K38"/>
      <c r="L38" s="299"/>
      <c r="M38" s="299"/>
    </row>
    <row r="39" spans="2:13" x14ac:dyDescent="0.25">
      <c r="B39" s="232" t="s">
        <v>330</v>
      </c>
      <c r="C39" s="233"/>
      <c r="D39" s="531">
        <f>'[11]TUoS O&amp;U'!$K39</f>
        <v>21392.590029999999</v>
      </c>
      <c r="E39" s="233"/>
      <c r="F39" s="145"/>
      <c r="H39"/>
      <c r="I39"/>
      <c r="J39"/>
      <c r="K39"/>
      <c r="L39" s="299"/>
      <c r="M39" s="299"/>
    </row>
    <row r="40" spans="2:13" x14ac:dyDescent="0.25">
      <c r="B40" s="232" t="s">
        <v>331</v>
      </c>
      <c r="C40" s="233"/>
      <c r="D40" s="531">
        <f>'[11]TUoS O&amp;U'!$K40</f>
        <v>19614.412199999999</v>
      </c>
      <c r="E40" s="233"/>
      <c r="F40" s="145"/>
      <c r="H40"/>
      <c r="I40"/>
      <c r="J40"/>
      <c r="K40"/>
      <c r="L40" s="299"/>
      <c r="M40" s="299"/>
    </row>
    <row r="41" spans="2:13" x14ac:dyDescent="0.25">
      <c r="B41" s="232" t="s">
        <v>332</v>
      </c>
      <c r="C41" s="233"/>
      <c r="D41" s="531">
        <f>'[11]TUoS O&amp;U'!$K41</f>
        <v>20237.370620000002</v>
      </c>
      <c r="E41" s="233"/>
      <c r="F41" s="145"/>
      <c r="H41"/>
      <c r="I41"/>
      <c r="J41"/>
      <c r="K41"/>
      <c r="L41" s="299"/>
      <c r="M41" s="299"/>
    </row>
    <row r="42" spans="2:13" x14ac:dyDescent="0.25">
      <c r="B42" s="232" t="s">
        <v>333</v>
      </c>
      <c r="C42" s="233"/>
      <c r="D42" s="531">
        <f>'[11]TUoS O&amp;U'!$K42</f>
        <v>19580.14717</v>
      </c>
      <c r="E42" s="233"/>
      <c r="F42" s="145"/>
      <c r="H42"/>
      <c r="I42"/>
      <c r="J42"/>
      <c r="K42"/>
      <c r="L42" s="299"/>
      <c r="M42" s="299"/>
    </row>
    <row r="43" spans="2:13" x14ac:dyDescent="0.25">
      <c r="B43" s="232" t="s">
        <v>334</v>
      </c>
      <c r="C43" s="233"/>
      <c r="D43" s="531">
        <f>'[11]TUoS O&amp;U'!$K43</f>
        <v>20826.707439999998</v>
      </c>
      <c r="E43" s="233"/>
      <c r="F43" s="145"/>
      <c r="H43"/>
      <c r="I43"/>
      <c r="J43"/>
      <c r="K43"/>
    </row>
    <row r="44" spans="2:13" x14ac:dyDescent="0.25">
      <c r="B44" s="232" t="s">
        <v>335</v>
      </c>
      <c r="C44" s="233"/>
      <c r="D44" s="531">
        <f>'[11]TUoS O&amp;U'!$K44</f>
        <v>20940.667430000001</v>
      </c>
      <c r="E44" s="233"/>
      <c r="F44" s="145"/>
      <c r="H44"/>
      <c r="I44"/>
      <c r="J44"/>
      <c r="K44"/>
    </row>
    <row r="45" spans="2:13" x14ac:dyDescent="0.25">
      <c r="B45" s="422" t="s">
        <v>155</v>
      </c>
      <c r="C45" s="423"/>
      <c r="D45" s="424">
        <f>SUM(D33:D44)</f>
        <v>245073.14301999999</v>
      </c>
      <c r="E45" s="536">
        <f>[13]TUoS!$F$45</f>
        <v>263186.61064000003</v>
      </c>
      <c r="F45" s="537">
        <f>'[12]Under-Overs'!$Q$49</f>
        <v>275135</v>
      </c>
      <c r="H45"/>
      <c r="I45"/>
      <c r="J45"/>
      <c r="K45"/>
    </row>
    <row r="46" spans="2:13" x14ac:dyDescent="0.25">
      <c r="H46"/>
      <c r="I46"/>
      <c r="J46"/>
      <c r="K46"/>
    </row>
    <row r="47" spans="2:13" x14ac:dyDescent="0.25">
      <c r="H47"/>
      <c r="I47"/>
      <c r="J47"/>
      <c r="K47"/>
    </row>
    <row r="48" spans="2:13" x14ac:dyDescent="0.25">
      <c r="H48"/>
      <c r="I48"/>
      <c r="J48"/>
      <c r="K48"/>
    </row>
  </sheetData>
  <phoneticPr fontId="26" type="noConversion"/>
  <pageMargins left="0.7" right="0.7" top="0.75" bottom="0.75" header="0.3" footer="0.3"/>
  <customProperties>
    <customPr name="_pios_id" r:id="rId1"/>
  </customProperties>
  <ignoredErrors>
    <ignoredError sqref="D14:F1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F2262-8D2A-4895-ABD0-26EF39939687}">
  <sheetPr codeName="Sheet7">
    <tabColor rgb="FF289696"/>
  </sheetPr>
  <dimension ref="A1:M40"/>
  <sheetViews>
    <sheetView showGridLines="0" topLeftCell="A4" zoomScale="90" zoomScaleNormal="90" workbookViewId="0">
      <selection activeCell="G22" sqref="G22"/>
    </sheetView>
  </sheetViews>
  <sheetFormatPr defaultRowHeight="15" x14ac:dyDescent="0.25"/>
  <cols>
    <col min="1" max="1" width="1.85546875" style="128" customWidth="1"/>
    <col min="2" max="2" width="60.7109375" style="128" customWidth="1"/>
    <col min="3" max="6" width="12.5703125" style="128" customWidth="1"/>
    <col min="7" max="8" width="9.140625" style="128"/>
    <col min="9" max="13" width="25.5703125" style="128" customWidth="1"/>
    <col min="14" max="16384" width="9.140625" style="128"/>
  </cols>
  <sheetData>
    <row r="1" spans="1:13" s="125" customFormat="1" ht="21" x14ac:dyDescent="0.35">
      <c r="A1" s="131" t="s">
        <v>320</v>
      </c>
    </row>
    <row r="2" spans="1:13" x14ac:dyDescent="0.25">
      <c r="F2" s="230"/>
    </row>
    <row r="3" spans="1:13" ht="18.75" x14ac:dyDescent="0.3">
      <c r="B3" s="123" t="s">
        <v>319</v>
      </c>
      <c r="F3" s="230"/>
    </row>
    <row r="5" spans="1:13" x14ac:dyDescent="0.25">
      <c r="B5" s="518" t="s">
        <v>232</v>
      </c>
      <c r="C5" s="519">
        <f>'Model Update'!C12</f>
        <v>2022</v>
      </c>
    </row>
    <row r="7" spans="1:13" x14ac:dyDescent="0.25">
      <c r="B7" s="126" t="s">
        <v>337</v>
      </c>
      <c r="I7" s="520" t="s">
        <v>405</v>
      </c>
    </row>
    <row r="8" spans="1:13" x14ac:dyDescent="0.25">
      <c r="B8" s="269"/>
      <c r="C8" s="270"/>
      <c r="D8" s="271">
        <f>'Model Update'!C14</f>
        <v>2020</v>
      </c>
      <c r="E8" s="272">
        <f>'Model Update'!C13</f>
        <v>2021</v>
      </c>
      <c r="F8" s="337">
        <f>'Model Update'!C12</f>
        <v>2022</v>
      </c>
      <c r="G8" s="232"/>
      <c r="I8" s="437" t="s">
        <v>356</v>
      </c>
      <c r="J8" s="446" t="s">
        <v>399</v>
      </c>
      <c r="K8" s="447" t="s">
        <v>400</v>
      </c>
      <c r="L8" s="447" t="s">
        <v>390</v>
      </c>
      <c r="M8"/>
    </row>
    <row r="9" spans="1:13" x14ac:dyDescent="0.25">
      <c r="B9" s="273"/>
      <c r="C9" s="274"/>
      <c r="D9" s="275" t="s">
        <v>183</v>
      </c>
      <c r="E9" s="276" t="s">
        <v>184</v>
      </c>
      <c r="F9" s="338" t="s">
        <v>185</v>
      </c>
      <c r="G9" s="232"/>
      <c r="I9" s="449" t="s">
        <v>361</v>
      </c>
      <c r="J9" s="450">
        <f>'JSO (t-1)'!BM131</f>
        <v>51952.903723500014</v>
      </c>
      <c r="K9" s="575">
        <f>'JSO (t)'!$BM131</f>
        <v>50286.426122499994</v>
      </c>
      <c r="L9" s="884">
        <f t="shared" ref="L9:L14" si="0">K9/J9-1</f>
        <v>-3.2076697962239553E-2</v>
      </c>
      <c r="M9"/>
    </row>
    <row r="10" spans="1:13" x14ac:dyDescent="0.25">
      <c r="B10" s="277" t="s">
        <v>186</v>
      </c>
      <c r="C10" s="278"/>
      <c r="D10" s="275" t="str">
        <f>'Model Update'!B14</f>
        <v>t-2</v>
      </c>
      <c r="E10" s="275" t="str">
        <f>'Model Update'!B13</f>
        <v>t-1</v>
      </c>
      <c r="F10" s="421" t="str">
        <f>'Model Update'!B12</f>
        <v>t</v>
      </c>
      <c r="G10" s="232"/>
      <c r="I10" s="449" t="s">
        <v>362</v>
      </c>
      <c r="J10" s="450">
        <f>'JSO (t-1)'!BM132</f>
        <v>10935.985668500001</v>
      </c>
      <c r="K10" s="575">
        <f>'JSO (t)'!$BM132</f>
        <v>10988.495668500002</v>
      </c>
      <c r="L10" s="884">
        <f t="shared" si="0"/>
        <v>4.8015790795383761E-3</v>
      </c>
      <c r="M10"/>
    </row>
    <row r="11" spans="1:13" x14ac:dyDescent="0.25">
      <c r="B11" s="279"/>
      <c r="C11" s="280"/>
      <c r="D11" s="281"/>
      <c r="E11" s="279"/>
      <c r="F11" s="279"/>
      <c r="G11" s="232"/>
      <c r="I11" s="449" t="s">
        <v>363</v>
      </c>
      <c r="J11" s="450">
        <f>'JSO (t-1)'!BM133</f>
        <v>14096.066500000001</v>
      </c>
      <c r="K11" s="575">
        <f>'JSO (t)'!$BM133</f>
        <v>14234.395899999998</v>
      </c>
      <c r="L11" s="884">
        <f t="shared" si="0"/>
        <v>9.8133333863030803E-3</v>
      </c>
      <c r="M11"/>
    </row>
    <row r="12" spans="1:13" x14ac:dyDescent="0.25">
      <c r="B12" s="282" t="s">
        <v>338</v>
      </c>
      <c r="C12" s="283" t="s">
        <v>187</v>
      </c>
      <c r="D12" s="443">
        <f>'[11]JSO O&amp;U'!$D$12</f>
        <v>84329.574542659233</v>
      </c>
      <c r="E12" s="443">
        <f>'[12]Under-Overs'!$P$78</f>
        <v>82249.917216493821</v>
      </c>
      <c r="F12" s="339">
        <f>'JSO (t)'!I165</f>
        <v>79147.899290999994</v>
      </c>
      <c r="G12" s="232"/>
      <c r="I12" s="449" t="s">
        <v>364</v>
      </c>
      <c r="J12" s="450">
        <f>'JSO (t-1)'!BM134</f>
        <v>2575.1488000000004</v>
      </c>
      <c r="K12" s="575">
        <f>'JSO (t)'!$BM134</f>
        <v>2575.1488000000004</v>
      </c>
      <c r="L12" s="884">
        <f t="shared" si="0"/>
        <v>0</v>
      </c>
      <c r="M12"/>
    </row>
    <row r="13" spans="1:13" x14ac:dyDescent="0.25">
      <c r="B13" s="425" t="s">
        <v>339</v>
      </c>
      <c r="C13" s="283"/>
      <c r="D13" s="426">
        <f>SUM(D14:D15)</f>
        <v>82665.464211292187</v>
      </c>
      <c r="E13" s="426">
        <f>SUM(E14:E15)</f>
        <v>79569.248000000007</v>
      </c>
      <c r="F13" s="426">
        <f>SUM(F14:F15)</f>
        <v>80000.36</v>
      </c>
      <c r="G13" s="232"/>
      <c r="I13" s="449" t="s">
        <v>113</v>
      </c>
      <c r="J13" s="450">
        <f>'JSO (t-1)'!BM135</f>
        <v>1094.7311999999999</v>
      </c>
      <c r="K13" s="575">
        <f>'JSO (t)'!$BM135</f>
        <v>1063.4328</v>
      </c>
      <c r="L13" s="884">
        <f t="shared" si="0"/>
        <v>-2.8590031964010776E-2</v>
      </c>
      <c r="M13"/>
    </row>
    <row r="14" spans="1:13" x14ac:dyDescent="0.25">
      <c r="B14" s="300" t="s">
        <v>340</v>
      </c>
      <c r="C14" s="283" t="s">
        <v>187</v>
      </c>
      <c r="D14" s="538">
        <f>'[11]JSO O&amp;U'!$D$34</f>
        <v>15042.829798785937</v>
      </c>
      <c r="E14" s="538">
        <f>E34</f>
        <v>14555.023999999999</v>
      </c>
      <c r="F14" s="538">
        <f>F34</f>
        <v>14700.18</v>
      </c>
      <c r="G14" s="232"/>
      <c r="I14" s="581" t="s">
        <v>404</v>
      </c>
      <c r="J14" s="582">
        <f>SUM(J9:J13)</f>
        <v>80654.835892000003</v>
      </c>
      <c r="K14" s="582">
        <f>SUM(K9:K13)</f>
        <v>79147.89929099998</v>
      </c>
      <c r="L14" s="884">
        <f t="shared" si="0"/>
        <v>-1.8683772452502079E-2</v>
      </c>
      <c r="M14"/>
    </row>
    <row r="15" spans="1:13" x14ac:dyDescent="0.25">
      <c r="B15" s="300" t="s">
        <v>341</v>
      </c>
      <c r="C15" s="283" t="s">
        <v>187</v>
      </c>
      <c r="D15" s="538">
        <f>'[11]JSO O&amp;U'!$D$40</f>
        <v>67622.634412506246</v>
      </c>
      <c r="E15" s="538">
        <f>E40</f>
        <v>65014.224000000002</v>
      </c>
      <c r="F15" s="538">
        <f>F40</f>
        <v>65300.18</v>
      </c>
      <c r="G15" s="232"/>
    </row>
    <row r="16" spans="1:13" x14ac:dyDescent="0.25">
      <c r="B16" s="300"/>
      <c r="C16" s="283"/>
      <c r="D16" s="339"/>
      <c r="E16" s="339"/>
      <c r="F16" s="339"/>
      <c r="G16" s="232"/>
      <c r="I16" s="576" t="s">
        <v>396</v>
      </c>
    </row>
    <row r="17" spans="2:7" x14ac:dyDescent="0.25">
      <c r="B17" s="289"/>
      <c r="C17" s="283"/>
      <c r="D17" s="290"/>
      <c r="E17" s="290"/>
      <c r="F17" s="290"/>
      <c r="G17" s="232"/>
    </row>
    <row r="18" spans="2:7" x14ac:dyDescent="0.25">
      <c r="B18" s="289" t="s">
        <v>430</v>
      </c>
      <c r="C18" s="283" t="s">
        <v>187</v>
      </c>
      <c r="D18" s="290">
        <f>D12-D13</f>
        <v>1664.1103313670465</v>
      </c>
      <c r="E18" s="290">
        <f>E12-E13</f>
        <v>2680.669216493814</v>
      </c>
      <c r="F18" s="290">
        <f>F12-F13</f>
        <v>-852.46070900000632</v>
      </c>
      <c r="G18" s="232"/>
    </row>
    <row r="19" spans="2:7" x14ac:dyDescent="0.25">
      <c r="B19" s="273"/>
      <c r="C19" s="283"/>
      <c r="D19" s="286"/>
      <c r="E19" s="309"/>
      <c r="F19" s="309"/>
      <c r="G19" s="232"/>
    </row>
    <row r="20" spans="2:7" x14ac:dyDescent="0.25">
      <c r="B20" s="273"/>
      <c r="C20" s="283"/>
      <c r="D20" s="286"/>
      <c r="E20" s="309"/>
      <c r="F20" s="309"/>
      <c r="G20" s="232"/>
    </row>
    <row r="21" spans="2:7" x14ac:dyDescent="0.25">
      <c r="B21" s="310" t="s">
        <v>432</v>
      </c>
      <c r="C21" s="274"/>
      <c r="D21" s="311"/>
      <c r="E21" s="311"/>
      <c r="F21" s="341"/>
      <c r="G21" s="232"/>
    </row>
    <row r="22" spans="2:7" ht="15.75" customHeight="1" x14ac:dyDescent="0.25">
      <c r="B22" s="273" t="s">
        <v>245</v>
      </c>
      <c r="C22" s="291" t="s">
        <v>192</v>
      </c>
      <c r="D22" s="312">
        <f>'Model Update'!H14</f>
        <v>6.0856782764485799E-2</v>
      </c>
      <c r="E22" s="312">
        <f>'Model Update'!L13</f>
        <v>4.3015806950562618E-2</v>
      </c>
      <c r="F22" s="342">
        <f>'Model Update'!L12</f>
        <v>3.1203816756136815E-2</v>
      </c>
      <c r="G22" s="232"/>
    </row>
    <row r="23" spans="2:7" x14ac:dyDescent="0.25">
      <c r="B23" s="273" t="s">
        <v>193</v>
      </c>
      <c r="C23" s="291" t="s">
        <v>187</v>
      </c>
      <c r="D23" s="442">
        <f>[13]JSO!$D$28</f>
        <v>-3337.9129712582412</v>
      </c>
      <c r="E23" s="292">
        <f>D28</f>
        <v>-1827.048886655286</v>
      </c>
      <c r="F23" s="343">
        <f>E28</f>
        <v>832.07688451047841</v>
      </c>
      <c r="G23" s="232"/>
    </row>
    <row r="24" spans="2:7" x14ac:dyDescent="0.25">
      <c r="B24" s="273" t="s">
        <v>246</v>
      </c>
      <c r="C24" s="291" t="s">
        <v>187</v>
      </c>
      <c r="D24" s="293">
        <f>D23*D22</f>
        <v>-203.13464457862213</v>
      </c>
      <c r="E24" s="293">
        <f>E23*E22</f>
        <v>-78.591982197604139</v>
      </c>
      <c r="F24" s="294">
        <f>F23*F22</f>
        <v>25.963974631282184</v>
      </c>
      <c r="G24" s="232"/>
    </row>
    <row r="25" spans="2:7" x14ac:dyDescent="0.25">
      <c r="B25" s="273" t="s">
        <v>194</v>
      </c>
      <c r="C25" s="291" t="s">
        <v>187</v>
      </c>
      <c r="D25" s="293">
        <f>D12-D13</f>
        <v>1664.1103313670465</v>
      </c>
      <c r="E25" s="293">
        <f>E12-E13</f>
        <v>2680.669216493814</v>
      </c>
      <c r="F25" s="293">
        <f>F12-F13</f>
        <v>-852.46070900000632</v>
      </c>
      <c r="G25" s="232"/>
    </row>
    <row r="26" spans="2:7" x14ac:dyDescent="0.25">
      <c r="B26" s="273" t="s">
        <v>247</v>
      </c>
      <c r="C26" s="291" t="s">
        <v>187</v>
      </c>
      <c r="D26" s="293">
        <f>D25*(((1+D22)^0.5)-1)</f>
        <v>49.888397814530983</v>
      </c>
      <c r="E26" s="293">
        <f>E25*(((1+E22)^0.5)-1)</f>
        <v>57.048536869554646</v>
      </c>
      <c r="F26" s="294">
        <f>F25*(((1+F22)^0.5)-1)</f>
        <v>-13.197848924894046</v>
      </c>
      <c r="G26" s="232"/>
    </row>
    <row r="27" spans="2:7" x14ac:dyDescent="0.25">
      <c r="B27" s="273"/>
      <c r="C27" s="291"/>
      <c r="D27" s="294"/>
      <c r="E27" s="294"/>
      <c r="F27" s="294"/>
      <c r="G27" s="232"/>
    </row>
    <row r="28" spans="2:7" x14ac:dyDescent="0.25">
      <c r="B28" s="295" t="s">
        <v>195</v>
      </c>
      <c r="C28" s="296" t="str">
        <f>C26</f>
        <v>$'000</v>
      </c>
      <c r="D28" s="297">
        <f>SUM(D23:D26)</f>
        <v>-1827.048886655286</v>
      </c>
      <c r="E28" s="298">
        <f>SUM(E23:E26)</f>
        <v>832.07688451047841</v>
      </c>
      <c r="F28" s="298">
        <f>SUM(F23:F26)</f>
        <v>-7.617698783139744</v>
      </c>
      <c r="G28" s="232"/>
    </row>
    <row r="30" spans="2:7" ht="15.75" x14ac:dyDescent="0.25">
      <c r="B30" s="437" t="s">
        <v>346</v>
      </c>
      <c r="C30" s="427"/>
      <c r="D30" s="428">
        <f>D8</f>
        <v>2020</v>
      </c>
      <c r="E30" s="428">
        <f>E8</f>
        <v>2021</v>
      </c>
      <c r="F30" s="428">
        <f>F8</f>
        <v>2022</v>
      </c>
    </row>
    <row r="31" spans="2:7" x14ac:dyDescent="0.25">
      <c r="B31" s="429"/>
      <c r="C31" s="2"/>
      <c r="D31" s="124"/>
      <c r="E31" s="124"/>
      <c r="F31" s="430"/>
    </row>
    <row r="32" spans="2:7" x14ac:dyDescent="0.25">
      <c r="B32" s="429" t="s">
        <v>698</v>
      </c>
      <c r="C32" s="74" t="s">
        <v>23</v>
      </c>
      <c r="D32" s="541">
        <f>'[14]31-Customer nos and Demand PV'!$N$69</f>
        <v>33997.32243302084</v>
      </c>
      <c r="E32" s="541">
        <v>33079.599999999999</v>
      </c>
      <c r="F32" s="541">
        <v>33409.5</v>
      </c>
    </row>
    <row r="33" spans="2:6" x14ac:dyDescent="0.25">
      <c r="B33" s="431" t="s">
        <v>343</v>
      </c>
      <c r="C33" s="74" t="s">
        <v>344</v>
      </c>
      <c r="D33" s="539">
        <v>440</v>
      </c>
      <c r="E33" s="539">
        <v>440</v>
      </c>
      <c r="F33" s="540">
        <v>440</v>
      </c>
    </row>
    <row r="34" spans="2:6" x14ac:dyDescent="0.25">
      <c r="B34" s="432" t="s">
        <v>345</v>
      </c>
      <c r="C34" s="438" t="s">
        <v>187</v>
      </c>
      <c r="D34" s="434">
        <f>D32*D33/1000</f>
        <v>14958.821870529169</v>
      </c>
      <c r="E34" s="434">
        <f>E32*E33/1000</f>
        <v>14555.023999999999</v>
      </c>
      <c r="F34" s="435">
        <f>F32*F33/1000</f>
        <v>14700.18</v>
      </c>
    </row>
    <row r="35" spans="2:6" x14ac:dyDescent="0.25">
      <c r="B35" s="436"/>
      <c r="C35" s="436"/>
      <c r="D35" s="436"/>
      <c r="E35" s="436"/>
      <c r="F35" s="436"/>
    </row>
    <row r="36" spans="2:6" ht="15.75" x14ac:dyDescent="0.25">
      <c r="B36" s="437" t="s">
        <v>347</v>
      </c>
      <c r="C36" s="427"/>
      <c r="D36" s="428">
        <f>D8</f>
        <v>2020</v>
      </c>
      <c r="E36" s="428">
        <f>E8</f>
        <v>2021</v>
      </c>
      <c r="F36" s="428">
        <f>F8</f>
        <v>2022</v>
      </c>
    </row>
    <row r="37" spans="2:6" x14ac:dyDescent="0.25">
      <c r="B37" s="429"/>
      <c r="C37" s="2"/>
      <c r="D37" s="124"/>
      <c r="E37" s="124"/>
      <c r="F37" s="430"/>
    </row>
    <row r="38" spans="2:6" x14ac:dyDescent="0.25">
      <c r="B38" s="429" t="s">
        <v>342</v>
      </c>
      <c r="C38" s="74" t="s">
        <v>23</v>
      </c>
      <c r="D38" s="541">
        <f>'[14]31-Customer nos and Demand PV'!$N$70</f>
        <v>153022.68421991682</v>
      </c>
      <c r="E38" s="541">
        <v>147759.6</v>
      </c>
      <c r="F38" s="541">
        <v>148409.5</v>
      </c>
    </row>
    <row r="39" spans="2:6" x14ac:dyDescent="0.25">
      <c r="B39" s="431" t="s">
        <v>343</v>
      </c>
      <c r="C39" s="439" t="s">
        <v>344</v>
      </c>
      <c r="D39" s="539">
        <v>440</v>
      </c>
      <c r="E39" s="539">
        <v>440</v>
      </c>
      <c r="F39" s="540">
        <v>440</v>
      </c>
    </row>
    <row r="40" spans="2:6" x14ac:dyDescent="0.25">
      <c r="B40" s="432" t="s">
        <v>345</v>
      </c>
      <c r="C40" s="433" t="s">
        <v>187</v>
      </c>
      <c r="D40" s="434">
        <f>D38*D39/1000</f>
        <v>67329.981056763398</v>
      </c>
      <c r="E40" s="434">
        <f>E38*E39/1000</f>
        <v>65014.224000000002</v>
      </c>
      <c r="F40" s="435">
        <f>F38*F39/1000</f>
        <v>65300.18</v>
      </c>
    </row>
  </sheetData>
  <phoneticPr fontId="26" type="noConversion"/>
  <pageMargins left="0.7" right="0.7" top="0.75" bottom="0.75" header="0.3" footer="0.3"/>
  <pageSetup paperSize="9" orientation="portrait" r:id="rId1"/>
  <customProperties>
    <customPr name="_pios_id" r:id="rId2"/>
  </customProperties>
  <ignoredErrors>
    <ignoredError sqref="D17:F21 E13:F13 E15:F15 E14:F14 D24:F28 E23:F23 D22" unlockedFormula="1"/>
    <ignoredError sqref="L14 L9:L13" evalError="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68E-96EE-4A42-9146-D704A48B3784}">
  <sheetPr codeName="Sheet3"/>
  <dimension ref="A1:BT454"/>
  <sheetViews>
    <sheetView showGridLines="0" zoomScaleNormal="100" workbookViewId="0">
      <pane xSplit="4" ySplit="15" topLeftCell="H61" activePane="bottomRight" state="frozenSplit"/>
      <selection activeCell="X100" sqref="X100:BO101"/>
      <selection pane="topRight" activeCell="X100" sqref="X100:BO101"/>
      <selection pane="bottomLeft" activeCell="X100" sqref="X100:BO101"/>
      <selection pane="bottomRight" activeCell="G77" sqref="G77"/>
    </sheetView>
  </sheetViews>
  <sheetFormatPr defaultRowHeight="15" x14ac:dyDescent="0.25"/>
  <cols>
    <col min="1" max="1" width="1.5703125" style="128" customWidth="1"/>
    <col min="2" max="2" width="6.85546875" style="128" customWidth="1"/>
    <col min="3" max="3" width="13.7109375" style="128" bestFit="1" customWidth="1"/>
    <col min="4" max="4" width="15" style="128" bestFit="1" customWidth="1"/>
    <col min="5" max="5" width="51.42578125" style="128" bestFit="1" customWidth="1"/>
    <col min="6" max="6" width="3.7109375" style="128" customWidth="1"/>
    <col min="7"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16384" width="9.140625" style="128"/>
  </cols>
  <sheetData>
    <row r="1" spans="2:72" ht="24" hidden="1" customHeight="1" x14ac:dyDescent="0.35">
      <c r="B1" s="1" t="str">
        <f>'Model Update'!D5</f>
        <v>SA Power Networks</v>
      </c>
      <c r="C1" s="141"/>
      <c r="D1" s="141"/>
      <c r="G1" s="1" t="s">
        <v>11</v>
      </c>
      <c r="X1" s="140"/>
      <c r="AO1" s="140"/>
    </row>
    <row r="2" spans="2:72" ht="21.75" hidden="1" customHeight="1" x14ac:dyDescent="0.3">
      <c r="B2" s="123" t="s">
        <v>12</v>
      </c>
      <c r="C2" s="141"/>
      <c r="D2" s="141"/>
      <c r="H2" s="142" t="s">
        <v>13</v>
      </c>
      <c r="I2" s="142"/>
      <c r="J2" s="142"/>
      <c r="K2" s="142"/>
      <c r="Y2" s="142"/>
      <c r="Z2" s="142"/>
      <c r="AA2" s="142"/>
      <c r="AB2" s="142"/>
      <c r="AP2" s="142"/>
      <c r="AQ2" s="142"/>
      <c r="AR2" s="142"/>
      <c r="AS2" s="142"/>
    </row>
    <row r="3" spans="2:72" ht="18" hidden="1" customHeight="1" x14ac:dyDescent="0.25">
      <c r="B3" s="143"/>
      <c r="C3" s="141"/>
      <c r="D3" s="141"/>
      <c r="H3" s="142"/>
      <c r="I3" s="142"/>
      <c r="J3" s="142"/>
      <c r="K3" s="142"/>
      <c r="Y3" s="142"/>
      <c r="Z3" s="142"/>
      <c r="AA3" s="142"/>
      <c r="AB3" s="142"/>
      <c r="AP3" s="142"/>
      <c r="AQ3" s="142"/>
      <c r="AR3" s="142"/>
      <c r="AS3" s="142"/>
    </row>
    <row r="4" spans="2:72" ht="18" hidden="1" customHeight="1" x14ac:dyDescent="0.25">
      <c r="B4" s="143"/>
      <c r="C4" s="141"/>
      <c r="D4" s="141"/>
      <c r="H4" s="142"/>
      <c r="I4" s="142"/>
      <c r="J4" s="142"/>
      <c r="K4" s="142"/>
      <c r="Y4" s="142"/>
      <c r="Z4" s="142"/>
      <c r="AA4" s="142"/>
      <c r="AB4" s="142"/>
      <c r="AP4" s="142"/>
      <c r="AQ4" s="142"/>
      <c r="AR4" s="142"/>
      <c r="AS4" s="142"/>
    </row>
    <row r="5" spans="2:72" ht="12.75" hidden="1" customHeight="1" x14ac:dyDescent="0.25">
      <c r="B5" s="143"/>
      <c r="C5" s="141"/>
      <c r="D5" s="141"/>
      <c r="H5" s="142"/>
      <c r="I5" s="142"/>
      <c r="J5" s="142"/>
      <c r="K5" s="142"/>
      <c r="Y5" s="142"/>
      <c r="Z5" s="142"/>
      <c r="AA5" s="142"/>
      <c r="AB5" s="142"/>
      <c r="AP5" s="142"/>
      <c r="AQ5" s="142"/>
      <c r="AR5" s="142"/>
      <c r="AS5" s="142"/>
      <c r="BE5" s="244">
        <f>X5/$BE$7</f>
        <v>0</v>
      </c>
      <c r="BF5" s="245">
        <f>SUM(AP5:AW5)</f>
        <v>0</v>
      </c>
    </row>
    <row r="6" spans="2:72" ht="12.75" hidden="1" customHeight="1" x14ac:dyDescent="0.25">
      <c r="B6" s="143"/>
      <c r="C6" s="141"/>
      <c r="D6" s="141"/>
      <c r="I6" s="142"/>
      <c r="J6" s="142"/>
      <c r="K6" s="142"/>
      <c r="Z6" s="142"/>
      <c r="AA6" s="142"/>
      <c r="AB6" s="142"/>
      <c r="AQ6" s="142"/>
      <c r="AR6" s="142"/>
      <c r="AS6" s="142"/>
    </row>
    <row r="7" spans="2:72" ht="18.75" x14ac:dyDescent="0.3">
      <c r="B7" s="7" t="str">
        <f>"Information for financial year ending 30 June "&amp;'Model Update'!C12</f>
        <v>Information for financial year ending 30 June 2022</v>
      </c>
      <c r="C7" s="141"/>
      <c r="D7" s="141"/>
      <c r="G7" s="128">
        <f>Days_Year</f>
        <v>365</v>
      </c>
      <c r="H7" s="804"/>
      <c r="I7" s="142"/>
      <c r="J7" s="142"/>
      <c r="K7" s="142"/>
      <c r="Y7" s="142"/>
      <c r="Z7" s="142"/>
      <c r="AA7" s="142"/>
      <c r="AB7" s="142"/>
      <c r="AP7" s="142"/>
      <c r="AQ7" s="142"/>
      <c r="AR7" s="142"/>
      <c r="AS7" s="142"/>
      <c r="BE7" s="251">
        <f>Days_Year</f>
        <v>365</v>
      </c>
    </row>
    <row r="8" spans="2:72" x14ac:dyDescent="0.25">
      <c r="B8" s="143"/>
      <c r="C8" s="141"/>
      <c r="D8" s="141"/>
    </row>
    <row r="9" spans="2:72"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72" x14ac:dyDescent="0.25">
      <c r="E10" s="144"/>
      <c r="V10" s="145"/>
      <c r="AM10" s="145"/>
    </row>
    <row r="11" spans="2:72" ht="15" customHeight="1" x14ac:dyDescent="0.25">
      <c r="B11" s="146" t="s">
        <v>16</v>
      </c>
      <c r="C11" s="147"/>
      <c r="D11" s="147"/>
      <c r="E11" s="148"/>
      <c r="G11" s="149">
        <f>'Model Update'!C12</f>
        <v>2022</v>
      </c>
      <c r="H11" s="150">
        <f>$G$11</f>
        <v>2022</v>
      </c>
      <c r="I11" s="147"/>
      <c r="J11" s="151"/>
      <c r="K11" s="152"/>
      <c r="L11" s="150">
        <f>$G$11</f>
        <v>2022</v>
      </c>
      <c r="M11" s="153"/>
      <c r="N11" s="153"/>
      <c r="O11" s="152"/>
      <c r="P11" s="150">
        <f>$G$11</f>
        <v>2022</v>
      </c>
      <c r="Q11" s="147"/>
      <c r="R11" s="151"/>
      <c r="S11" s="150">
        <f>$G$11</f>
        <v>2022</v>
      </c>
      <c r="T11" s="154"/>
      <c r="U11" s="150">
        <f>$G$11</f>
        <v>2022</v>
      </c>
      <c r="V11" s="148"/>
      <c r="X11" s="150">
        <f>$G$11</f>
        <v>2022</v>
      </c>
      <c r="Y11" s="150">
        <f>$G$11</f>
        <v>2022</v>
      </c>
      <c r="Z11" s="147"/>
      <c r="AA11" s="151"/>
      <c r="AB11" s="152"/>
      <c r="AC11" s="150">
        <f>$G$11</f>
        <v>2022</v>
      </c>
      <c r="AD11" s="153"/>
      <c r="AE11" s="153"/>
      <c r="AF11" s="152"/>
      <c r="AG11" s="150">
        <f>$G$11</f>
        <v>2022</v>
      </c>
      <c r="AH11" s="147"/>
      <c r="AI11" s="151"/>
      <c r="AJ11" s="150">
        <f>$G$11</f>
        <v>2022</v>
      </c>
      <c r="AK11" s="154"/>
      <c r="AL11" s="150">
        <f>$G$11</f>
        <v>2022</v>
      </c>
      <c r="AM11" s="148"/>
      <c r="AO11" s="150">
        <f>$G$11</f>
        <v>2022</v>
      </c>
      <c r="AP11" s="150">
        <f>$G$11</f>
        <v>2022</v>
      </c>
      <c r="AQ11" s="147"/>
      <c r="AR11" s="151"/>
      <c r="AS11" s="152"/>
      <c r="AT11" s="150">
        <f>$G$11</f>
        <v>2022</v>
      </c>
      <c r="AU11" s="153"/>
      <c r="AV11" s="153"/>
      <c r="AW11" s="152"/>
      <c r="AX11" s="150">
        <f>$G$11</f>
        <v>2022</v>
      </c>
      <c r="AY11" s="147"/>
      <c r="AZ11" s="151"/>
      <c r="BA11" s="150">
        <f>$G$11</f>
        <v>2022</v>
      </c>
      <c r="BB11" s="154"/>
      <c r="BC11" s="150">
        <f>$G$11</f>
        <v>2022</v>
      </c>
      <c r="BD11" s="148"/>
      <c r="BE11" s="899" t="s">
        <v>17</v>
      </c>
      <c r="BF11" s="900"/>
      <c r="BH11" s="901" t="s">
        <v>595</v>
      </c>
      <c r="BI11" s="902"/>
      <c r="BJ11" s="902"/>
      <c r="BK11" s="902"/>
      <c r="BL11" s="902"/>
      <c r="BM11" s="903"/>
    </row>
    <row r="12" spans="2:72" ht="15" customHeight="1"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751" t="s">
        <v>204</v>
      </c>
      <c r="BF12" s="236" t="s">
        <v>23</v>
      </c>
      <c r="BH12" s="232"/>
      <c r="BI12" s="233"/>
      <c r="BJ12" s="233"/>
      <c r="BK12" s="233"/>
      <c r="BL12" s="233"/>
      <c r="BM12" s="145"/>
    </row>
    <row r="13" spans="2:72" ht="15" customHeight="1"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761"/>
      <c r="BF13" s="236"/>
      <c r="BH13" s="234" t="s">
        <v>206</v>
      </c>
      <c r="BI13" s="235" t="s">
        <v>23</v>
      </c>
      <c r="BJ13" s="235" t="s">
        <v>23</v>
      </c>
      <c r="BK13" s="235" t="s">
        <v>210</v>
      </c>
      <c r="BL13" s="235" t="s">
        <v>211</v>
      </c>
      <c r="BM13" s="236" t="s">
        <v>212</v>
      </c>
      <c r="BO13" s="662" t="s">
        <v>600</v>
      </c>
      <c r="BQ13" s="126" t="s">
        <v>179</v>
      </c>
      <c r="BT13" s="128" t="s">
        <v>709</v>
      </c>
    </row>
    <row r="14" spans="2:72" s="129" customFormat="1" ht="15" customHeigh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751" t="s">
        <v>22</v>
      </c>
      <c r="BF14" s="236" t="s">
        <v>35</v>
      </c>
      <c r="BH14" s="234" t="s">
        <v>207</v>
      </c>
      <c r="BI14" s="235" t="s">
        <v>208</v>
      </c>
      <c r="BJ14" s="235" t="s">
        <v>209</v>
      </c>
      <c r="BK14" s="235"/>
      <c r="BL14" s="235"/>
      <c r="BM14" s="236"/>
      <c r="BT14" s="129" t="s">
        <v>710</v>
      </c>
    </row>
    <row r="15" spans="2:72" s="129" customFormat="1" ht="15" customHeigh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762" t="s">
        <v>22</v>
      </c>
      <c r="BF15" s="241" t="s">
        <v>35</v>
      </c>
      <c r="BH15" s="160"/>
      <c r="BI15" s="237"/>
      <c r="BJ15" s="237"/>
      <c r="BK15" s="237"/>
      <c r="BL15" s="237"/>
      <c r="BM15" s="158"/>
    </row>
    <row r="16" spans="2:72"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f>'Q (t)'!G16</f>
        <v>0</v>
      </c>
      <c r="Y16" s="169">
        <f>'Q (t)'!H16</f>
        <v>0</v>
      </c>
      <c r="Z16" s="170">
        <f>'Q (t)'!I16</f>
        <v>0</v>
      </c>
      <c r="AA16" s="170">
        <f>'Q (t)'!J16</f>
        <v>0</v>
      </c>
      <c r="AB16" s="171">
        <f>'Q (t)'!K16</f>
        <v>0</v>
      </c>
      <c r="AC16" s="170">
        <f>'Q (t)'!L16</f>
        <v>0</v>
      </c>
      <c r="AD16" s="170">
        <f>'Q (t)'!M16</f>
        <v>0</v>
      </c>
      <c r="AE16" s="170">
        <f>'Q (t)'!N16</f>
        <v>0</v>
      </c>
      <c r="AF16" s="171">
        <f>'Q (t)'!O16</f>
        <v>0</v>
      </c>
      <c r="AG16" s="169">
        <f>'Q (t)'!P16</f>
        <v>0</v>
      </c>
      <c r="AH16" s="170">
        <f>'Q (t)'!Q16</f>
        <v>0</v>
      </c>
      <c r="AI16" s="171">
        <f>'Q (t)'!R16</f>
        <v>0</v>
      </c>
      <c r="AJ16" s="169">
        <f>'Q (t)'!S16</f>
        <v>0</v>
      </c>
      <c r="AK16" s="170">
        <f>'Q (t)'!T16</f>
        <v>0</v>
      </c>
      <c r="AL16" s="169">
        <f>'Q (t)'!U16</f>
        <v>0</v>
      </c>
      <c r="AM16" s="171">
        <f>'Q (t)'!V16</f>
        <v>0</v>
      </c>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AX78" si="1">P16*AG16/1000</f>
        <v>0</v>
      </c>
      <c r="AY16" s="170">
        <f t="shared" ref="AY16:AY78" si="2">Q16*AH16/1000</f>
        <v>0</v>
      </c>
      <c r="AZ16" s="171">
        <f t="shared" ref="AZ16:AZ78" si="3">R16*AI16/1000</f>
        <v>0</v>
      </c>
      <c r="BA16" s="169">
        <f t="shared" ref="BA16:BA78" si="4">S16*AJ16/1000</f>
        <v>0</v>
      </c>
      <c r="BB16" s="170">
        <f t="shared" ref="BB16:BB78" si="5">T16*AK16/1000</f>
        <v>0</v>
      </c>
      <c r="BC16" s="169">
        <f t="shared" ref="BC16:BC78" si="6">U16*AL16/1000</f>
        <v>0</v>
      </c>
      <c r="BD16" s="170">
        <f t="shared" ref="BD16:BD78" si="7">V16*AM16/1000</f>
        <v>0</v>
      </c>
      <c r="BE16" s="242">
        <f>X16/$BE$7</f>
        <v>0</v>
      </c>
      <c r="BF16" s="243">
        <f>SUM(AP16:AW16)</f>
        <v>0</v>
      </c>
      <c r="BH16" s="253">
        <f>SUBTOTAL(9,BH17:BH27)</f>
        <v>132913.03497450001</v>
      </c>
      <c r="BI16" s="253">
        <f>SUBTOTAL(9,BI17:BI27)</f>
        <v>281569.60680000001</v>
      </c>
      <c r="BJ16" s="253">
        <f>SUBTOTAL(9,BJ17:BJ27)</f>
        <v>20479.8</v>
      </c>
      <c r="BK16" s="253">
        <f>SUBTOTAL(9,BK17:BK27)</f>
        <v>0</v>
      </c>
      <c r="BL16" s="253">
        <f>SUBTOTAL(9,BL17:BL27)</f>
        <v>218.28715500000001</v>
      </c>
      <c r="BM16" s="254">
        <f>SUM(BH16:BL16)</f>
        <v>435180.72892950004</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f>'Q (t)'!G17</f>
        <v>0</v>
      </c>
      <c r="Y17" s="175">
        <f>'Q (t)'!H17</f>
        <v>0</v>
      </c>
      <c r="Z17" s="176">
        <f>'Q (t)'!I17</f>
        <v>0</v>
      </c>
      <c r="AA17" s="176">
        <f>'Q (t)'!J17</f>
        <v>0</v>
      </c>
      <c r="AB17" s="177">
        <f>'Q (t)'!K17</f>
        <v>0</v>
      </c>
      <c r="AC17" s="178">
        <f>'Q (t)'!L17</f>
        <v>0</v>
      </c>
      <c r="AD17" s="178">
        <f>'Q (t)'!M17</f>
        <v>0</v>
      </c>
      <c r="AE17" s="178">
        <f>'Q (t)'!N17</f>
        <v>0</v>
      </c>
      <c r="AF17" s="179">
        <f>'Q (t)'!O17</f>
        <v>0</v>
      </c>
      <c r="AG17" s="175">
        <f>'Q (t)'!P17</f>
        <v>0</v>
      </c>
      <c r="AH17" s="176">
        <f>'Q (t)'!Q17</f>
        <v>0</v>
      </c>
      <c r="AI17" s="177">
        <f>'Q (t)'!R17</f>
        <v>0</v>
      </c>
      <c r="AJ17" s="175">
        <f>'Q (t)'!S17</f>
        <v>0</v>
      </c>
      <c r="AK17" s="176">
        <f>'Q (t)'!T17</f>
        <v>0</v>
      </c>
      <c r="AL17" s="175">
        <f>'Q (t)'!U17</f>
        <v>0</v>
      </c>
      <c r="AM17" s="177">
        <f>'Q (t)'!V17</f>
        <v>0</v>
      </c>
      <c r="AO17" s="174">
        <f t="shared" ref="AO17:AO79" si="8">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2"/>
        <v>0</v>
      </c>
      <c r="AZ17" s="177">
        <f t="shared" si="3"/>
        <v>0</v>
      </c>
      <c r="BA17" s="175">
        <f t="shared" si="4"/>
        <v>0</v>
      </c>
      <c r="BB17" s="176">
        <f t="shared" si="5"/>
        <v>0</v>
      </c>
      <c r="BC17" s="175">
        <f t="shared" si="6"/>
        <v>0</v>
      </c>
      <c r="BD17" s="176">
        <f t="shared" si="7"/>
        <v>0</v>
      </c>
      <c r="BE17" s="244">
        <f t="shared" ref="BE17:BE79" si="9">X17/$BE$7</f>
        <v>0</v>
      </c>
      <c r="BF17" s="245">
        <f t="shared" ref="BF17:BF51" si="10">SUM(Y17:AF17)</f>
        <v>0</v>
      </c>
      <c r="BH17" s="252">
        <f>SUBTOTAL(9,BH18:BH19)</f>
        <v>104871.28608000001</v>
      </c>
      <c r="BI17" s="252">
        <f>SUBTOTAL(9,BI18:BI19)</f>
        <v>210968.79</v>
      </c>
      <c r="BJ17" s="252">
        <f>SUBTOTAL(9,BJ18:BJ19)</f>
        <v>15897.199999999999</v>
      </c>
      <c r="BK17" s="260">
        <f>SUBTOTAL(9,BK18:BK19)</f>
        <v>0</v>
      </c>
      <c r="BL17" s="261">
        <f>SUBTOTAL(9,BL18:BL19)</f>
        <v>0</v>
      </c>
      <c r="BM17" s="257">
        <f>SUM(BH17:BL17)</f>
        <v>331737.27608000004</v>
      </c>
      <c r="BO17" s="714" t="str">
        <f t="shared" ref="BO17:BO79" si="11">IF(BF17=0,"",BM17*1000/BF17)</f>
        <v/>
      </c>
    </row>
    <row r="18" spans="2:67" ht="15" customHeight="1" x14ac:dyDescent="0.25">
      <c r="B18" s="156">
        <v>1</v>
      </c>
      <c r="C18" s="180" t="s">
        <v>44</v>
      </c>
      <c r="D18" s="181" t="str">
        <f>C18</f>
        <v>RSR</v>
      </c>
      <c r="E18" s="182" t="s">
        <v>641</v>
      </c>
      <c r="G18" s="850">
        <f>ROUND('[15]2020-25 Pricing Schedule'!$J$6/Days_Year,4)</f>
        <v>0.4521</v>
      </c>
      <c r="H18" s="464">
        <f>ROUND('[15]DUoS (t)'!H18*$BT$131,4)</f>
        <v>8.7900000000000006E-2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8"/>
        <v>104871.28608000001</v>
      </c>
      <c r="AP18" s="184">
        <f t="shared" si="0"/>
        <v>210968.79</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2"/>
        <v>0</v>
      </c>
      <c r="AZ18" s="177">
        <f t="shared" si="3"/>
        <v>0</v>
      </c>
      <c r="BA18" s="175">
        <f t="shared" si="4"/>
        <v>0</v>
      </c>
      <c r="BB18" s="176">
        <f t="shared" si="5"/>
        <v>0</v>
      </c>
      <c r="BC18" s="175">
        <f t="shared" si="6"/>
        <v>0</v>
      </c>
      <c r="BD18" s="176">
        <f t="shared" si="7"/>
        <v>0</v>
      </c>
      <c r="BE18" s="244">
        <f t="shared" si="9"/>
        <v>635520</v>
      </c>
      <c r="BF18" s="245">
        <f t="shared" si="10"/>
        <v>2400100</v>
      </c>
      <c r="BH18" s="255">
        <f>SUM(AO18)</f>
        <v>104871.28608000001</v>
      </c>
      <c r="BI18" s="255">
        <f>SUM(AP18:AS18)</f>
        <v>210968.79</v>
      </c>
      <c r="BJ18" s="255">
        <f>SUM(AT18:AW18)</f>
        <v>0</v>
      </c>
      <c r="BK18" s="256">
        <f>SUM(AX18:BB18)</f>
        <v>0</v>
      </c>
      <c r="BL18" s="262">
        <f>SUM(BC18:BD18)</f>
        <v>0</v>
      </c>
      <c r="BM18" s="257">
        <f t="shared" ref="BM18:BM79" si="12">SUM(BH18:BL18)</f>
        <v>315840.07608000003</v>
      </c>
      <c r="BO18" s="714">
        <f t="shared" si="11"/>
        <v>131.59454859380861</v>
      </c>
    </row>
    <row r="19" spans="2:67" ht="15" customHeight="1" x14ac:dyDescent="0.25">
      <c r="B19" s="156">
        <f>B18+1</f>
        <v>2</v>
      </c>
      <c r="C19" s="180" t="s">
        <v>643</v>
      </c>
      <c r="D19" s="181" t="str">
        <f>C19</f>
        <v>RSROPCL</v>
      </c>
      <c r="E19" s="182" t="s">
        <v>47</v>
      </c>
      <c r="G19" s="850">
        <f>G18</f>
        <v>0.4521</v>
      </c>
      <c r="H19" s="464">
        <f>ROUND('[15]DUoS (t)'!H19*$BT$131,4)</f>
        <v>8.7900000000000006E-2</v>
      </c>
      <c r="I19" s="459"/>
      <c r="J19" s="459"/>
      <c r="K19" s="460"/>
      <c r="L19" s="465">
        <f>ROUND('[15]DUoS (t)'!$L$19*$BT$131,4)</f>
        <v>4.3999999999999997E-2</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8"/>
        <v>0</v>
      </c>
      <c r="AP19" s="184">
        <f t="shared" si="0"/>
        <v>0</v>
      </c>
      <c r="AQ19" s="176">
        <f t="shared" si="0"/>
        <v>0</v>
      </c>
      <c r="AR19" s="176">
        <f t="shared" si="0"/>
        <v>0</v>
      </c>
      <c r="AS19" s="177">
        <f t="shared" si="0"/>
        <v>0</v>
      </c>
      <c r="AT19" s="178">
        <f t="shared" si="0"/>
        <v>15897.199999999999</v>
      </c>
      <c r="AU19" s="185">
        <f t="shared" si="0"/>
        <v>0</v>
      </c>
      <c r="AV19" s="185">
        <f t="shared" si="0"/>
        <v>0</v>
      </c>
      <c r="AW19" s="186">
        <f t="shared" si="0"/>
        <v>0</v>
      </c>
      <c r="AX19" s="175">
        <f t="shared" si="1"/>
        <v>0</v>
      </c>
      <c r="AY19" s="176">
        <f t="shared" si="2"/>
        <v>0</v>
      </c>
      <c r="AZ19" s="177">
        <f t="shared" si="3"/>
        <v>0</v>
      </c>
      <c r="BA19" s="175">
        <f t="shared" si="4"/>
        <v>0</v>
      </c>
      <c r="BB19" s="176">
        <f t="shared" si="5"/>
        <v>0</v>
      </c>
      <c r="BC19" s="175">
        <f t="shared" si="6"/>
        <v>0</v>
      </c>
      <c r="BD19" s="176">
        <f t="shared" si="7"/>
        <v>0</v>
      </c>
      <c r="BE19" s="244">
        <f t="shared" si="9"/>
        <v>0</v>
      </c>
      <c r="BF19" s="245">
        <f t="shared" si="10"/>
        <v>361300</v>
      </c>
      <c r="BH19" s="255">
        <f>SUM(AO19)</f>
        <v>0</v>
      </c>
      <c r="BI19" s="255">
        <f>SUM(AP19:AS19)</f>
        <v>0</v>
      </c>
      <c r="BJ19" s="255">
        <f>SUM(AT19:AW19)</f>
        <v>15897.199999999999</v>
      </c>
      <c r="BK19" s="256">
        <f>SUM(AX19:BB19)</f>
        <v>0</v>
      </c>
      <c r="BL19" s="262">
        <f>SUM(BC19:BD19)</f>
        <v>0</v>
      </c>
      <c r="BM19" s="257">
        <f t="shared" si="12"/>
        <v>15897.199999999999</v>
      </c>
      <c r="BO19" s="714">
        <f t="shared" si="11"/>
        <v>43.999999999999993</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8"/>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2"/>
        <v>0</v>
      </c>
      <c r="AZ20" s="177">
        <f t="shared" si="3"/>
        <v>0</v>
      </c>
      <c r="BA20" s="175">
        <f t="shared" si="4"/>
        <v>0</v>
      </c>
      <c r="BB20" s="176">
        <f t="shared" si="5"/>
        <v>0</v>
      </c>
      <c r="BC20" s="175">
        <f t="shared" si="6"/>
        <v>0</v>
      </c>
      <c r="BD20" s="176">
        <f t="shared" si="7"/>
        <v>0</v>
      </c>
      <c r="BE20" s="244">
        <f t="shared" si="9"/>
        <v>0</v>
      </c>
      <c r="BF20" s="245">
        <f t="shared" si="10"/>
        <v>0</v>
      </c>
      <c r="BH20" s="252">
        <f>SUBTOTAL(9,BH21:BH27)</f>
        <v>28041.748894500004</v>
      </c>
      <c r="BI20" s="252">
        <f>SUBTOTAL(9,BI21:BI27)</f>
        <v>70600.816800000001</v>
      </c>
      <c r="BJ20" s="252">
        <f>SUBTOTAL(9,BJ21:BJ27)</f>
        <v>4582.5999999999995</v>
      </c>
      <c r="BK20" s="252">
        <f>SUBTOTAL(9,BK21:BK27)</f>
        <v>0</v>
      </c>
      <c r="BL20" s="252">
        <f>SUBTOTAL(9,BL21:BL27)</f>
        <v>218.28715500000001</v>
      </c>
      <c r="BM20" s="257">
        <f>SUM(BH20:BL20)</f>
        <v>103443.45284950001</v>
      </c>
      <c r="BO20" s="714" t="str">
        <f t="shared" si="11"/>
        <v/>
      </c>
    </row>
    <row r="21" spans="2:67" ht="15" customHeight="1" x14ac:dyDescent="0.25">
      <c r="B21" s="156">
        <f>B19+1</f>
        <v>3</v>
      </c>
      <c r="C21" s="180" t="s">
        <v>46</v>
      </c>
      <c r="D21" s="181" t="s">
        <v>46</v>
      </c>
      <c r="E21" s="182" t="s">
        <v>642</v>
      </c>
      <c r="G21" s="850">
        <f>G18</f>
        <v>0.4521</v>
      </c>
      <c r="H21" s="758">
        <f>ROUND('[15]DUoS (t)'!H21*$BT$131,4)</f>
        <v>8.7900000000000006E-2</v>
      </c>
      <c r="I21" s="459"/>
      <c r="J21" s="459"/>
      <c r="K21" s="460"/>
      <c r="L21" s="414"/>
      <c r="M21" s="759">
        <f>ROUND('[15]DUoS (t)'!M21*$BT$131,4)</f>
        <v>0.11</v>
      </c>
      <c r="N21" s="759">
        <f>ROUND('[15]DUoS (t)'!N21*$BT$131,4)</f>
        <v>4.3999999999999997E-2</v>
      </c>
      <c r="O21" s="760">
        <f>ROUND('[15]DUoS (t)'!O21*$BT$131,4)</f>
        <v>2.1999999999999999E-2</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G21*X21/1000</f>
        <v>0</v>
      </c>
      <c r="AP21" s="175">
        <f t="shared" ref="AP21:AW21" si="13">H21*Y21</f>
        <v>0</v>
      </c>
      <c r="AQ21" s="178">
        <f t="shared" si="13"/>
        <v>0</v>
      </c>
      <c r="AR21" s="178">
        <f t="shared" si="13"/>
        <v>0</v>
      </c>
      <c r="AS21" s="179">
        <f t="shared" si="13"/>
        <v>0</v>
      </c>
      <c r="AT21" s="185">
        <f t="shared" si="13"/>
        <v>0</v>
      </c>
      <c r="AU21" s="185">
        <f t="shared" si="13"/>
        <v>0</v>
      </c>
      <c r="AV21" s="185">
        <f t="shared" si="13"/>
        <v>0</v>
      </c>
      <c r="AW21" s="186">
        <f t="shared" si="13"/>
        <v>0</v>
      </c>
      <c r="AX21" s="175">
        <f t="shared" ref="AX21:BD21" si="14">P21*AG21/1000</f>
        <v>0</v>
      </c>
      <c r="AY21" s="176">
        <f t="shared" si="14"/>
        <v>0</v>
      </c>
      <c r="AZ21" s="177">
        <f t="shared" si="14"/>
        <v>0</v>
      </c>
      <c r="BA21" s="175">
        <f t="shared" si="14"/>
        <v>0</v>
      </c>
      <c r="BB21" s="176">
        <f t="shared" si="14"/>
        <v>0</v>
      </c>
      <c r="BC21" s="175">
        <f t="shared" si="14"/>
        <v>0</v>
      </c>
      <c r="BD21" s="176">
        <f t="shared" si="14"/>
        <v>0</v>
      </c>
      <c r="BE21" s="244">
        <f>X21/$BE$7</f>
        <v>0</v>
      </c>
      <c r="BF21" s="245">
        <f>SUM(Y21:AF21)</f>
        <v>0</v>
      </c>
      <c r="BH21" s="255">
        <f t="shared" ref="BH21:BH27" si="15">SUM(AO21)</f>
        <v>0</v>
      </c>
      <c r="BI21" s="255">
        <f t="shared" ref="BI21:BI27" si="16">SUM(AP21:AS21)</f>
        <v>0</v>
      </c>
      <c r="BJ21" s="255">
        <f t="shared" ref="BJ21:BJ27" si="17">SUM(AT21:AW21)</f>
        <v>0</v>
      </c>
      <c r="BK21" s="256">
        <f t="shared" ref="BK21:BK27" si="18">SUM(AX21:BB21)</f>
        <v>0</v>
      </c>
      <c r="BL21" s="262">
        <f t="shared" ref="BL21:BL27" si="19">SUM(BC21:BD21)</f>
        <v>0</v>
      </c>
      <c r="BM21" s="257">
        <f>SUM(BH21:BL21)</f>
        <v>0</v>
      </c>
      <c r="BO21" s="714" t="str">
        <f>IF(BF21=0,"",BM21*1000/BF21)</f>
        <v/>
      </c>
    </row>
    <row r="22" spans="2:67" ht="15" customHeight="1" x14ac:dyDescent="0.25">
      <c r="B22" s="156">
        <f t="shared" ref="B22:B27" si="20">B21+1</f>
        <v>4</v>
      </c>
      <c r="C22" s="180" t="s">
        <v>49</v>
      </c>
      <c r="D22" s="181" t="str">
        <f t="shared" ref="D22:D27" si="21">C22</f>
        <v>RTOU</v>
      </c>
      <c r="E22" s="182" t="s">
        <v>50</v>
      </c>
      <c r="G22" s="850">
        <f>G18</f>
        <v>0.4521</v>
      </c>
      <c r="H22" s="458"/>
      <c r="I22" s="465">
        <f>ROUND('[15]DUoS (t)'!I22*$BT$131,4)</f>
        <v>0.11</v>
      </c>
      <c r="J22" s="465">
        <f>ROUND('[15]DUoS (t)'!J22*$BT$131,4)</f>
        <v>4.3999999999999997E-2</v>
      </c>
      <c r="K22" s="466">
        <f>ROUND('[15]DUoS (t)'!K22*$BT$131,4)</f>
        <v>2.1999999999999999E-2</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8"/>
        <v>27705.445267500003</v>
      </c>
      <c r="AP22" s="175">
        <f t="shared" si="0"/>
        <v>0</v>
      </c>
      <c r="AQ22" s="178">
        <f t="shared" si="0"/>
        <v>62656</v>
      </c>
      <c r="AR22" s="178">
        <f t="shared" si="0"/>
        <v>5011.5999999999995</v>
      </c>
      <c r="AS22" s="179">
        <f t="shared" si="0"/>
        <v>2787.3999999999996</v>
      </c>
      <c r="AT22" s="185">
        <f t="shared" si="0"/>
        <v>0</v>
      </c>
      <c r="AU22" s="185">
        <f t="shared" si="0"/>
        <v>0</v>
      </c>
      <c r="AV22" s="185">
        <f t="shared" si="0"/>
        <v>0</v>
      </c>
      <c r="AW22" s="186">
        <f t="shared" si="0"/>
        <v>0</v>
      </c>
      <c r="AX22" s="175">
        <f t="shared" si="1"/>
        <v>0</v>
      </c>
      <c r="AY22" s="176">
        <f t="shared" si="2"/>
        <v>0</v>
      </c>
      <c r="AZ22" s="177">
        <f t="shared" si="3"/>
        <v>0</v>
      </c>
      <c r="BA22" s="175">
        <f t="shared" si="4"/>
        <v>0</v>
      </c>
      <c r="BB22" s="176">
        <f t="shared" si="5"/>
        <v>0</v>
      </c>
      <c r="BC22" s="175">
        <f t="shared" si="6"/>
        <v>0</v>
      </c>
      <c r="BD22" s="176">
        <f t="shared" si="7"/>
        <v>0</v>
      </c>
      <c r="BE22" s="244">
        <f t="shared" si="9"/>
        <v>167895</v>
      </c>
      <c r="BF22" s="245">
        <f t="shared" si="10"/>
        <v>810200</v>
      </c>
      <c r="BH22" s="255">
        <f t="shared" si="15"/>
        <v>27705.445267500003</v>
      </c>
      <c r="BI22" s="255">
        <f t="shared" si="16"/>
        <v>70455</v>
      </c>
      <c r="BJ22" s="255">
        <f t="shared" si="17"/>
        <v>0</v>
      </c>
      <c r="BK22" s="256">
        <f t="shared" si="18"/>
        <v>0</v>
      </c>
      <c r="BL22" s="262">
        <f t="shared" si="19"/>
        <v>0</v>
      </c>
      <c r="BM22" s="257">
        <f t="shared" si="12"/>
        <v>98160.445267500007</v>
      </c>
      <c r="BO22" s="714">
        <f t="shared" si="11"/>
        <v>121.15581988089362</v>
      </c>
    </row>
    <row r="23" spans="2:67" ht="15" customHeight="1" x14ac:dyDescent="0.25">
      <c r="B23" s="156">
        <f t="shared" si="20"/>
        <v>5</v>
      </c>
      <c r="C23" s="180" t="s">
        <v>51</v>
      </c>
      <c r="D23" s="181" t="str">
        <f t="shared" si="21"/>
        <v>RTOUCL</v>
      </c>
      <c r="E23" s="182" t="s">
        <v>52</v>
      </c>
      <c r="G23" s="850">
        <f>G18</f>
        <v>0.4521</v>
      </c>
      <c r="H23" s="458"/>
      <c r="I23" s="465">
        <f>ROUND('[15]DUoS (t)'!I23*$BT$131,4)</f>
        <v>0.11</v>
      </c>
      <c r="J23" s="465">
        <f>ROUND('[15]DUoS (t)'!J23*$BT$131,4)</f>
        <v>4.3999999999999997E-2</v>
      </c>
      <c r="K23" s="466">
        <f>ROUND('[15]DUoS (t)'!K23*$BT$131,4)</f>
        <v>2.1999999999999999E-2</v>
      </c>
      <c r="L23" s="414"/>
      <c r="M23" s="465">
        <f>ROUND('[15]DUoS (t)'!M23*$BT$131,4)</f>
        <v>0.11</v>
      </c>
      <c r="N23" s="465">
        <f>ROUND('[15]DUoS (t)'!N23*$BT$131,4)</f>
        <v>4.3999999999999997E-2</v>
      </c>
      <c r="O23" s="465">
        <f>ROUND('[15]DUoS (t)'!O23*$BT$131,4)</f>
        <v>2.1999999999999999E-2</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8"/>
        <v>0</v>
      </c>
      <c r="AP23" s="175">
        <f t="shared" si="0"/>
        <v>0</v>
      </c>
      <c r="AQ23" s="178">
        <f t="shared" si="0"/>
        <v>0</v>
      </c>
      <c r="AR23" s="178">
        <f t="shared" si="0"/>
        <v>0</v>
      </c>
      <c r="AS23" s="179">
        <f t="shared" si="0"/>
        <v>0</v>
      </c>
      <c r="AT23" s="185">
        <f t="shared" si="0"/>
        <v>0</v>
      </c>
      <c r="AU23" s="178">
        <f t="shared" si="0"/>
        <v>0</v>
      </c>
      <c r="AV23" s="178">
        <f t="shared" si="0"/>
        <v>4074.3999999999996</v>
      </c>
      <c r="AW23" s="178">
        <f t="shared" si="0"/>
        <v>508.2</v>
      </c>
      <c r="AX23" s="175">
        <f t="shared" si="1"/>
        <v>0</v>
      </c>
      <c r="AY23" s="176">
        <f t="shared" si="2"/>
        <v>0</v>
      </c>
      <c r="AZ23" s="177">
        <f t="shared" si="3"/>
        <v>0</v>
      </c>
      <c r="BA23" s="175">
        <f t="shared" si="4"/>
        <v>0</v>
      </c>
      <c r="BB23" s="176">
        <f t="shared" si="5"/>
        <v>0</v>
      </c>
      <c r="BC23" s="175">
        <f t="shared" si="6"/>
        <v>0</v>
      </c>
      <c r="BD23" s="176">
        <f t="shared" si="7"/>
        <v>0</v>
      </c>
      <c r="BE23" s="244">
        <f t="shared" si="9"/>
        <v>0</v>
      </c>
      <c r="BF23" s="245">
        <f t="shared" si="10"/>
        <v>115700</v>
      </c>
      <c r="BH23" s="255">
        <f t="shared" si="15"/>
        <v>0</v>
      </c>
      <c r="BI23" s="255">
        <f t="shared" si="16"/>
        <v>0</v>
      </c>
      <c r="BJ23" s="255">
        <f t="shared" si="17"/>
        <v>4582.5999999999995</v>
      </c>
      <c r="BK23" s="256">
        <f t="shared" si="18"/>
        <v>0</v>
      </c>
      <c r="BL23" s="262">
        <f t="shared" si="19"/>
        <v>0</v>
      </c>
      <c r="BM23" s="257">
        <f t="shared" si="12"/>
        <v>4582.5999999999995</v>
      </c>
      <c r="BO23" s="714">
        <f t="shared" si="11"/>
        <v>39.607605877268789</v>
      </c>
    </row>
    <row r="24" spans="2:67" ht="15" customHeight="1" x14ac:dyDescent="0.25">
      <c r="B24" s="156">
        <f t="shared" si="20"/>
        <v>6</v>
      </c>
      <c r="C24" s="180" t="s">
        <v>53</v>
      </c>
      <c r="D24" s="181" t="str">
        <f t="shared" si="21"/>
        <v>RPRO</v>
      </c>
      <c r="E24" s="182" t="s">
        <v>54</v>
      </c>
      <c r="G24" s="850">
        <f>G18</f>
        <v>0.4521</v>
      </c>
      <c r="H24" s="458"/>
      <c r="I24" s="465">
        <f>ROUND('[15]DUoS (t)'!I24*$BT$131,4)</f>
        <v>6.59E-2</v>
      </c>
      <c r="J24" s="465">
        <f>ROUND('[15]DUoS (t)'!J24*$BT$131,4)</f>
        <v>2.64E-2</v>
      </c>
      <c r="K24" s="466">
        <f>ROUND('[15]DUoS (t)'!K24*$BT$131,4)</f>
        <v>1.3100000000000001E-2</v>
      </c>
      <c r="L24" s="414"/>
      <c r="M24" s="414"/>
      <c r="N24" s="414"/>
      <c r="O24" s="415"/>
      <c r="P24" s="458"/>
      <c r="Q24" s="459"/>
      <c r="R24" s="460"/>
      <c r="S24" s="458"/>
      <c r="T24" s="459"/>
      <c r="U24" s="464">
        <f>ROUND('[15]DUoS (t)'!U24*$BT$131,4)</f>
        <v>0.48899999999999999</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8"/>
        <v>168.1518135</v>
      </c>
      <c r="AP24" s="175">
        <f t="shared" si="0"/>
        <v>0</v>
      </c>
      <c r="AQ24" s="178">
        <f t="shared" si="0"/>
        <v>29.655000000000001</v>
      </c>
      <c r="AR24" s="178">
        <f t="shared" si="0"/>
        <v>11.88</v>
      </c>
      <c r="AS24" s="179">
        <f t="shared" si="0"/>
        <v>3.2750000000000004</v>
      </c>
      <c r="AT24" s="185">
        <f t="shared" si="0"/>
        <v>0</v>
      </c>
      <c r="AU24" s="185">
        <f t="shared" si="0"/>
        <v>0</v>
      </c>
      <c r="AV24" s="185">
        <f t="shared" si="0"/>
        <v>0</v>
      </c>
      <c r="AW24" s="186">
        <f t="shared" si="0"/>
        <v>0</v>
      </c>
      <c r="AX24" s="175">
        <f t="shared" si="1"/>
        <v>0</v>
      </c>
      <c r="AY24" s="176">
        <f t="shared" si="2"/>
        <v>0</v>
      </c>
      <c r="AZ24" s="177">
        <f t="shared" si="3"/>
        <v>0</v>
      </c>
      <c r="BA24" s="175">
        <f t="shared" si="4"/>
        <v>0</v>
      </c>
      <c r="BB24" s="176">
        <f t="shared" si="5"/>
        <v>0</v>
      </c>
      <c r="BC24" s="184">
        <f t="shared" si="6"/>
        <v>218.28715500000001</v>
      </c>
      <c r="BD24" s="176">
        <f t="shared" si="7"/>
        <v>0</v>
      </c>
      <c r="BE24" s="244">
        <f t="shared" si="9"/>
        <v>1019</v>
      </c>
      <c r="BF24" s="245">
        <f t="shared" si="10"/>
        <v>1150</v>
      </c>
      <c r="BH24" s="255">
        <f t="shared" si="15"/>
        <v>168.1518135</v>
      </c>
      <c r="BI24" s="255">
        <f t="shared" si="16"/>
        <v>44.81</v>
      </c>
      <c r="BJ24" s="255">
        <f t="shared" si="17"/>
        <v>0</v>
      </c>
      <c r="BK24" s="256">
        <f t="shared" si="18"/>
        <v>0</v>
      </c>
      <c r="BL24" s="262">
        <f t="shared" si="19"/>
        <v>218.28715500000001</v>
      </c>
      <c r="BM24" s="257">
        <f t="shared" si="12"/>
        <v>431.24896850000005</v>
      </c>
      <c r="BO24" s="714"/>
    </row>
    <row r="25" spans="2:67" ht="15" customHeight="1" x14ac:dyDescent="0.25">
      <c r="B25" s="156">
        <f t="shared" si="20"/>
        <v>7</v>
      </c>
      <c r="C25" s="180" t="s">
        <v>55</v>
      </c>
      <c r="D25" s="181" t="str">
        <f t="shared" si="21"/>
        <v>RPROCL</v>
      </c>
      <c r="E25" s="182" t="s">
        <v>56</v>
      </c>
      <c r="G25" s="850">
        <f>G18</f>
        <v>0.4521</v>
      </c>
      <c r="H25" s="458"/>
      <c r="I25" s="465">
        <f>ROUND('[15]DUoS (t)'!I25*$BT$131,4)</f>
        <v>6.59E-2</v>
      </c>
      <c r="J25" s="465">
        <f>ROUND('[15]DUoS (t)'!J25*$BT$131,4)</f>
        <v>2.64E-2</v>
      </c>
      <c r="K25" s="466">
        <f>ROUND('[15]DUoS (t)'!K25*$BT$131,4)</f>
        <v>1.3100000000000001E-2</v>
      </c>
      <c r="L25" s="414"/>
      <c r="M25" s="465">
        <f>ROUND('[15]DUoS (t)'!M25*$BT$131,4)</f>
        <v>0.11</v>
      </c>
      <c r="N25" s="465">
        <f>ROUND('[15]DUoS (t)'!N25*$BT$131,4)</f>
        <v>4.3999999999999997E-2</v>
      </c>
      <c r="O25" s="465">
        <f>ROUND('[15]DUoS (t)'!O25*$BT$131,4)</f>
        <v>2.1999999999999999E-2</v>
      </c>
      <c r="P25" s="458"/>
      <c r="Q25" s="459"/>
      <c r="R25" s="460"/>
      <c r="S25" s="458"/>
      <c r="T25" s="459"/>
      <c r="U25" s="464">
        <f>ROUND('[15]DUoS (t)'!U25*$BT$131,4)</f>
        <v>0.48899999999999999</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8"/>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2"/>
        <v>0</v>
      </c>
      <c r="AZ25" s="177">
        <f t="shared" si="3"/>
        <v>0</v>
      </c>
      <c r="BA25" s="175">
        <f t="shared" si="4"/>
        <v>0</v>
      </c>
      <c r="BB25" s="176">
        <f t="shared" si="5"/>
        <v>0</v>
      </c>
      <c r="BC25" s="175">
        <f t="shared" si="6"/>
        <v>0</v>
      </c>
      <c r="BD25" s="176">
        <f t="shared" si="7"/>
        <v>0</v>
      </c>
      <c r="BE25" s="244">
        <f t="shared" si="9"/>
        <v>0</v>
      </c>
      <c r="BF25" s="245">
        <f t="shared" si="10"/>
        <v>0</v>
      </c>
      <c r="BH25" s="255">
        <f t="shared" si="15"/>
        <v>0</v>
      </c>
      <c r="BI25" s="255">
        <f t="shared" si="16"/>
        <v>0</v>
      </c>
      <c r="BJ25" s="255">
        <f t="shared" si="17"/>
        <v>0</v>
      </c>
      <c r="BK25" s="256">
        <f t="shared" si="18"/>
        <v>0</v>
      </c>
      <c r="BL25" s="262">
        <f t="shared" si="19"/>
        <v>0</v>
      </c>
      <c r="BM25" s="257">
        <f t="shared" si="12"/>
        <v>0</v>
      </c>
      <c r="BO25" s="714"/>
    </row>
    <row r="26" spans="2:67" ht="15" customHeight="1" x14ac:dyDescent="0.25">
      <c r="B26" s="156">
        <f t="shared" si="20"/>
        <v>8</v>
      </c>
      <c r="C26" s="180" t="s">
        <v>699</v>
      </c>
      <c r="D26" s="181" t="str">
        <f t="shared" si="21"/>
        <v>RTOU+TR</v>
      </c>
      <c r="E26" s="182" t="s">
        <v>701</v>
      </c>
      <c r="G26" s="862">
        <f>G18</f>
        <v>0.4521</v>
      </c>
      <c r="H26" s="458"/>
      <c r="I26" s="851">
        <f>ROUND(3.2*H18,4)</f>
        <v>0.28129999999999999</v>
      </c>
      <c r="J26" s="851">
        <f>ROUND(H18*0.83,4)</f>
        <v>7.2999999999999995E-2</v>
      </c>
      <c r="K26" s="852">
        <f>ROUND(H18*0.15,4)</f>
        <v>1.32E-2</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G26*X26/1000</f>
        <v>168.1518135</v>
      </c>
      <c r="AP26" s="175">
        <f t="shared" ref="AP26:AW27" si="22">H26*Y26</f>
        <v>0</v>
      </c>
      <c r="AQ26" s="178">
        <f t="shared" si="22"/>
        <v>38.172409999999999</v>
      </c>
      <c r="AR26" s="178">
        <f t="shared" si="22"/>
        <v>60.360050000000001</v>
      </c>
      <c r="AS26" s="179">
        <f t="shared" si="22"/>
        <v>2.4743400000000002</v>
      </c>
      <c r="AT26" s="185">
        <f t="shared" si="22"/>
        <v>0</v>
      </c>
      <c r="AU26" s="185">
        <f t="shared" si="22"/>
        <v>0</v>
      </c>
      <c r="AV26" s="185">
        <f t="shared" si="22"/>
        <v>0</v>
      </c>
      <c r="AW26" s="186">
        <f t="shared" si="22"/>
        <v>0</v>
      </c>
      <c r="AX26" s="175">
        <f t="shared" ref="AX26:BD27" si="23">P26*AG26/1000</f>
        <v>0</v>
      </c>
      <c r="AY26" s="176">
        <f t="shared" si="23"/>
        <v>0</v>
      </c>
      <c r="AZ26" s="177">
        <f t="shared" si="23"/>
        <v>0</v>
      </c>
      <c r="BA26" s="175">
        <f t="shared" si="23"/>
        <v>0</v>
      </c>
      <c r="BB26" s="176">
        <f t="shared" si="23"/>
        <v>0</v>
      </c>
      <c r="BC26" s="184">
        <f t="shared" si="23"/>
        <v>0</v>
      </c>
      <c r="BD26" s="176">
        <f t="shared" si="23"/>
        <v>0</v>
      </c>
      <c r="BE26" s="244">
        <f>X26/$BE$7</f>
        <v>1019</v>
      </c>
      <c r="BF26" s="245">
        <f>SUM(Y26:AF26)</f>
        <v>1150</v>
      </c>
      <c r="BH26" s="255">
        <f t="shared" si="15"/>
        <v>168.1518135</v>
      </c>
      <c r="BI26" s="255">
        <f t="shared" si="16"/>
        <v>101.0068</v>
      </c>
      <c r="BJ26" s="255">
        <f t="shared" si="17"/>
        <v>0</v>
      </c>
      <c r="BK26" s="256">
        <f t="shared" si="18"/>
        <v>0</v>
      </c>
      <c r="BL26" s="262">
        <f t="shared" si="19"/>
        <v>0</v>
      </c>
      <c r="BM26" s="257">
        <f>SUM(BH26:BL26)</f>
        <v>269.1586135</v>
      </c>
      <c r="BO26" s="714"/>
    </row>
    <row r="27" spans="2:67" ht="15" customHeight="1" x14ac:dyDescent="0.25">
      <c r="B27" s="162">
        <f t="shared" si="20"/>
        <v>9</v>
      </c>
      <c r="C27" s="187" t="s">
        <v>700</v>
      </c>
      <c r="D27" s="188" t="str">
        <f t="shared" si="21"/>
        <v>RTOU+CLTR</v>
      </c>
      <c r="E27" s="189" t="s">
        <v>702</v>
      </c>
      <c r="G27" s="879">
        <f>G18</f>
        <v>0.4521</v>
      </c>
      <c r="H27" s="468"/>
      <c r="I27" s="853">
        <f>I26</f>
        <v>0.28129999999999999</v>
      </c>
      <c r="J27" s="853">
        <f>J26</f>
        <v>7.2999999999999995E-2</v>
      </c>
      <c r="K27" s="854">
        <f>K26</f>
        <v>1.32E-2</v>
      </c>
      <c r="L27" s="416"/>
      <c r="M27" s="853">
        <f>M23</f>
        <v>0.11</v>
      </c>
      <c r="N27" s="853">
        <f>N23</f>
        <v>4.3999999999999997E-2</v>
      </c>
      <c r="O27" s="854">
        <f>O23</f>
        <v>2.1999999999999999E-2</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G27*X27/1000</f>
        <v>0</v>
      </c>
      <c r="AP27" s="191">
        <f t="shared" si="22"/>
        <v>0</v>
      </c>
      <c r="AQ27" s="192">
        <f t="shared" si="22"/>
        <v>0</v>
      </c>
      <c r="AR27" s="192">
        <f t="shared" si="22"/>
        <v>0</v>
      </c>
      <c r="AS27" s="193">
        <f t="shared" si="22"/>
        <v>0</v>
      </c>
      <c r="AT27" s="194">
        <f t="shared" si="22"/>
        <v>0</v>
      </c>
      <c r="AU27" s="192">
        <f t="shared" si="22"/>
        <v>0</v>
      </c>
      <c r="AV27" s="192">
        <f t="shared" si="22"/>
        <v>0</v>
      </c>
      <c r="AW27" s="192">
        <f t="shared" si="22"/>
        <v>0</v>
      </c>
      <c r="AX27" s="191">
        <f t="shared" si="23"/>
        <v>0</v>
      </c>
      <c r="AY27" s="195">
        <f t="shared" si="23"/>
        <v>0</v>
      </c>
      <c r="AZ27" s="196">
        <f t="shared" si="23"/>
        <v>0</v>
      </c>
      <c r="BA27" s="191">
        <f t="shared" si="23"/>
        <v>0</v>
      </c>
      <c r="BB27" s="195">
        <f t="shared" si="23"/>
        <v>0</v>
      </c>
      <c r="BC27" s="197">
        <f t="shared" si="23"/>
        <v>0</v>
      </c>
      <c r="BD27" s="195">
        <f t="shared" si="23"/>
        <v>0</v>
      </c>
      <c r="BE27" s="246">
        <f>X27/$BE$7</f>
        <v>0</v>
      </c>
      <c r="BF27" s="247">
        <f>SUM(Y27:AF27)</f>
        <v>0</v>
      </c>
      <c r="BH27" s="255">
        <f t="shared" si="15"/>
        <v>0</v>
      </c>
      <c r="BI27" s="255">
        <f t="shared" si="16"/>
        <v>0</v>
      </c>
      <c r="BJ27" s="255">
        <f t="shared" si="17"/>
        <v>0</v>
      </c>
      <c r="BK27" s="256">
        <f t="shared" si="18"/>
        <v>0</v>
      </c>
      <c r="BL27" s="262">
        <f t="shared" si="19"/>
        <v>0</v>
      </c>
      <c r="BM27" s="257">
        <f>SUM(BH27:BL27)</f>
        <v>0</v>
      </c>
      <c r="BO27" s="714" t="str">
        <f>IF(BF27=0,"",BM27*1000/BF27)</f>
        <v/>
      </c>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f>'Q (t)'!G28</f>
        <v>0</v>
      </c>
      <c r="Y28" s="169">
        <f>'Q (t)'!H28</f>
        <v>0</v>
      </c>
      <c r="Z28" s="170">
        <f>'Q (t)'!I28</f>
        <v>0</v>
      </c>
      <c r="AA28" s="170">
        <f>'Q (t)'!J28</f>
        <v>0</v>
      </c>
      <c r="AB28" s="171">
        <f>'Q (t)'!K28</f>
        <v>0</v>
      </c>
      <c r="AC28" s="198">
        <f>'Q (t)'!L28</f>
        <v>0</v>
      </c>
      <c r="AD28" s="198">
        <f>'Q (t)'!M28</f>
        <v>0</v>
      </c>
      <c r="AE28" s="198">
        <f>'Q (t)'!N28</f>
        <v>0</v>
      </c>
      <c r="AF28" s="199">
        <f>'Q (t)'!O28</f>
        <v>0</v>
      </c>
      <c r="AG28" s="170">
        <f>'Q (t)'!P28</f>
        <v>0</v>
      </c>
      <c r="AH28" s="170">
        <f>'Q (t)'!Q28</f>
        <v>0</v>
      </c>
      <c r="AI28" s="171">
        <f>'Q (t)'!R28</f>
        <v>0</v>
      </c>
      <c r="AJ28" s="169">
        <f>'Q (t)'!S28</f>
        <v>0</v>
      </c>
      <c r="AK28" s="170">
        <f>'Q (t)'!T28</f>
        <v>0</v>
      </c>
      <c r="AL28" s="169">
        <f>'Q (t)'!U28</f>
        <v>0</v>
      </c>
      <c r="AM28" s="171">
        <f>'Q (t)'!V28</f>
        <v>0</v>
      </c>
      <c r="AO28" s="168">
        <f t="shared" si="8"/>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2"/>
        <v>0</v>
      </c>
      <c r="AZ28" s="171">
        <f t="shared" si="3"/>
        <v>0</v>
      </c>
      <c r="BA28" s="169">
        <f t="shared" si="4"/>
        <v>0</v>
      </c>
      <c r="BB28" s="170">
        <f t="shared" si="5"/>
        <v>0</v>
      </c>
      <c r="BC28" s="169">
        <f t="shared" si="6"/>
        <v>0</v>
      </c>
      <c r="BD28" s="170">
        <f t="shared" si="7"/>
        <v>0</v>
      </c>
      <c r="BE28" s="242">
        <f t="shared" si="9"/>
        <v>0</v>
      </c>
      <c r="BF28" s="243">
        <f t="shared" si="10"/>
        <v>0</v>
      </c>
      <c r="BH28" s="253">
        <f>SUBTOTAL(9,BH29:BH41)</f>
        <v>19061.647835499996</v>
      </c>
      <c r="BI28" s="253">
        <f>SUBTOTAL(9,BI29:BI41)</f>
        <v>114604.69</v>
      </c>
      <c r="BJ28" s="253">
        <f>SUBTOTAL(9,BJ29:BJ41)</f>
        <v>264</v>
      </c>
      <c r="BK28" s="253">
        <f>SUBTOTAL(9,BK29:BK41)</f>
        <v>2961.9958209000006</v>
      </c>
      <c r="BL28" s="253">
        <f>SUBTOTAL(9,BL29:BL41)</f>
        <v>0</v>
      </c>
      <c r="BM28" s="257">
        <f t="shared" si="12"/>
        <v>136892.33365639998</v>
      </c>
      <c r="BO28" s="714" t="str">
        <f t="shared" si="11"/>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f>'Q (t)'!G29</f>
        <v>0</v>
      </c>
      <c r="Y29" s="175">
        <f>'Q (t)'!H29</f>
        <v>0</v>
      </c>
      <c r="Z29" s="176">
        <f>'Q (t)'!I29</f>
        <v>0</v>
      </c>
      <c r="AA29" s="176">
        <f>'Q (t)'!J29</f>
        <v>0</v>
      </c>
      <c r="AB29" s="177">
        <f>'Q (t)'!K29</f>
        <v>0</v>
      </c>
      <c r="AC29" s="185">
        <f>'Q (t)'!L29</f>
        <v>0</v>
      </c>
      <c r="AD29" s="185">
        <f>'Q (t)'!M29</f>
        <v>0</v>
      </c>
      <c r="AE29" s="185">
        <f>'Q (t)'!N29</f>
        <v>0</v>
      </c>
      <c r="AF29" s="186">
        <f>'Q (t)'!O29</f>
        <v>0</v>
      </c>
      <c r="AG29" s="176">
        <f>'Q (t)'!P29</f>
        <v>0</v>
      </c>
      <c r="AH29" s="176">
        <f>'Q (t)'!Q29</f>
        <v>0</v>
      </c>
      <c r="AI29" s="177">
        <f>'Q (t)'!R29</f>
        <v>0</v>
      </c>
      <c r="AJ29" s="175">
        <f>'Q (t)'!S29</f>
        <v>0</v>
      </c>
      <c r="AK29" s="176">
        <f>'Q (t)'!T29</f>
        <v>0</v>
      </c>
      <c r="AL29" s="175">
        <f>'Q (t)'!U29</f>
        <v>0</v>
      </c>
      <c r="AM29" s="177">
        <f>'Q (t)'!V29</f>
        <v>0</v>
      </c>
      <c r="AO29" s="174">
        <f t="shared" si="8"/>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2"/>
        <v>0</v>
      </c>
      <c r="AZ29" s="177">
        <f t="shared" si="3"/>
        <v>0</v>
      </c>
      <c r="BA29" s="175">
        <f t="shared" si="4"/>
        <v>0</v>
      </c>
      <c r="BB29" s="176">
        <f t="shared" si="5"/>
        <v>0</v>
      </c>
      <c r="BC29" s="175">
        <f t="shared" si="6"/>
        <v>0</v>
      </c>
      <c r="BD29" s="176">
        <f t="shared" si="7"/>
        <v>0</v>
      </c>
      <c r="BE29" s="244">
        <f t="shared" si="9"/>
        <v>0</v>
      </c>
      <c r="BF29" s="245">
        <f t="shared" si="10"/>
        <v>0</v>
      </c>
      <c r="BH29" s="252">
        <f>SUBTOTAL(9,BH30:BH31)</f>
        <v>0</v>
      </c>
      <c r="BI29" s="252">
        <f>SUBTOTAL(9,BI30:BI31)</f>
        <v>7171.2</v>
      </c>
      <c r="BJ29" s="252">
        <f>SUBTOTAL(9,BJ30:BJ31)</f>
        <v>0</v>
      </c>
      <c r="BK29" s="260">
        <f>SUBTOTAL(9,BK30:BK31)</f>
        <v>0</v>
      </c>
      <c r="BL29" s="261">
        <f>SUBTOTAL(9,BL30:BL31)</f>
        <v>0</v>
      </c>
      <c r="BM29" s="257">
        <f t="shared" si="12"/>
        <v>7171.2</v>
      </c>
      <c r="BO29" s="714" t="str">
        <f t="shared" si="11"/>
        <v/>
      </c>
    </row>
    <row r="30" spans="2:67" ht="15" customHeight="1" x14ac:dyDescent="0.25">
      <c r="B30" s="156">
        <v>1</v>
      </c>
      <c r="C30" s="180" t="s">
        <v>60</v>
      </c>
      <c r="D30" s="181" t="str">
        <f>C30</f>
        <v>LVUU</v>
      </c>
      <c r="E30" s="200" t="s">
        <v>61</v>
      </c>
      <c r="G30" s="477"/>
      <c r="H30" s="863">
        <f>ROUND($H$33*0.654,4)</f>
        <v>6.6400000000000001E-2</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8"/>
        <v>0</v>
      </c>
      <c r="AP30" s="184">
        <f t="shared" si="0"/>
        <v>6042.4</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2"/>
        <v>0</v>
      </c>
      <c r="AZ30" s="179">
        <f t="shared" si="3"/>
        <v>0</v>
      </c>
      <c r="BA30" s="184">
        <f t="shared" si="4"/>
        <v>0</v>
      </c>
      <c r="BB30" s="178">
        <f t="shared" si="5"/>
        <v>0</v>
      </c>
      <c r="BC30" s="184">
        <f t="shared" si="6"/>
        <v>0</v>
      </c>
      <c r="BD30" s="178">
        <f t="shared" si="7"/>
        <v>0</v>
      </c>
      <c r="BE30" s="244">
        <f t="shared" si="9"/>
        <v>0</v>
      </c>
      <c r="BF30" s="245">
        <f t="shared" si="10"/>
        <v>91000</v>
      </c>
      <c r="BH30" s="255">
        <f>SUM(AO30)</f>
        <v>0</v>
      </c>
      <c r="BI30" s="255">
        <f>SUM(AP30:AS30)</f>
        <v>6042.4</v>
      </c>
      <c r="BJ30" s="255">
        <f>SUM(AT30:AW30)</f>
        <v>0</v>
      </c>
      <c r="BK30" s="256">
        <f>SUM(AX30:BB30)</f>
        <v>0</v>
      </c>
      <c r="BL30" s="262">
        <f>SUM(BC30:BD30)</f>
        <v>0</v>
      </c>
      <c r="BM30" s="257">
        <f t="shared" si="12"/>
        <v>6042.4</v>
      </c>
      <c r="BO30" s="714">
        <f t="shared" si="11"/>
        <v>66.400000000000006</v>
      </c>
    </row>
    <row r="31" spans="2:67" ht="15" customHeight="1" x14ac:dyDescent="0.25">
      <c r="B31" s="156">
        <f>B30+1</f>
        <v>2</v>
      </c>
      <c r="C31" s="180" t="s">
        <v>62</v>
      </c>
      <c r="D31" s="181" t="str">
        <f>C31</f>
        <v>LVUU24</v>
      </c>
      <c r="E31" s="200" t="s">
        <v>63</v>
      </c>
      <c r="G31" s="477"/>
      <c r="H31" s="863">
        <f>ROUND($H$33*0.654,4)</f>
        <v>6.6400000000000001E-2</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8"/>
        <v>0</v>
      </c>
      <c r="AP31" s="184">
        <f t="shared" si="0"/>
        <v>1128.8</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2"/>
        <v>0</v>
      </c>
      <c r="AZ31" s="179">
        <f t="shared" si="3"/>
        <v>0</v>
      </c>
      <c r="BA31" s="184">
        <f t="shared" si="4"/>
        <v>0</v>
      </c>
      <c r="BB31" s="178">
        <f t="shared" si="5"/>
        <v>0</v>
      </c>
      <c r="BC31" s="184">
        <f t="shared" si="6"/>
        <v>0</v>
      </c>
      <c r="BD31" s="178">
        <f t="shared" si="7"/>
        <v>0</v>
      </c>
      <c r="BE31" s="244">
        <f t="shared" si="9"/>
        <v>0</v>
      </c>
      <c r="BF31" s="245">
        <f t="shared" si="10"/>
        <v>17000</v>
      </c>
      <c r="BH31" s="255">
        <f>SUM(AO31)</f>
        <v>0</v>
      </c>
      <c r="BI31" s="255">
        <f>SUM(AP31:AS31)</f>
        <v>1128.8</v>
      </c>
      <c r="BJ31" s="255">
        <f>SUM(AT31:AW31)</f>
        <v>0</v>
      </c>
      <c r="BK31" s="256">
        <f>SUM(AX31:BB31)</f>
        <v>0</v>
      </c>
      <c r="BL31" s="262">
        <f>SUM(BC31:BD31)</f>
        <v>0</v>
      </c>
      <c r="BM31" s="257">
        <f t="shared" si="12"/>
        <v>1128.8</v>
      </c>
      <c r="BO31" s="714">
        <f t="shared" si="11"/>
        <v>66.400000000000006</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8"/>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2"/>
        <v>0</v>
      </c>
      <c r="AZ32" s="179">
        <f t="shared" si="3"/>
        <v>0</v>
      </c>
      <c r="BA32" s="184">
        <f t="shared" si="4"/>
        <v>0</v>
      </c>
      <c r="BB32" s="178">
        <f t="shared" si="5"/>
        <v>0</v>
      </c>
      <c r="BC32" s="184">
        <f t="shared" si="6"/>
        <v>0</v>
      </c>
      <c r="BD32" s="178">
        <f t="shared" si="7"/>
        <v>0</v>
      </c>
      <c r="BE32" s="244">
        <f t="shared" si="9"/>
        <v>0</v>
      </c>
      <c r="BF32" s="245">
        <f t="shared" si="10"/>
        <v>0</v>
      </c>
      <c r="BH32" s="252">
        <f>SUBTOTAL(9,BH33:BH37)</f>
        <v>13124.371064999999</v>
      </c>
      <c r="BI32" s="252">
        <f>SUBTOTAL(9,BI33:BI37)</f>
        <v>59907.179999999993</v>
      </c>
      <c r="BJ32" s="252">
        <f>SUBTOTAL(9,BJ33:BJ37)</f>
        <v>264</v>
      </c>
      <c r="BK32" s="252">
        <f>SUBTOTAL(9,BK33:BK37)</f>
        <v>0</v>
      </c>
      <c r="BL32" s="252">
        <f>SUBTOTAL(9,BL33:BL37)</f>
        <v>0</v>
      </c>
      <c r="BM32" s="257">
        <f t="shared" si="12"/>
        <v>73295.551064999992</v>
      </c>
      <c r="BO32" s="714" t="str">
        <f t="shared" si="11"/>
        <v/>
      </c>
    </row>
    <row r="33" spans="2:67" ht="15" customHeight="1" x14ac:dyDescent="0.25">
      <c r="B33" s="156">
        <f>B31+1</f>
        <v>3</v>
      </c>
      <c r="C33" s="180" t="s">
        <v>65</v>
      </c>
      <c r="D33" s="181" t="str">
        <f>C33</f>
        <v>BSR</v>
      </c>
      <c r="E33" s="200" t="s">
        <v>66</v>
      </c>
      <c r="G33" s="850">
        <f>ROUND('[15]2020-25 Pricing Schedule'!$J$27/Days_Year,4)</f>
        <v>0.52049999999999996</v>
      </c>
      <c r="H33" s="478">
        <f>ROUND('[15]DUoS (t)'!H31*$BT$132,4)</f>
        <v>0.1016</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8"/>
        <v>8724.9463125000002</v>
      </c>
      <c r="AP33" s="184">
        <f t="shared" si="0"/>
        <v>32735.52</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2"/>
        <v>0</v>
      </c>
      <c r="AZ33" s="179">
        <f t="shared" si="3"/>
        <v>0</v>
      </c>
      <c r="BA33" s="184">
        <f t="shared" si="4"/>
        <v>0</v>
      </c>
      <c r="BB33" s="178">
        <f t="shared" si="5"/>
        <v>0</v>
      </c>
      <c r="BC33" s="184">
        <f t="shared" si="6"/>
        <v>0</v>
      </c>
      <c r="BD33" s="178">
        <f t="shared" si="7"/>
        <v>0</v>
      </c>
      <c r="BE33" s="244">
        <f t="shared" si="9"/>
        <v>45925</v>
      </c>
      <c r="BF33" s="245">
        <f t="shared" si="10"/>
        <v>322200</v>
      </c>
      <c r="BH33" s="255">
        <f>SUM(AO33)</f>
        <v>8724.9463125000002</v>
      </c>
      <c r="BI33" s="255">
        <f>SUM(AP33:AS33)</f>
        <v>32735.52</v>
      </c>
      <c r="BJ33" s="255">
        <f>SUM(AT33:AW33)</f>
        <v>0</v>
      </c>
      <c r="BK33" s="256">
        <f>SUM(AX33:BB33)</f>
        <v>0</v>
      </c>
      <c r="BL33" s="262">
        <f>SUM(BC33:BD33)</f>
        <v>0</v>
      </c>
      <c r="BM33" s="257">
        <f t="shared" si="12"/>
        <v>41460.466312500001</v>
      </c>
      <c r="BO33" s="714">
        <f t="shared" si="11"/>
        <v>128.67928712756051</v>
      </c>
    </row>
    <row r="34" spans="2:67" ht="15" customHeight="1" x14ac:dyDescent="0.25">
      <c r="B34" s="156">
        <f>B33+1</f>
        <v>4</v>
      </c>
      <c r="C34" s="180" t="s">
        <v>67</v>
      </c>
      <c r="D34" s="181" t="str">
        <f>C34</f>
        <v>BSRCL</v>
      </c>
      <c r="E34" s="200" t="s">
        <v>68</v>
      </c>
      <c r="G34" s="850">
        <f>G33</f>
        <v>0.52049999999999996</v>
      </c>
      <c r="H34" s="478">
        <f>ROUND('[15]DUoS (t)'!H32*$BT$132,4)</f>
        <v>0.1016</v>
      </c>
      <c r="I34" s="461"/>
      <c r="J34" s="461"/>
      <c r="K34" s="462"/>
      <c r="L34" s="851">
        <f>L19</f>
        <v>4.3999999999999997E-2</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8"/>
        <v>0</v>
      </c>
      <c r="AP34" s="184">
        <f t="shared" si="0"/>
        <v>0</v>
      </c>
      <c r="AQ34" s="178">
        <f t="shared" si="0"/>
        <v>0</v>
      </c>
      <c r="AR34" s="178">
        <f t="shared" si="0"/>
        <v>0</v>
      </c>
      <c r="AS34" s="179">
        <f t="shared" si="0"/>
        <v>0</v>
      </c>
      <c r="AT34" s="178">
        <f t="shared" si="0"/>
        <v>132</v>
      </c>
      <c r="AU34" s="178">
        <f t="shared" si="0"/>
        <v>0</v>
      </c>
      <c r="AV34" s="178">
        <f t="shared" si="0"/>
        <v>0</v>
      </c>
      <c r="AW34" s="179">
        <f t="shared" si="0"/>
        <v>0</v>
      </c>
      <c r="AX34" s="178">
        <f t="shared" si="1"/>
        <v>0</v>
      </c>
      <c r="AY34" s="178">
        <f t="shared" si="2"/>
        <v>0</v>
      </c>
      <c r="AZ34" s="179">
        <f t="shared" si="3"/>
        <v>0</v>
      </c>
      <c r="BA34" s="184">
        <f t="shared" si="4"/>
        <v>0</v>
      </c>
      <c r="BB34" s="178">
        <f t="shared" si="5"/>
        <v>0</v>
      </c>
      <c r="BC34" s="184">
        <f t="shared" si="6"/>
        <v>0</v>
      </c>
      <c r="BD34" s="178">
        <f t="shared" si="7"/>
        <v>0</v>
      </c>
      <c r="BE34" s="244">
        <f t="shared" si="9"/>
        <v>0</v>
      </c>
      <c r="BF34" s="245">
        <f t="shared" si="10"/>
        <v>3000</v>
      </c>
      <c r="BH34" s="255">
        <f>SUM(AO34)</f>
        <v>0</v>
      </c>
      <c r="BI34" s="255">
        <f>SUM(AP34:AS34)</f>
        <v>0</v>
      </c>
      <c r="BJ34" s="255">
        <f>SUM(AT34:AW34)</f>
        <v>132</v>
      </c>
      <c r="BK34" s="256">
        <f>SUM(AX34:BB34)</f>
        <v>0</v>
      </c>
      <c r="BL34" s="262">
        <f>SUM(BC34:BD34)</f>
        <v>0</v>
      </c>
      <c r="BM34" s="257">
        <f t="shared" si="12"/>
        <v>132</v>
      </c>
      <c r="BO34" s="714">
        <f t="shared" si="11"/>
        <v>44</v>
      </c>
    </row>
    <row r="35" spans="2:67" ht="15" customHeight="1" x14ac:dyDescent="0.25">
      <c r="B35" s="156">
        <f>B34+1</f>
        <v>5</v>
      </c>
      <c r="C35" s="180" t="s">
        <v>69</v>
      </c>
      <c r="D35" s="181" t="str">
        <f>C35</f>
        <v>B2R</v>
      </c>
      <c r="E35" s="200" t="s">
        <v>70</v>
      </c>
      <c r="G35" s="850">
        <f>G33</f>
        <v>0.52049999999999996</v>
      </c>
      <c r="H35" s="479"/>
      <c r="I35" s="465">
        <f>ROUND('[15]DUoS (t)'!I33*$BT$132,4)</f>
        <v>0.11459999999999999</v>
      </c>
      <c r="J35" s="461"/>
      <c r="K35" s="466">
        <f>ROUND('[15]DUoS (t)'!K33*$BT$132,4)</f>
        <v>5.7299999999999997E-2</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8"/>
        <v>4399.4247524999992</v>
      </c>
      <c r="AP35" s="184">
        <f t="shared" si="0"/>
        <v>0</v>
      </c>
      <c r="AQ35" s="178">
        <f t="shared" si="0"/>
        <v>18737.099999999999</v>
      </c>
      <c r="AR35" s="178">
        <f t="shared" si="0"/>
        <v>0</v>
      </c>
      <c r="AS35" s="179">
        <f t="shared" si="0"/>
        <v>8434.56</v>
      </c>
      <c r="AT35" s="178">
        <f t="shared" si="0"/>
        <v>0</v>
      </c>
      <c r="AU35" s="178">
        <f t="shared" si="0"/>
        <v>0</v>
      </c>
      <c r="AV35" s="178">
        <f t="shared" si="0"/>
        <v>0</v>
      </c>
      <c r="AW35" s="179">
        <f t="shared" si="0"/>
        <v>0</v>
      </c>
      <c r="AX35" s="178">
        <f t="shared" si="1"/>
        <v>0</v>
      </c>
      <c r="AY35" s="178">
        <f t="shared" si="2"/>
        <v>0</v>
      </c>
      <c r="AZ35" s="179">
        <f t="shared" si="3"/>
        <v>0</v>
      </c>
      <c r="BA35" s="184">
        <f t="shared" si="4"/>
        <v>0</v>
      </c>
      <c r="BB35" s="178">
        <f t="shared" si="5"/>
        <v>0</v>
      </c>
      <c r="BC35" s="184">
        <f t="shared" si="6"/>
        <v>0</v>
      </c>
      <c r="BD35" s="178">
        <f t="shared" si="7"/>
        <v>0</v>
      </c>
      <c r="BE35" s="244">
        <f t="shared" si="9"/>
        <v>23157</v>
      </c>
      <c r="BF35" s="245">
        <f t="shared" si="10"/>
        <v>310700</v>
      </c>
      <c r="BH35" s="255">
        <f>SUM(AO35)</f>
        <v>4399.4247524999992</v>
      </c>
      <c r="BI35" s="255">
        <f>SUM(AP35:AS35)</f>
        <v>27171.659999999996</v>
      </c>
      <c r="BJ35" s="255">
        <f>SUM(AT35:AW35)</f>
        <v>0</v>
      </c>
      <c r="BK35" s="256">
        <f>SUM(AX35:BB35)</f>
        <v>0</v>
      </c>
      <c r="BL35" s="262">
        <f>SUM(BC35:BD35)</f>
        <v>0</v>
      </c>
      <c r="BM35" s="257">
        <f t="shared" si="12"/>
        <v>31571.084752499995</v>
      </c>
      <c r="BO35" s="714">
        <f t="shared" si="11"/>
        <v>101.61276070968778</v>
      </c>
    </row>
    <row r="36" spans="2:67" ht="15" customHeight="1" x14ac:dyDescent="0.25">
      <c r="B36" s="156">
        <f>B35+1</f>
        <v>6</v>
      </c>
      <c r="C36" s="180" t="s">
        <v>71</v>
      </c>
      <c r="D36" s="181" t="str">
        <f>C36</f>
        <v>B2RCL</v>
      </c>
      <c r="E36" s="200" t="s">
        <v>72</v>
      </c>
      <c r="G36" s="850">
        <f>G33</f>
        <v>0.52049999999999996</v>
      </c>
      <c r="H36" s="479"/>
      <c r="I36" s="465">
        <f>ROUND('[15]DUoS (t)'!I34*$BT$132,4)</f>
        <v>0.11459999999999999</v>
      </c>
      <c r="J36" s="461"/>
      <c r="K36" s="466">
        <f>ROUND('[15]DUoS (t)'!K34*$BT$132,4)</f>
        <v>5.7299999999999997E-2</v>
      </c>
      <c r="L36" s="851">
        <f>L19</f>
        <v>4.3999999999999997E-2</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8"/>
        <v>0</v>
      </c>
      <c r="AP36" s="184">
        <f t="shared" ref="AP36:AW50" si="24">H36*Y36</f>
        <v>0</v>
      </c>
      <c r="AQ36" s="178">
        <f t="shared" si="24"/>
        <v>0</v>
      </c>
      <c r="AR36" s="178">
        <f t="shared" si="24"/>
        <v>0</v>
      </c>
      <c r="AS36" s="179">
        <f t="shared" si="24"/>
        <v>0</v>
      </c>
      <c r="AT36" s="178">
        <f t="shared" si="24"/>
        <v>132</v>
      </c>
      <c r="AU36" s="178">
        <f t="shared" si="24"/>
        <v>0</v>
      </c>
      <c r="AV36" s="178">
        <f t="shared" si="24"/>
        <v>0</v>
      </c>
      <c r="AW36" s="179">
        <f t="shared" si="24"/>
        <v>0</v>
      </c>
      <c r="AX36" s="178">
        <f t="shared" si="1"/>
        <v>0</v>
      </c>
      <c r="AY36" s="178">
        <f t="shared" si="2"/>
        <v>0</v>
      </c>
      <c r="AZ36" s="179">
        <f t="shared" si="3"/>
        <v>0</v>
      </c>
      <c r="BA36" s="184">
        <f t="shared" si="4"/>
        <v>0</v>
      </c>
      <c r="BB36" s="178">
        <f t="shared" si="5"/>
        <v>0</v>
      </c>
      <c r="BC36" s="184">
        <f t="shared" si="6"/>
        <v>0</v>
      </c>
      <c r="BD36" s="178">
        <f t="shared" si="7"/>
        <v>0</v>
      </c>
      <c r="BE36" s="244">
        <f t="shared" si="9"/>
        <v>0</v>
      </c>
      <c r="BF36" s="245">
        <f t="shared" si="10"/>
        <v>3000</v>
      </c>
      <c r="BH36" s="255">
        <f>SUM(AO36)</f>
        <v>0</v>
      </c>
      <c r="BI36" s="255">
        <f>SUM(AP36:AS36)</f>
        <v>0</v>
      </c>
      <c r="BJ36" s="255">
        <f>SUM(AT36:AW36)</f>
        <v>132</v>
      </c>
      <c r="BK36" s="256">
        <f>SUM(AX36:BB36)</f>
        <v>0</v>
      </c>
      <c r="BL36" s="262">
        <f>SUM(BC36:BD36)</f>
        <v>0</v>
      </c>
      <c r="BM36" s="257">
        <f t="shared" si="12"/>
        <v>132</v>
      </c>
      <c r="BO36" s="714">
        <f t="shared" si="11"/>
        <v>44</v>
      </c>
    </row>
    <row r="37" spans="2:67" ht="15" customHeight="1" x14ac:dyDescent="0.25">
      <c r="B37" s="156">
        <f>B36+1</f>
        <v>7</v>
      </c>
      <c r="C37" s="180" t="s">
        <v>73</v>
      </c>
      <c r="D37" s="181" t="str">
        <f>C37</f>
        <v>BCL</v>
      </c>
      <c r="E37" s="200" t="s">
        <v>74</v>
      </c>
      <c r="G37" s="477">
        <f>ROUND('[15]DUoS (t)'!G35*$BT$132,4)</f>
        <v>0</v>
      </c>
      <c r="H37" s="479"/>
      <c r="I37" s="461"/>
      <c r="J37" s="461"/>
      <c r="K37" s="462"/>
      <c r="L37" s="851">
        <f>L19</f>
        <v>4.3999999999999997E-2</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8"/>
        <v>0</v>
      </c>
      <c r="AP37" s="184">
        <f t="shared" si="24"/>
        <v>0</v>
      </c>
      <c r="AQ37" s="178">
        <f t="shared" si="24"/>
        <v>0</v>
      </c>
      <c r="AR37" s="178">
        <f t="shared" si="24"/>
        <v>0</v>
      </c>
      <c r="AS37" s="179">
        <f t="shared" si="24"/>
        <v>0</v>
      </c>
      <c r="AT37" s="178">
        <f t="shared" si="24"/>
        <v>0</v>
      </c>
      <c r="AU37" s="178">
        <f t="shared" si="24"/>
        <v>0</v>
      </c>
      <c r="AV37" s="178">
        <f t="shared" si="24"/>
        <v>0</v>
      </c>
      <c r="AW37" s="179">
        <f t="shared" si="24"/>
        <v>0</v>
      </c>
      <c r="AX37" s="178">
        <f t="shared" si="1"/>
        <v>0</v>
      </c>
      <c r="AY37" s="178">
        <f t="shared" si="2"/>
        <v>0</v>
      </c>
      <c r="AZ37" s="179">
        <f t="shared" si="3"/>
        <v>0</v>
      </c>
      <c r="BA37" s="184">
        <f t="shared" si="4"/>
        <v>0</v>
      </c>
      <c r="BB37" s="178">
        <f t="shared" si="5"/>
        <v>0</v>
      </c>
      <c r="BC37" s="184">
        <f t="shared" si="6"/>
        <v>0</v>
      </c>
      <c r="BD37" s="178">
        <f t="shared" si="7"/>
        <v>0</v>
      </c>
      <c r="BE37" s="244">
        <f t="shared" si="9"/>
        <v>0</v>
      </c>
      <c r="BF37" s="245">
        <f t="shared" si="10"/>
        <v>0</v>
      </c>
      <c r="BH37" s="255">
        <f>SUM(AO37)</f>
        <v>0</v>
      </c>
      <c r="BI37" s="255">
        <f>SUM(AP37:AS37)</f>
        <v>0</v>
      </c>
      <c r="BJ37" s="255">
        <f>SUM(AT37:AW37)</f>
        <v>0</v>
      </c>
      <c r="BK37" s="256">
        <f>SUM(AX37:BB37)</f>
        <v>0</v>
      </c>
      <c r="BL37" s="262">
        <f>SUM(BC37:BD37)</f>
        <v>0</v>
      </c>
      <c r="BM37" s="257">
        <f t="shared" si="12"/>
        <v>0</v>
      </c>
      <c r="BO37" s="714" t="str">
        <f t="shared" si="11"/>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8"/>
        <v>0</v>
      </c>
      <c r="AP38" s="184">
        <f t="shared" si="24"/>
        <v>0</v>
      </c>
      <c r="AQ38" s="178">
        <f t="shared" si="24"/>
        <v>0</v>
      </c>
      <c r="AR38" s="178">
        <f t="shared" si="24"/>
        <v>0</v>
      </c>
      <c r="AS38" s="179">
        <f t="shared" si="24"/>
        <v>0</v>
      </c>
      <c r="AT38" s="178">
        <f t="shared" si="24"/>
        <v>0</v>
      </c>
      <c r="AU38" s="178">
        <f t="shared" si="24"/>
        <v>0</v>
      </c>
      <c r="AV38" s="178">
        <f t="shared" si="24"/>
        <v>0</v>
      </c>
      <c r="AW38" s="179">
        <f t="shared" si="24"/>
        <v>0</v>
      </c>
      <c r="AX38" s="178">
        <f t="shared" si="1"/>
        <v>0</v>
      </c>
      <c r="AY38" s="178">
        <f t="shared" si="2"/>
        <v>0</v>
      </c>
      <c r="AZ38" s="179">
        <f t="shared" si="3"/>
        <v>0</v>
      </c>
      <c r="BA38" s="184">
        <f t="shared" si="4"/>
        <v>0</v>
      </c>
      <c r="BB38" s="178">
        <f t="shared" si="5"/>
        <v>0</v>
      </c>
      <c r="BC38" s="184">
        <f t="shared" si="6"/>
        <v>0</v>
      </c>
      <c r="BD38" s="178">
        <f t="shared" si="7"/>
        <v>0</v>
      </c>
      <c r="BE38" s="244">
        <f t="shared" si="9"/>
        <v>0</v>
      </c>
      <c r="BF38" s="245">
        <f t="shared" si="10"/>
        <v>0</v>
      </c>
      <c r="BH38" s="252">
        <f>SUBTOTAL(9,BH39:BH41)</f>
        <v>5937.2767704999997</v>
      </c>
      <c r="BI38" s="252">
        <f>SUBTOTAL(9,BI39:BI41)</f>
        <v>47526.310000000005</v>
      </c>
      <c r="BJ38" s="252">
        <f>SUBTOTAL(9,BJ39:BJ41)</f>
        <v>0</v>
      </c>
      <c r="BK38" s="252">
        <f>SUBTOTAL(9,BK39:BK41)</f>
        <v>2961.9958209000006</v>
      </c>
      <c r="BL38" s="252">
        <f>SUBTOTAL(9,BL39:BL41)</f>
        <v>0</v>
      </c>
      <c r="BM38" s="257">
        <f t="shared" si="12"/>
        <v>56425.582591400009</v>
      </c>
      <c r="BO38" s="714" t="str">
        <f t="shared" si="11"/>
        <v/>
      </c>
    </row>
    <row r="39" spans="2:67" ht="15" customHeight="1" x14ac:dyDescent="0.25">
      <c r="B39" s="156">
        <f>B37+1</f>
        <v>8</v>
      </c>
      <c r="C39" s="180" t="s">
        <v>76</v>
      </c>
      <c r="D39" s="181" t="str">
        <f>C39</f>
        <v>SBTOU</v>
      </c>
      <c r="E39" s="200" t="s">
        <v>77</v>
      </c>
      <c r="G39" s="850">
        <f>G33</f>
        <v>0.52049999999999996</v>
      </c>
      <c r="H39" s="479"/>
      <c r="I39" s="483">
        <f>ROUND('[15]DUoS (t)'!I37*$BT$132,4)</f>
        <v>0.1525</v>
      </c>
      <c r="J39" s="483">
        <f>ROUND('[15]DUoS (t)'!J37*$BT$132,4)</f>
        <v>0.1061</v>
      </c>
      <c r="K39" s="484">
        <f>ROUND('[15]DUoS (t)'!K37*$BT$132,4)</f>
        <v>5.7299999999999997E-2</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8"/>
        <v>4265.4870899999996</v>
      </c>
      <c r="AP39" s="184">
        <f t="shared" si="24"/>
        <v>0</v>
      </c>
      <c r="AQ39" s="178">
        <f t="shared" si="24"/>
        <v>4941</v>
      </c>
      <c r="AR39" s="178">
        <f t="shared" si="24"/>
        <v>24562.15</v>
      </c>
      <c r="AS39" s="179">
        <f t="shared" si="24"/>
        <v>11712.119999999999</v>
      </c>
      <c r="AT39" s="178">
        <f t="shared" si="24"/>
        <v>0</v>
      </c>
      <c r="AU39" s="178">
        <f t="shared" si="24"/>
        <v>0</v>
      </c>
      <c r="AV39" s="178">
        <f t="shared" si="24"/>
        <v>0</v>
      </c>
      <c r="AW39" s="179">
        <f t="shared" si="24"/>
        <v>0</v>
      </c>
      <c r="AX39" s="178">
        <f t="shared" si="1"/>
        <v>0</v>
      </c>
      <c r="AY39" s="178">
        <f t="shared" si="2"/>
        <v>0</v>
      </c>
      <c r="AZ39" s="179">
        <f t="shared" si="3"/>
        <v>0</v>
      </c>
      <c r="BA39" s="184">
        <f t="shared" si="4"/>
        <v>0</v>
      </c>
      <c r="BB39" s="178">
        <f t="shared" si="5"/>
        <v>0</v>
      </c>
      <c r="BC39" s="184">
        <f t="shared" si="6"/>
        <v>0</v>
      </c>
      <c r="BD39" s="178">
        <f t="shared" si="7"/>
        <v>0</v>
      </c>
      <c r="BE39" s="244">
        <f t="shared" si="9"/>
        <v>22452</v>
      </c>
      <c r="BF39" s="245">
        <f t="shared" si="10"/>
        <v>468300</v>
      </c>
      <c r="BH39" s="255">
        <f>SUM(AO39)</f>
        <v>4265.4870899999996</v>
      </c>
      <c r="BI39" s="255">
        <f>SUM(AP39:AS39)</f>
        <v>41215.270000000004</v>
      </c>
      <c r="BJ39" s="255">
        <f>SUM(AT39:AW39)</f>
        <v>0</v>
      </c>
      <c r="BK39" s="256">
        <f>SUM(AX39:BB39)</f>
        <v>0</v>
      </c>
      <c r="BL39" s="262">
        <f>SUM(BC39:BD39)</f>
        <v>0</v>
      </c>
      <c r="BM39" s="257">
        <f t="shared" si="12"/>
        <v>45480.757090000006</v>
      </c>
      <c r="BO39" s="714">
        <f t="shared" si="11"/>
        <v>97.118849220585105</v>
      </c>
    </row>
    <row r="40" spans="2:67" ht="15" customHeight="1" x14ac:dyDescent="0.25">
      <c r="B40" s="156">
        <f>B39+1</f>
        <v>9</v>
      </c>
      <c r="C40" s="180" t="s">
        <v>78</v>
      </c>
      <c r="D40" s="181" t="str">
        <f>C40</f>
        <v>SBTOUD</v>
      </c>
      <c r="E40" s="200" t="s">
        <v>79</v>
      </c>
      <c r="G40" s="850">
        <f>G33</f>
        <v>0.52049999999999996</v>
      </c>
      <c r="H40" s="479"/>
      <c r="I40" s="483">
        <f>ROUND('[15]DUoS (t)'!I38*$BT$132,4)</f>
        <v>0.122</v>
      </c>
      <c r="J40" s="483">
        <f>ROUND('[15]DUoS (t)'!J38*$BT$132,4)</f>
        <v>8.4900000000000003E-2</v>
      </c>
      <c r="K40" s="484">
        <f>ROUND('[15]DUoS (t)'!K38*$BT$132,4)</f>
        <v>4.58E-2</v>
      </c>
      <c r="L40" s="461"/>
      <c r="M40" s="461"/>
      <c r="N40" s="461"/>
      <c r="O40" s="462"/>
      <c r="P40" s="461"/>
      <c r="Q40" s="461"/>
      <c r="R40" s="462"/>
      <c r="S40" s="479"/>
      <c r="T40" s="483">
        <f>ROUND('[15]DUoS (t)'!T38*$BT$132,4)</f>
        <v>7.9200000000000007E-2</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8"/>
        <v>295.8027525</v>
      </c>
      <c r="AP40" s="184">
        <f t="shared" si="24"/>
        <v>0</v>
      </c>
      <c r="AQ40" s="178">
        <f t="shared" si="24"/>
        <v>573.4</v>
      </c>
      <c r="AR40" s="178">
        <f t="shared" si="24"/>
        <v>3463.92</v>
      </c>
      <c r="AS40" s="179">
        <f t="shared" si="24"/>
        <v>1264.08</v>
      </c>
      <c r="AT40" s="178">
        <f t="shared" si="24"/>
        <v>0</v>
      </c>
      <c r="AU40" s="178">
        <f t="shared" si="24"/>
        <v>0</v>
      </c>
      <c r="AV40" s="178">
        <f t="shared" si="24"/>
        <v>0</v>
      </c>
      <c r="AW40" s="179">
        <f t="shared" si="24"/>
        <v>0</v>
      </c>
      <c r="AX40" s="178">
        <f t="shared" si="1"/>
        <v>0</v>
      </c>
      <c r="AY40" s="178">
        <f t="shared" si="2"/>
        <v>0</v>
      </c>
      <c r="AZ40" s="179">
        <f t="shared" si="3"/>
        <v>0</v>
      </c>
      <c r="BA40" s="184">
        <f t="shared" si="4"/>
        <v>0</v>
      </c>
      <c r="BB40" s="178">
        <f t="shared" si="5"/>
        <v>2214.6707880000004</v>
      </c>
      <c r="BC40" s="184">
        <f t="shared" si="6"/>
        <v>0</v>
      </c>
      <c r="BD40" s="178">
        <f t="shared" si="7"/>
        <v>0</v>
      </c>
      <c r="BE40" s="244">
        <f t="shared" si="9"/>
        <v>1557</v>
      </c>
      <c r="BF40" s="245">
        <f t="shared" si="10"/>
        <v>73100</v>
      </c>
      <c r="BH40" s="255">
        <f>SUM(AO40)</f>
        <v>295.8027525</v>
      </c>
      <c r="BI40" s="255">
        <f>SUM(AP40:AS40)</f>
        <v>5301.4</v>
      </c>
      <c r="BJ40" s="255">
        <f>SUM(AT40:AW40)</f>
        <v>0</v>
      </c>
      <c r="BK40" s="256">
        <f>SUM(AX40:BB40)</f>
        <v>2214.6707880000004</v>
      </c>
      <c r="BL40" s="262">
        <f>SUM(BC40:BD40)</f>
        <v>0</v>
      </c>
      <c r="BM40" s="257">
        <f t="shared" si="12"/>
        <v>7811.8735404999998</v>
      </c>
      <c r="BO40" s="714">
        <f t="shared" si="11"/>
        <v>106.86557510943912</v>
      </c>
    </row>
    <row r="41" spans="2:67" ht="15" customHeight="1" x14ac:dyDescent="0.25">
      <c r="B41" s="162">
        <f>B40+1</f>
        <v>10</v>
      </c>
      <c r="C41" s="187" t="s">
        <v>80</v>
      </c>
      <c r="D41" s="188" t="str">
        <f>C41</f>
        <v>SBD</v>
      </c>
      <c r="E41" s="203" t="s">
        <v>81</v>
      </c>
      <c r="G41" s="855">
        <f>ROUND('[15]2020-25 Pricing Schedule'!$J$45/Days_Year,4)</f>
        <v>5.4794</v>
      </c>
      <c r="H41" s="856">
        <f>'[15]2020-25 Pricing Schedule'!$J$48</f>
        <v>5.8699999999999995E-2</v>
      </c>
      <c r="I41" s="487"/>
      <c r="J41" s="487"/>
      <c r="K41" s="488"/>
      <c r="L41" s="487"/>
      <c r="M41" s="487"/>
      <c r="N41" s="487"/>
      <c r="O41" s="488"/>
      <c r="P41" s="487"/>
      <c r="Q41" s="857">
        <f>'DUoS (t-1)'!Q41</f>
        <v>0.30940000000000001</v>
      </c>
      <c r="R41" s="858">
        <f>'DUoS (t-1)'!R41</f>
        <v>0.15310000000000001</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8"/>
        <v>1375.986928</v>
      </c>
      <c r="AP41" s="197">
        <f t="shared" si="24"/>
        <v>1009.6399999999999</v>
      </c>
      <c r="AQ41" s="192">
        <f t="shared" si="24"/>
        <v>0</v>
      </c>
      <c r="AR41" s="192">
        <f t="shared" si="24"/>
        <v>0</v>
      </c>
      <c r="AS41" s="193">
        <f t="shared" si="24"/>
        <v>0</v>
      </c>
      <c r="AT41" s="192">
        <f t="shared" si="24"/>
        <v>0</v>
      </c>
      <c r="AU41" s="192">
        <f t="shared" si="24"/>
        <v>0</v>
      </c>
      <c r="AV41" s="192">
        <f t="shared" si="24"/>
        <v>0</v>
      </c>
      <c r="AW41" s="193">
        <f t="shared" si="24"/>
        <v>0</v>
      </c>
      <c r="AX41" s="192">
        <f t="shared" si="1"/>
        <v>0</v>
      </c>
      <c r="AY41" s="192">
        <f t="shared" si="2"/>
        <v>331.28726540000002</v>
      </c>
      <c r="AZ41" s="193">
        <f t="shared" si="3"/>
        <v>416.03776750000003</v>
      </c>
      <c r="BA41" s="197">
        <f t="shared" si="4"/>
        <v>0</v>
      </c>
      <c r="BB41" s="192">
        <f t="shared" si="5"/>
        <v>0</v>
      </c>
      <c r="BC41" s="197">
        <f t="shared" si="6"/>
        <v>0</v>
      </c>
      <c r="BD41" s="192">
        <f t="shared" si="7"/>
        <v>0</v>
      </c>
      <c r="BE41" s="246">
        <f t="shared" si="9"/>
        <v>688</v>
      </c>
      <c r="BF41" s="247">
        <f t="shared" si="10"/>
        <v>17200</v>
      </c>
      <c r="BH41" s="255">
        <f>SUM(AO41)</f>
        <v>1375.986928</v>
      </c>
      <c r="BI41" s="255">
        <f>SUM(AP41:AS41)</f>
        <v>1009.6399999999999</v>
      </c>
      <c r="BJ41" s="255">
        <f>SUM(AT41:AW41)</f>
        <v>0</v>
      </c>
      <c r="BK41" s="256">
        <f>SUM(AX41:BB41)</f>
        <v>747.3250329</v>
      </c>
      <c r="BL41" s="262">
        <f>SUM(BC41:BD41)</f>
        <v>0</v>
      </c>
      <c r="BM41" s="257">
        <f t="shared" si="12"/>
        <v>3132.9519608999999</v>
      </c>
      <c r="BO41" s="714">
        <f t="shared" si="11"/>
        <v>182.14836981976742</v>
      </c>
    </row>
    <row r="42" spans="2:67" ht="15" customHeight="1" x14ac:dyDescent="0.25">
      <c r="B42" s="167" t="s">
        <v>82</v>
      </c>
      <c r="C42" s="151" t="s">
        <v>83</v>
      </c>
      <c r="D42" s="151"/>
      <c r="E42" s="204"/>
      <c r="G42" s="494"/>
      <c r="H42" s="495"/>
      <c r="I42" s="496"/>
      <c r="J42" s="496"/>
      <c r="K42" s="497"/>
      <c r="L42" s="496"/>
      <c r="M42" s="496"/>
      <c r="N42" s="496"/>
      <c r="O42" s="497"/>
      <c r="P42" s="496"/>
      <c r="Q42" s="496"/>
      <c r="R42" s="497"/>
      <c r="S42" s="495"/>
      <c r="T42" s="496"/>
      <c r="U42" s="495"/>
      <c r="V42" s="497"/>
      <c r="X42" s="205">
        <f>'Q (t)'!G42</f>
        <v>0</v>
      </c>
      <c r="Y42" s="206">
        <f>'Q (t)'!H42</f>
        <v>0</v>
      </c>
      <c r="Z42" s="207">
        <f>'Q (t)'!I42</f>
        <v>0</v>
      </c>
      <c r="AA42" s="207">
        <f>'Q (t)'!J42</f>
        <v>0</v>
      </c>
      <c r="AB42" s="208">
        <f>'Q (t)'!K42</f>
        <v>0</v>
      </c>
      <c r="AC42" s="207">
        <f>'Q (t)'!L42</f>
        <v>0</v>
      </c>
      <c r="AD42" s="207">
        <f>'Q (t)'!M42</f>
        <v>0</v>
      </c>
      <c r="AE42" s="207">
        <f>'Q (t)'!N42</f>
        <v>0</v>
      </c>
      <c r="AF42" s="208">
        <f>'Q (t)'!O42</f>
        <v>0</v>
      </c>
      <c r="AG42" s="207">
        <f>'Q (t)'!P42</f>
        <v>0</v>
      </c>
      <c r="AH42" s="207">
        <f>'Q (t)'!Q42</f>
        <v>0</v>
      </c>
      <c r="AI42" s="208">
        <f>'Q (t)'!R42</f>
        <v>0</v>
      </c>
      <c r="AJ42" s="206">
        <f>'Q (t)'!S42</f>
        <v>0</v>
      </c>
      <c r="AK42" s="207">
        <f>'Q (t)'!T42</f>
        <v>0</v>
      </c>
      <c r="AL42" s="206">
        <f>'Q (t)'!U42</f>
        <v>0</v>
      </c>
      <c r="AM42" s="208">
        <f>'Q (t)'!V42</f>
        <v>0</v>
      </c>
      <c r="AO42" s="205">
        <f t="shared" si="8"/>
        <v>0</v>
      </c>
      <c r="AP42" s="206">
        <f t="shared" si="24"/>
        <v>0</v>
      </c>
      <c r="AQ42" s="207">
        <f t="shared" si="24"/>
        <v>0</v>
      </c>
      <c r="AR42" s="207">
        <f t="shared" si="24"/>
        <v>0</v>
      </c>
      <c r="AS42" s="208">
        <f t="shared" si="24"/>
        <v>0</v>
      </c>
      <c r="AT42" s="207">
        <f t="shared" si="24"/>
        <v>0</v>
      </c>
      <c r="AU42" s="207">
        <f t="shared" si="24"/>
        <v>0</v>
      </c>
      <c r="AV42" s="207">
        <f t="shared" si="24"/>
        <v>0</v>
      </c>
      <c r="AW42" s="208">
        <f t="shared" si="24"/>
        <v>0</v>
      </c>
      <c r="AX42" s="207">
        <f t="shared" si="1"/>
        <v>0</v>
      </c>
      <c r="AY42" s="207">
        <f t="shared" si="2"/>
        <v>0</v>
      </c>
      <c r="AZ42" s="208">
        <f t="shared" si="3"/>
        <v>0</v>
      </c>
      <c r="BA42" s="206">
        <f t="shared" si="4"/>
        <v>0</v>
      </c>
      <c r="BB42" s="207">
        <f t="shared" si="5"/>
        <v>0</v>
      </c>
      <c r="BC42" s="206">
        <f t="shared" si="6"/>
        <v>0</v>
      </c>
      <c r="BD42" s="207">
        <f t="shared" si="7"/>
        <v>0</v>
      </c>
      <c r="BE42" s="242">
        <f t="shared" si="9"/>
        <v>0</v>
      </c>
      <c r="BF42" s="243">
        <f t="shared" si="10"/>
        <v>0</v>
      </c>
      <c r="BH42" s="253">
        <f>SUBTOTAL(9,BH43:BH69)</f>
        <v>14201.704554000002</v>
      </c>
      <c r="BI42" s="253">
        <f>SUBTOTAL(9,BI43:BI69)</f>
        <v>90573.15469999997</v>
      </c>
      <c r="BJ42" s="253">
        <f>SUBTOTAL(9,BJ43:BJ69)</f>
        <v>0</v>
      </c>
      <c r="BK42" s="253">
        <f>SUBTOTAL(9,BK43:BK69)</f>
        <v>70546.330466099986</v>
      </c>
      <c r="BL42" s="253">
        <f>SUBTOTAL(9,BL43:BL69)</f>
        <v>0</v>
      </c>
      <c r="BM42" s="257">
        <f t="shared" si="12"/>
        <v>175321.18972009997</v>
      </c>
      <c r="BO42" s="714" t="str">
        <f t="shared" si="11"/>
        <v/>
      </c>
    </row>
    <row r="43" spans="2:67" ht="15" customHeight="1" x14ac:dyDescent="0.25">
      <c r="B43" s="156"/>
      <c r="C43" s="126" t="s">
        <v>84</v>
      </c>
      <c r="D43" s="173"/>
      <c r="E43" s="202"/>
      <c r="G43" s="482"/>
      <c r="H43" s="479"/>
      <c r="I43" s="461"/>
      <c r="J43" s="461"/>
      <c r="K43" s="462"/>
      <c r="L43" s="461"/>
      <c r="M43" s="461"/>
      <c r="N43" s="461"/>
      <c r="O43" s="462"/>
      <c r="P43" s="461"/>
      <c r="Q43" s="461"/>
      <c r="R43" s="462"/>
      <c r="S43" s="479"/>
      <c r="T43" s="461"/>
      <c r="U43" s="479"/>
      <c r="V43" s="462"/>
      <c r="X43" s="183">
        <f>'Q (t)'!G43</f>
        <v>0</v>
      </c>
      <c r="Y43" s="184">
        <f>'Q (t)'!H43</f>
        <v>0</v>
      </c>
      <c r="Z43" s="178">
        <f>'Q (t)'!I43</f>
        <v>0</v>
      </c>
      <c r="AA43" s="178">
        <f>'Q (t)'!J43</f>
        <v>0</v>
      </c>
      <c r="AB43" s="179">
        <f>'Q (t)'!K43</f>
        <v>0</v>
      </c>
      <c r="AC43" s="178">
        <f>'Q (t)'!L43</f>
        <v>0</v>
      </c>
      <c r="AD43" s="178">
        <f>'Q (t)'!M43</f>
        <v>0</v>
      </c>
      <c r="AE43" s="178">
        <f>'Q (t)'!N43</f>
        <v>0</v>
      </c>
      <c r="AF43" s="179">
        <f>'Q (t)'!O43</f>
        <v>0</v>
      </c>
      <c r="AG43" s="178">
        <f>'Q (t)'!P43</f>
        <v>0</v>
      </c>
      <c r="AH43" s="178">
        <f>'Q (t)'!Q43</f>
        <v>0</v>
      </c>
      <c r="AI43" s="179">
        <f>'Q (t)'!R43</f>
        <v>0</v>
      </c>
      <c r="AJ43" s="184">
        <f>'Q (t)'!S43</f>
        <v>0</v>
      </c>
      <c r="AK43" s="178">
        <f>'Q (t)'!T43</f>
        <v>0</v>
      </c>
      <c r="AL43" s="184">
        <f>'Q (t)'!U43</f>
        <v>0</v>
      </c>
      <c r="AM43" s="179">
        <f>'Q (t)'!V43</f>
        <v>0</v>
      </c>
      <c r="AO43" s="183">
        <f t="shared" si="8"/>
        <v>0</v>
      </c>
      <c r="AP43" s="184">
        <f t="shared" si="24"/>
        <v>0</v>
      </c>
      <c r="AQ43" s="178">
        <f t="shared" si="24"/>
        <v>0</v>
      </c>
      <c r="AR43" s="178">
        <f t="shared" si="24"/>
        <v>0</v>
      </c>
      <c r="AS43" s="179">
        <f t="shared" si="24"/>
        <v>0</v>
      </c>
      <c r="AT43" s="178">
        <f t="shared" si="24"/>
        <v>0</v>
      </c>
      <c r="AU43" s="178">
        <f t="shared" si="24"/>
        <v>0</v>
      </c>
      <c r="AV43" s="178">
        <f t="shared" si="24"/>
        <v>0</v>
      </c>
      <c r="AW43" s="179">
        <f t="shared" si="24"/>
        <v>0</v>
      </c>
      <c r="AX43" s="178">
        <f t="shared" si="1"/>
        <v>0</v>
      </c>
      <c r="AY43" s="178">
        <f t="shared" si="2"/>
        <v>0</v>
      </c>
      <c r="AZ43" s="179">
        <f t="shared" si="3"/>
        <v>0</v>
      </c>
      <c r="BA43" s="184">
        <f t="shared" si="4"/>
        <v>0</v>
      </c>
      <c r="BB43" s="178">
        <f t="shared" si="5"/>
        <v>0</v>
      </c>
      <c r="BC43" s="184">
        <f t="shared" si="6"/>
        <v>0</v>
      </c>
      <c r="BD43" s="178">
        <f t="shared" si="7"/>
        <v>0</v>
      </c>
      <c r="BE43" s="244">
        <f t="shared" si="9"/>
        <v>0</v>
      </c>
      <c r="BF43" s="245">
        <f t="shared" si="10"/>
        <v>0</v>
      </c>
      <c r="BH43" s="252">
        <f>SUBTOTAL(9,BH44:BH47)</f>
        <v>0</v>
      </c>
      <c r="BI43" s="252">
        <f>SUBTOTAL(9,BI44:BI47)</f>
        <v>0</v>
      </c>
      <c r="BJ43" s="252">
        <f>SUBTOTAL(9,BJ44:BJ47)</f>
        <v>0</v>
      </c>
      <c r="BK43" s="252">
        <f>SUBTOTAL(9,BK44:BK47)</f>
        <v>0</v>
      </c>
      <c r="BL43" s="252">
        <f>SUBTOTAL(9,BL44:BL47)</f>
        <v>0</v>
      </c>
      <c r="BM43" s="257">
        <f t="shared" si="12"/>
        <v>0</v>
      </c>
      <c r="BO43" s="714" t="str">
        <f t="shared" si="11"/>
        <v/>
      </c>
    </row>
    <row r="44" spans="2:67" ht="15" customHeight="1" x14ac:dyDescent="0.25">
      <c r="B44" s="156">
        <f>B43+1</f>
        <v>1</v>
      </c>
      <c r="C44" s="180" t="s">
        <v>85</v>
      </c>
      <c r="D44" s="181" t="str">
        <f>C44</f>
        <v>LBSR</v>
      </c>
      <c r="E44" s="200" t="s">
        <v>86</v>
      </c>
      <c r="G44" s="850">
        <f>G33</f>
        <v>0.52049999999999996</v>
      </c>
      <c r="H44" s="859">
        <f>ROUND(H33*1.2,4)</f>
        <v>0.12189999999999999</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8"/>
        <v>0</v>
      </c>
      <c r="AP44" s="184">
        <f t="shared" si="24"/>
        <v>0</v>
      </c>
      <c r="AQ44" s="178">
        <f t="shared" si="24"/>
        <v>0</v>
      </c>
      <c r="AR44" s="178">
        <f t="shared" si="24"/>
        <v>0</v>
      </c>
      <c r="AS44" s="179">
        <f t="shared" si="24"/>
        <v>0</v>
      </c>
      <c r="AT44" s="178">
        <f t="shared" si="24"/>
        <v>0</v>
      </c>
      <c r="AU44" s="178">
        <f t="shared" si="24"/>
        <v>0</v>
      </c>
      <c r="AV44" s="178">
        <f t="shared" si="24"/>
        <v>0</v>
      </c>
      <c r="AW44" s="179">
        <f t="shared" si="24"/>
        <v>0</v>
      </c>
      <c r="AX44" s="178">
        <f t="shared" si="1"/>
        <v>0</v>
      </c>
      <c r="AY44" s="178">
        <f t="shared" si="2"/>
        <v>0</v>
      </c>
      <c r="AZ44" s="179">
        <f t="shared" si="3"/>
        <v>0</v>
      </c>
      <c r="BA44" s="184">
        <f t="shared" si="4"/>
        <v>0</v>
      </c>
      <c r="BB44" s="178">
        <f t="shared" si="5"/>
        <v>0</v>
      </c>
      <c r="BC44" s="184">
        <f t="shared" si="6"/>
        <v>0</v>
      </c>
      <c r="BD44" s="178">
        <f t="shared" si="7"/>
        <v>0</v>
      </c>
      <c r="BE44" s="244">
        <f t="shared" si="9"/>
        <v>0</v>
      </c>
      <c r="BF44" s="245">
        <f t="shared" si="10"/>
        <v>0</v>
      </c>
      <c r="BH44" s="255">
        <f>SUM(AO44)</f>
        <v>0</v>
      </c>
      <c r="BI44" s="255">
        <f>SUM(AP44:AS44)</f>
        <v>0</v>
      </c>
      <c r="BJ44" s="255">
        <f>SUM(AT44:AW44)</f>
        <v>0</v>
      </c>
      <c r="BK44" s="256">
        <f>SUM(AX44:BB44)</f>
        <v>0</v>
      </c>
      <c r="BL44" s="262">
        <f>SUM(BC44:BD44)</f>
        <v>0</v>
      </c>
      <c r="BM44" s="257">
        <f t="shared" si="12"/>
        <v>0</v>
      </c>
      <c r="BO44" s="714" t="str">
        <f t="shared" si="11"/>
        <v/>
      </c>
    </row>
    <row r="45" spans="2:67" ht="15" customHeight="1" x14ac:dyDescent="0.25">
      <c r="B45" s="156">
        <f>B44+1</f>
        <v>2</v>
      </c>
      <c r="C45" s="180" t="s">
        <v>87</v>
      </c>
      <c r="D45" s="181" t="str">
        <f>C45</f>
        <v>LBSRCL</v>
      </c>
      <c r="E45" s="200" t="s">
        <v>88</v>
      </c>
      <c r="G45" s="850">
        <f>G34</f>
        <v>0.52049999999999996</v>
      </c>
      <c r="H45" s="859">
        <f>ROUND(H34*1.2,4)</f>
        <v>0.12189999999999999</v>
      </c>
      <c r="I45" s="461"/>
      <c r="J45" s="461"/>
      <c r="K45" s="462"/>
      <c r="L45" s="851">
        <f>L19</f>
        <v>4.3999999999999997E-2</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8"/>
        <v>0</v>
      </c>
      <c r="AP45" s="184">
        <f t="shared" si="24"/>
        <v>0</v>
      </c>
      <c r="AQ45" s="178">
        <f t="shared" si="24"/>
        <v>0</v>
      </c>
      <c r="AR45" s="178">
        <f t="shared" si="24"/>
        <v>0</v>
      </c>
      <c r="AS45" s="179">
        <f t="shared" si="24"/>
        <v>0</v>
      </c>
      <c r="AT45" s="178">
        <f t="shared" si="24"/>
        <v>0</v>
      </c>
      <c r="AU45" s="178">
        <f t="shared" si="24"/>
        <v>0</v>
      </c>
      <c r="AV45" s="178">
        <f t="shared" si="24"/>
        <v>0</v>
      </c>
      <c r="AW45" s="179">
        <f t="shared" si="24"/>
        <v>0</v>
      </c>
      <c r="AX45" s="178">
        <f t="shared" si="1"/>
        <v>0</v>
      </c>
      <c r="AY45" s="178">
        <f t="shared" si="2"/>
        <v>0</v>
      </c>
      <c r="AZ45" s="179">
        <f t="shared" si="3"/>
        <v>0</v>
      </c>
      <c r="BA45" s="184">
        <f t="shared" si="4"/>
        <v>0</v>
      </c>
      <c r="BB45" s="178">
        <f t="shared" si="5"/>
        <v>0</v>
      </c>
      <c r="BC45" s="184">
        <f t="shared" si="6"/>
        <v>0</v>
      </c>
      <c r="BD45" s="178">
        <f t="shared" si="7"/>
        <v>0</v>
      </c>
      <c r="BE45" s="244">
        <f t="shared" si="9"/>
        <v>0</v>
      </c>
      <c r="BF45" s="245">
        <f t="shared" si="10"/>
        <v>0</v>
      </c>
      <c r="BH45" s="255">
        <f>SUM(AO45)</f>
        <v>0</v>
      </c>
      <c r="BI45" s="255">
        <f>SUM(AP45:AS45)</f>
        <v>0</v>
      </c>
      <c r="BJ45" s="255">
        <f>SUM(AT45:AW45)</f>
        <v>0</v>
      </c>
      <c r="BK45" s="256">
        <f>SUM(AX45:BB45)</f>
        <v>0</v>
      </c>
      <c r="BL45" s="262">
        <f>SUM(BC45:BD45)</f>
        <v>0</v>
      </c>
      <c r="BM45" s="257">
        <f t="shared" si="12"/>
        <v>0</v>
      </c>
      <c r="BO45" s="714" t="str">
        <f t="shared" si="11"/>
        <v/>
      </c>
    </row>
    <row r="46" spans="2:67" ht="15" customHeight="1" x14ac:dyDescent="0.25">
      <c r="B46" s="156">
        <f>B45+1</f>
        <v>3</v>
      </c>
      <c r="C46" s="180" t="s">
        <v>89</v>
      </c>
      <c r="D46" s="181" t="str">
        <f>C46</f>
        <v>LB2R</v>
      </c>
      <c r="E46" s="200" t="s">
        <v>90</v>
      </c>
      <c r="G46" s="850">
        <f>G35</f>
        <v>0.52049999999999996</v>
      </c>
      <c r="H46" s="479"/>
      <c r="I46" s="860">
        <f>ROUND(I35*1.2,4)</f>
        <v>0.13750000000000001</v>
      </c>
      <c r="J46" s="461"/>
      <c r="K46" s="861">
        <f>ROUND(K35*1.2,4)</f>
        <v>6.88E-2</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8"/>
        <v>0</v>
      </c>
      <c r="AP46" s="184">
        <f t="shared" si="24"/>
        <v>0</v>
      </c>
      <c r="AQ46" s="178">
        <f t="shared" si="24"/>
        <v>0</v>
      </c>
      <c r="AR46" s="178">
        <f t="shared" si="24"/>
        <v>0</v>
      </c>
      <c r="AS46" s="179">
        <f t="shared" si="24"/>
        <v>0</v>
      </c>
      <c r="AT46" s="178">
        <f t="shared" si="24"/>
        <v>0</v>
      </c>
      <c r="AU46" s="178">
        <f t="shared" si="24"/>
        <v>0</v>
      </c>
      <c r="AV46" s="178">
        <f t="shared" si="24"/>
        <v>0</v>
      </c>
      <c r="AW46" s="179">
        <f t="shared" si="24"/>
        <v>0</v>
      </c>
      <c r="AX46" s="178">
        <f t="shared" si="1"/>
        <v>0</v>
      </c>
      <c r="AY46" s="178">
        <f t="shared" si="2"/>
        <v>0</v>
      </c>
      <c r="AZ46" s="179">
        <f t="shared" si="3"/>
        <v>0</v>
      </c>
      <c r="BA46" s="184">
        <f t="shared" si="4"/>
        <v>0</v>
      </c>
      <c r="BB46" s="178">
        <f t="shared" si="5"/>
        <v>0</v>
      </c>
      <c r="BC46" s="184">
        <f t="shared" si="6"/>
        <v>0</v>
      </c>
      <c r="BD46" s="178">
        <f t="shared" si="7"/>
        <v>0</v>
      </c>
      <c r="BE46" s="244">
        <f t="shared" si="9"/>
        <v>0</v>
      </c>
      <c r="BF46" s="245">
        <f t="shared" si="10"/>
        <v>0</v>
      </c>
      <c r="BH46" s="255">
        <f>SUM(AO46)</f>
        <v>0</v>
      </c>
      <c r="BI46" s="255">
        <f>SUM(AP46:AS46)</f>
        <v>0</v>
      </c>
      <c r="BJ46" s="255">
        <f>SUM(AT46:AW46)</f>
        <v>0</v>
      </c>
      <c r="BK46" s="256">
        <f>SUM(AX46:BB46)</f>
        <v>0</v>
      </c>
      <c r="BL46" s="262">
        <f>SUM(BC46:BD46)</f>
        <v>0</v>
      </c>
      <c r="BM46" s="257">
        <f t="shared" si="12"/>
        <v>0</v>
      </c>
      <c r="BO46" s="714" t="str">
        <f t="shared" si="11"/>
        <v/>
      </c>
    </row>
    <row r="47" spans="2:67" ht="15" customHeight="1" x14ac:dyDescent="0.25">
      <c r="B47" s="156">
        <f>B46+1</f>
        <v>4</v>
      </c>
      <c r="C47" s="180" t="s">
        <v>91</v>
      </c>
      <c r="D47" s="181" t="str">
        <f>C47</f>
        <v>LB2RCL</v>
      </c>
      <c r="E47" s="209" t="s">
        <v>92</v>
      </c>
      <c r="G47" s="850">
        <f>G36</f>
        <v>0.52049999999999996</v>
      </c>
      <c r="H47" s="479"/>
      <c r="I47" s="860">
        <f>ROUND(I36*1.2,4)</f>
        <v>0.13750000000000001</v>
      </c>
      <c r="J47" s="461"/>
      <c r="K47" s="861">
        <f>ROUND(K36*1.2,4)</f>
        <v>6.88E-2</v>
      </c>
      <c r="L47" s="851">
        <f>L19</f>
        <v>4.3999999999999997E-2</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8"/>
        <v>0</v>
      </c>
      <c r="AP47" s="184">
        <f t="shared" si="24"/>
        <v>0</v>
      </c>
      <c r="AQ47" s="178">
        <f t="shared" si="24"/>
        <v>0</v>
      </c>
      <c r="AR47" s="178">
        <f t="shared" si="24"/>
        <v>0</v>
      </c>
      <c r="AS47" s="179">
        <f t="shared" si="24"/>
        <v>0</v>
      </c>
      <c r="AT47" s="178">
        <f t="shared" si="24"/>
        <v>0</v>
      </c>
      <c r="AU47" s="178">
        <f t="shared" si="24"/>
        <v>0</v>
      </c>
      <c r="AV47" s="178">
        <f t="shared" si="24"/>
        <v>0</v>
      </c>
      <c r="AW47" s="179">
        <f t="shared" si="24"/>
        <v>0</v>
      </c>
      <c r="AX47" s="178">
        <f t="shared" si="1"/>
        <v>0</v>
      </c>
      <c r="AY47" s="178">
        <f t="shared" si="2"/>
        <v>0</v>
      </c>
      <c r="AZ47" s="179">
        <f t="shared" si="3"/>
        <v>0</v>
      </c>
      <c r="BA47" s="184">
        <f t="shared" si="4"/>
        <v>0</v>
      </c>
      <c r="BB47" s="178">
        <f t="shared" si="5"/>
        <v>0</v>
      </c>
      <c r="BC47" s="184">
        <f t="shared" si="6"/>
        <v>0</v>
      </c>
      <c r="BD47" s="178">
        <f t="shared" si="7"/>
        <v>0</v>
      </c>
      <c r="BE47" s="244">
        <f t="shared" si="9"/>
        <v>0</v>
      </c>
      <c r="BF47" s="245">
        <f t="shared" si="10"/>
        <v>0</v>
      </c>
      <c r="BH47" s="255">
        <f>SUM(AO47)</f>
        <v>0</v>
      </c>
      <c r="BI47" s="255">
        <f>SUM(AP47:AS47)</f>
        <v>0</v>
      </c>
      <c r="BJ47" s="255">
        <f>SUM(AT47:AW47)</f>
        <v>0</v>
      </c>
      <c r="BK47" s="256">
        <f>SUM(AX47:BB47)</f>
        <v>0</v>
      </c>
      <c r="BL47" s="262">
        <f>SUM(BC47:BD47)</f>
        <v>0</v>
      </c>
      <c r="BM47" s="257">
        <f t="shared" si="12"/>
        <v>0</v>
      </c>
      <c r="BO47" s="714" t="str">
        <f t="shared" si="11"/>
        <v/>
      </c>
    </row>
    <row r="48" spans="2:67" ht="15" customHeight="1" x14ac:dyDescent="0.25">
      <c r="B48" s="156"/>
      <c r="C48" s="126" t="s">
        <v>93</v>
      </c>
      <c r="D48" s="173"/>
      <c r="E48" s="202"/>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8"/>
        <v>0</v>
      </c>
      <c r="AP48" s="184">
        <f t="shared" si="24"/>
        <v>0</v>
      </c>
      <c r="AQ48" s="178">
        <f t="shared" si="24"/>
        <v>0</v>
      </c>
      <c r="AR48" s="178">
        <f t="shared" si="24"/>
        <v>0</v>
      </c>
      <c r="AS48" s="179">
        <f t="shared" si="24"/>
        <v>0</v>
      </c>
      <c r="AT48" s="178">
        <f t="shared" si="24"/>
        <v>0</v>
      </c>
      <c r="AU48" s="178">
        <f t="shared" si="24"/>
        <v>0</v>
      </c>
      <c r="AV48" s="178">
        <f t="shared" si="24"/>
        <v>0</v>
      </c>
      <c r="AW48" s="179">
        <f t="shared" si="24"/>
        <v>0</v>
      </c>
      <c r="AX48" s="178">
        <f t="shared" si="1"/>
        <v>0</v>
      </c>
      <c r="AY48" s="178">
        <f t="shared" si="2"/>
        <v>0</v>
      </c>
      <c r="AZ48" s="179">
        <f t="shared" si="3"/>
        <v>0</v>
      </c>
      <c r="BA48" s="184">
        <f t="shared" si="4"/>
        <v>0</v>
      </c>
      <c r="BB48" s="178">
        <f t="shared" si="5"/>
        <v>0</v>
      </c>
      <c r="BC48" s="184">
        <f t="shared" si="6"/>
        <v>0</v>
      </c>
      <c r="BD48" s="178">
        <f t="shared" si="7"/>
        <v>0</v>
      </c>
      <c r="BE48" s="244">
        <f t="shared" si="9"/>
        <v>0</v>
      </c>
      <c r="BF48" s="245">
        <f t="shared" si="10"/>
        <v>0</v>
      </c>
      <c r="BH48" s="252">
        <f>SUBTOTAL(9,BH49:BH69)</f>
        <v>14201.704554000002</v>
      </c>
      <c r="BI48" s="252">
        <f>SUBTOTAL(9,BI49:BI69)</f>
        <v>90573.15469999997</v>
      </c>
      <c r="BJ48" s="252">
        <f>SUBTOTAL(9,BJ49:BJ69)</f>
        <v>0</v>
      </c>
      <c r="BK48" s="252">
        <f>SUBTOTAL(9,BK49:BK69)</f>
        <v>70546.330466099986</v>
      </c>
      <c r="BL48" s="252">
        <f>SUBTOTAL(9,BL49:BL69)</f>
        <v>0</v>
      </c>
      <c r="BM48" s="257">
        <f t="shared" si="12"/>
        <v>175321.18972009997</v>
      </c>
      <c r="BO48" s="714" t="str">
        <f t="shared" si="11"/>
        <v/>
      </c>
    </row>
    <row r="49" spans="1:67" ht="15" customHeight="1" x14ac:dyDescent="0.25">
      <c r="B49" s="156">
        <f>B47+1</f>
        <v>5</v>
      </c>
      <c r="C49" s="180" t="s">
        <v>579</v>
      </c>
      <c r="D49" s="181" t="s">
        <v>580</v>
      </c>
      <c r="E49" s="210" t="s">
        <v>94</v>
      </c>
      <c r="G49" s="477">
        <f>ROUND('[15]DUoS (t)'!G47*$BT$133,4)</f>
        <v>6.7949999999999999</v>
      </c>
      <c r="H49" s="479"/>
      <c r="I49" s="483">
        <f>ROUND('[15]DUoS (t)'!I47*$BT$133,4)</f>
        <v>4.1799999999999997E-2</v>
      </c>
      <c r="J49" s="461"/>
      <c r="K49" s="484">
        <f>ROUND('[15]DUoS (t)'!K47*$BT$133,4)</f>
        <v>2.6100000000000002E-2</v>
      </c>
      <c r="L49" s="461"/>
      <c r="M49" s="461"/>
      <c r="N49" s="461"/>
      <c r="O49" s="462"/>
      <c r="P49" s="461"/>
      <c r="Q49" s="461"/>
      <c r="R49" s="462"/>
      <c r="S49" s="478">
        <f>ROUND('[15]DUoS (t)'!S47*$BT$133,4)</f>
        <v>0.14380000000000001</v>
      </c>
      <c r="T49" s="483">
        <f>ROUND('[15]DUoS (t)'!T47*$BT$133,4)</f>
        <v>0.1028</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8"/>
        <v>12462.879375</v>
      </c>
      <c r="AP49" s="184">
        <f t="shared" si="24"/>
        <v>0</v>
      </c>
      <c r="AQ49" s="178">
        <f t="shared" si="24"/>
        <v>53915.688199999997</v>
      </c>
      <c r="AR49" s="178">
        <f t="shared" si="24"/>
        <v>0</v>
      </c>
      <c r="AS49" s="179">
        <f t="shared" si="24"/>
        <v>30060.596700000002</v>
      </c>
      <c r="AT49" s="178">
        <f t="shared" si="24"/>
        <v>0</v>
      </c>
      <c r="AU49" s="178">
        <f t="shared" si="24"/>
        <v>0</v>
      </c>
      <c r="AV49" s="178">
        <f t="shared" si="24"/>
        <v>0</v>
      </c>
      <c r="AW49" s="179">
        <f t="shared" si="24"/>
        <v>0</v>
      </c>
      <c r="AX49" s="178">
        <f t="shared" si="1"/>
        <v>0</v>
      </c>
      <c r="AY49" s="178">
        <f t="shared" si="2"/>
        <v>0</v>
      </c>
      <c r="AZ49" s="179">
        <f t="shared" si="3"/>
        <v>0</v>
      </c>
      <c r="BA49" s="184">
        <f t="shared" si="4"/>
        <v>32669.430923000004</v>
      </c>
      <c r="BB49" s="178">
        <f t="shared" si="5"/>
        <v>31979.400247999998</v>
      </c>
      <c r="BC49" s="184">
        <f t="shared" si="6"/>
        <v>0</v>
      </c>
      <c r="BD49" s="178">
        <f t="shared" si="7"/>
        <v>0</v>
      </c>
      <c r="BE49" s="244">
        <f t="shared" si="9"/>
        <v>5025</v>
      </c>
      <c r="BF49" s="245">
        <f t="shared" si="10"/>
        <v>2441596</v>
      </c>
      <c r="BH49" s="255">
        <f t="shared" ref="BH49:BH69" si="25">SUM(AO49)</f>
        <v>12462.879375</v>
      </c>
      <c r="BI49" s="255">
        <f t="shared" ref="BI49:BI69" si="26">SUM(AP49:AS49)</f>
        <v>83976.284899999999</v>
      </c>
      <c r="BJ49" s="255">
        <f t="shared" ref="BJ49:BJ69" si="27">SUM(AT49:AW49)</f>
        <v>0</v>
      </c>
      <c r="BK49" s="256">
        <f t="shared" ref="BK49:BK69" si="28">SUM(AX49:BB49)</f>
        <v>64648.831170999998</v>
      </c>
      <c r="BL49" s="262">
        <f t="shared" ref="BL49:BL69" si="29">SUM(BC49:BD49)</f>
        <v>0</v>
      </c>
      <c r="BM49" s="257">
        <f t="shared" si="12"/>
        <v>161087.99544600002</v>
      </c>
      <c r="BO49" s="714">
        <f t="shared" si="11"/>
        <v>65.976515134362941</v>
      </c>
    </row>
    <row r="50" spans="1:67" ht="15" customHeight="1" x14ac:dyDescent="0.25">
      <c r="B50" s="156">
        <f>B49+1</f>
        <v>6</v>
      </c>
      <c r="C50" s="180" t="s">
        <v>577</v>
      </c>
      <c r="D50" s="181" t="s">
        <v>581</v>
      </c>
      <c r="E50" s="210" t="s">
        <v>95</v>
      </c>
      <c r="G50" s="477">
        <f>ROUND('[15]DUoS (t)'!G48*$BT$133,4)</f>
        <v>6.7949999999999999</v>
      </c>
      <c r="H50" s="479"/>
      <c r="I50" s="483">
        <f>ROUND('[15]DUoS (t)'!I48*$BT$133,4)</f>
        <v>4.1799999999999997E-2</v>
      </c>
      <c r="J50" s="461"/>
      <c r="K50" s="484">
        <f>ROUND('[15]DUoS (t)'!K48*$BT$133,4)</f>
        <v>2.6100000000000002E-2</v>
      </c>
      <c r="L50" s="461"/>
      <c r="M50" s="461"/>
      <c r="N50" s="461"/>
      <c r="O50" s="462"/>
      <c r="P50" s="483">
        <f>ROUND('[15]DUoS (t)'!P48*$BT$133,4)</f>
        <v>0.52149999999999996</v>
      </c>
      <c r="Q50" s="461"/>
      <c r="R50" s="462"/>
      <c r="S50" s="479"/>
      <c r="T50" s="483">
        <f>ROUND('[15]DUoS (t)'!T48*$BT$133,4)</f>
        <v>0.1028</v>
      </c>
      <c r="U50" s="480"/>
      <c r="V50" s="481"/>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8"/>
        <v>687.00847499999998</v>
      </c>
      <c r="AP50" s="184">
        <f t="shared" si="24"/>
        <v>0</v>
      </c>
      <c r="AQ50" s="178">
        <f>I50*Z50</f>
        <v>3027.1559999999999</v>
      </c>
      <c r="AR50" s="178">
        <f t="shared" si="24"/>
        <v>0</v>
      </c>
      <c r="AS50" s="179">
        <f t="shared" si="24"/>
        <v>1363.203</v>
      </c>
      <c r="AT50" s="178">
        <f t="shared" si="24"/>
        <v>0</v>
      </c>
      <c r="AU50" s="178">
        <f t="shared" si="24"/>
        <v>0</v>
      </c>
      <c r="AV50" s="178">
        <f t="shared" si="24"/>
        <v>0</v>
      </c>
      <c r="AW50" s="179">
        <f t="shared" si="24"/>
        <v>0</v>
      </c>
      <c r="AX50" s="178">
        <f t="shared" si="1"/>
        <v>1790.9316494999998</v>
      </c>
      <c r="AY50" s="178">
        <f t="shared" si="2"/>
        <v>0</v>
      </c>
      <c r="AZ50" s="179">
        <f t="shared" si="3"/>
        <v>0</v>
      </c>
      <c r="BA50" s="184">
        <f t="shared" si="4"/>
        <v>0</v>
      </c>
      <c r="BB50" s="178">
        <f t="shared" si="5"/>
        <v>2818.8027280000001</v>
      </c>
      <c r="BC50" s="184">
        <f t="shared" si="6"/>
        <v>0</v>
      </c>
      <c r="BD50" s="178">
        <f t="shared" si="7"/>
        <v>0</v>
      </c>
      <c r="BE50" s="244">
        <f t="shared" si="9"/>
        <v>277</v>
      </c>
      <c r="BF50" s="245">
        <f t="shared" si="10"/>
        <v>124650</v>
      </c>
      <c r="BH50" s="255">
        <f t="shared" si="25"/>
        <v>687.00847499999998</v>
      </c>
      <c r="BI50" s="255">
        <f t="shared" si="26"/>
        <v>4390.3590000000004</v>
      </c>
      <c r="BJ50" s="255">
        <f t="shared" si="27"/>
        <v>0</v>
      </c>
      <c r="BK50" s="256">
        <f t="shared" si="28"/>
        <v>4609.7343774999999</v>
      </c>
      <c r="BL50" s="262">
        <f t="shared" si="29"/>
        <v>0</v>
      </c>
      <c r="BM50" s="257">
        <f t="shared" si="12"/>
        <v>9687.1018524999999</v>
      </c>
      <c r="BO50" s="714">
        <f t="shared" si="11"/>
        <v>77.714415182511019</v>
      </c>
    </row>
    <row r="51" spans="1:67" ht="15" customHeight="1" x14ac:dyDescent="0.25">
      <c r="B51" s="156">
        <f>B50+1</f>
        <v>7</v>
      </c>
      <c r="C51" s="842" t="s">
        <v>578</v>
      </c>
      <c r="D51" s="843" t="s">
        <v>582</v>
      </c>
      <c r="E51" s="844" t="s">
        <v>96</v>
      </c>
      <c r="G51" s="482"/>
      <c r="H51" s="479"/>
      <c r="I51" s="461"/>
      <c r="J51" s="461"/>
      <c r="K51" s="462"/>
      <c r="L51" s="461"/>
      <c r="M51" s="461"/>
      <c r="N51" s="461"/>
      <c r="O51" s="462"/>
      <c r="P51" s="461"/>
      <c r="Q51" s="461"/>
      <c r="R51" s="462"/>
      <c r="S51" s="479"/>
      <c r="T51" s="461"/>
      <c r="U51" s="479"/>
      <c r="V51" s="462"/>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8"/>
        <v>0</v>
      </c>
      <c r="AP51" s="184">
        <f t="shared" ref="AP51:AW68" si="30">H51*Y51</f>
        <v>0</v>
      </c>
      <c r="AQ51" s="178">
        <f t="shared" si="30"/>
        <v>0</v>
      </c>
      <c r="AR51" s="178">
        <f t="shared" si="30"/>
        <v>0</v>
      </c>
      <c r="AS51" s="179">
        <f t="shared" si="30"/>
        <v>0</v>
      </c>
      <c r="AT51" s="178">
        <f t="shared" si="30"/>
        <v>0</v>
      </c>
      <c r="AU51" s="178">
        <f t="shared" si="30"/>
        <v>0</v>
      </c>
      <c r="AV51" s="178">
        <f t="shared" si="30"/>
        <v>0</v>
      </c>
      <c r="AW51" s="179">
        <f t="shared" si="30"/>
        <v>0</v>
      </c>
      <c r="AX51" s="178">
        <f t="shared" si="1"/>
        <v>0</v>
      </c>
      <c r="AY51" s="178">
        <f t="shared" si="2"/>
        <v>0</v>
      </c>
      <c r="AZ51" s="179">
        <f t="shared" si="3"/>
        <v>0</v>
      </c>
      <c r="BA51" s="184">
        <f t="shared" si="4"/>
        <v>0</v>
      </c>
      <c r="BB51" s="178">
        <f t="shared" si="5"/>
        <v>0</v>
      </c>
      <c r="BC51" s="184">
        <f t="shared" si="6"/>
        <v>0</v>
      </c>
      <c r="BD51" s="178">
        <f t="shared" si="7"/>
        <v>0</v>
      </c>
      <c r="BE51" s="244">
        <f t="shared" si="9"/>
        <v>0</v>
      </c>
      <c r="BF51" s="245">
        <f t="shared" si="10"/>
        <v>0</v>
      </c>
      <c r="BH51" s="255">
        <f t="shared" si="25"/>
        <v>0</v>
      </c>
      <c r="BI51" s="255">
        <f t="shared" si="26"/>
        <v>0</v>
      </c>
      <c r="BJ51" s="255">
        <f t="shared" si="27"/>
        <v>0</v>
      </c>
      <c r="BK51" s="256">
        <f t="shared" si="28"/>
        <v>0</v>
      </c>
      <c r="BL51" s="262">
        <f t="shared" si="29"/>
        <v>0</v>
      </c>
      <c r="BM51" s="257">
        <f t="shared" si="12"/>
        <v>0</v>
      </c>
      <c r="BO51" s="714" t="str">
        <f t="shared" si="11"/>
        <v/>
      </c>
    </row>
    <row r="52" spans="1:67" ht="15" customHeight="1" x14ac:dyDescent="0.25">
      <c r="B52" s="156">
        <f>B51+1</f>
        <v>8</v>
      </c>
      <c r="C52" s="180" t="s">
        <v>97</v>
      </c>
      <c r="D52" s="181" t="s">
        <v>97</v>
      </c>
      <c r="E52" s="210" t="s">
        <v>98</v>
      </c>
      <c r="G52" s="850">
        <f>ROUND('[15]2020-25 Pricing Schedule'!$J$76/Days_Year,4)</f>
        <v>5.4794</v>
      </c>
      <c r="H52" s="859">
        <f>'[15]2020-25 Pricing Schedule'!$J$79</f>
        <v>5.8699999999999995E-2</v>
      </c>
      <c r="I52" s="461"/>
      <c r="J52" s="461"/>
      <c r="K52" s="462"/>
      <c r="L52" s="461"/>
      <c r="M52" s="461"/>
      <c r="N52" s="461"/>
      <c r="O52" s="462"/>
      <c r="P52" s="461"/>
      <c r="Q52" s="860">
        <f>'DUoS (t-1)'!Q52</f>
        <v>0.30940000000000001</v>
      </c>
      <c r="R52" s="861">
        <f>'DUoS (t-1)'!R52</f>
        <v>0.15310000000000001</v>
      </c>
      <c r="S52" s="479"/>
      <c r="T52" s="461"/>
      <c r="U52" s="480"/>
      <c r="V52" s="481"/>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8"/>
        <v>67.999354000000011</v>
      </c>
      <c r="AP52" s="184">
        <f t="shared" si="30"/>
        <v>587</v>
      </c>
      <c r="AQ52" s="178">
        <f t="shared" si="30"/>
        <v>0</v>
      </c>
      <c r="AR52" s="178">
        <f t="shared" si="30"/>
        <v>0</v>
      </c>
      <c r="AS52" s="179">
        <f t="shared" si="30"/>
        <v>0</v>
      </c>
      <c r="AT52" s="178">
        <f t="shared" si="30"/>
        <v>0</v>
      </c>
      <c r="AU52" s="178">
        <f t="shared" si="30"/>
        <v>0</v>
      </c>
      <c r="AV52" s="178">
        <f t="shared" si="30"/>
        <v>0</v>
      </c>
      <c r="AW52" s="179">
        <f t="shared" si="30"/>
        <v>0</v>
      </c>
      <c r="AX52" s="178">
        <f t="shared" si="1"/>
        <v>0</v>
      </c>
      <c r="AY52" s="178">
        <f t="shared" si="2"/>
        <v>234.48466859999999</v>
      </c>
      <c r="AZ52" s="179">
        <f t="shared" si="3"/>
        <v>249.84618650000002</v>
      </c>
      <c r="BA52" s="184">
        <f t="shared" si="4"/>
        <v>0</v>
      </c>
      <c r="BB52" s="178">
        <f t="shared" si="5"/>
        <v>0</v>
      </c>
      <c r="BC52" s="184">
        <f t="shared" si="6"/>
        <v>0</v>
      </c>
      <c r="BD52" s="178">
        <f t="shared" si="7"/>
        <v>0</v>
      </c>
      <c r="BE52" s="244">
        <f t="shared" si="9"/>
        <v>34</v>
      </c>
      <c r="BF52" s="245">
        <f t="shared" ref="BF52:BF79" si="31">SUM(Y52:AF52)</f>
        <v>10000</v>
      </c>
      <c r="BH52" s="255">
        <f t="shared" si="25"/>
        <v>67.999354000000011</v>
      </c>
      <c r="BI52" s="255">
        <f t="shared" si="26"/>
        <v>587</v>
      </c>
      <c r="BJ52" s="255">
        <f t="shared" si="27"/>
        <v>0</v>
      </c>
      <c r="BK52" s="256">
        <f t="shared" si="28"/>
        <v>484.33085510000001</v>
      </c>
      <c r="BL52" s="262">
        <f t="shared" si="29"/>
        <v>0</v>
      </c>
      <c r="BM52" s="257">
        <f t="shared" si="12"/>
        <v>1139.3302091</v>
      </c>
      <c r="BO52" s="714">
        <f t="shared" si="11"/>
        <v>113.93302091000001</v>
      </c>
    </row>
    <row r="53" spans="1:67" ht="15" customHeight="1" x14ac:dyDescent="0.25">
      <c r="B53" s="156">
        <f>B52+1</f>
        <v>9</v>
      </c>
      <c r="C53" s="180" t="s">
        <v>583</v>
      </c>
      <c r="D53" s="181" t="s">
        <v>584</v>
      </c>
      <c r="E53" s="210" t="s">
        <v>99</v>
      </c>
      <c r="G53" s="477">
        <f>ROUND('[15]DUoS (t)'!G51*$BT$133,4)</f>
        <v>6.7949999999999999</v>
      </c>
      <c r="H53" s="479"/>
      <c r="I53" s="483">
        <f>ROUND('[15]DUoS (t)'!I51*$BT$133,4)</f>
        <v>0</v>
      </c>
      <c r="J53" s="461"/>
      <c r="K53" s="484">
        <f>ROUND('[15]DUoS (t)'!K51*$BT$133,4)</f>
        <v>0</v>
      </c>
      <c r="L53" s="461"/>
      <c r="M53" s="461"/>
      <c r="N53" s="461"/>
      <c r="O53" s="462"/>
      <c r="P53" s="461"/>
      <c r="Q53" s="461"/>
      <c r="R53" s="462"/>
      <c r="S53" s="478">
        <f>ROUND('[15]DUoS (t)'!S51*$BT$133,4)</f>
        <v>0.14380000000000001</v>
      </c>
      <c r="T53" s="483">
        <f>ROUND('[15]DUoS (t)'!T51*$BT$133,4)</f>
        <v>0.1028</v>
      </c>
      <c r="U53" s="480"/>
      <c r="V53" s="481"/>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8"/>
        <v>9.9207000000000001</v>
      </c>
      <c r="AP53" s="184">
        <f t="shared" si="30"/>
        <v>0</v>
      </c>
      <c r="AQ53" s="178">
        <f t="shared" si="30"/>
        <v>0</v>
      </c>
      <c r="AR53" s="178">
        <f t="shared" si="30"/>
        <v>0</v>
      </c>
      <c r="AS53" s="179">
        <f t="shared" si="30"/>
        <v>0</v>
      </c>
      <c r="AT53" s="178">
        <f t="shared" si="30"/>
        <v>0</v>
      </c>
      <c r="AU53" s="178">
        <f t="shared" si="30"/>
        <v>0</v>
      </c>
      <c r="AV53" s="178">
        <f t="shared" si="30"/>
        <v>0</v>
      </c>
      <c r="AW53" s="179">
        <f t="shared" si="30"/>
        <v>0</v>
      </c>
      <c r="AX53" s="178">
        <f t="shared" si="1"/>
        <v>0</v>
      </c>
      <c r="AY53" s="178">
        <f t="shared" si="2"/>
        <v>0</v>
      </c>
      <c r="AZ53" s="179">
        <f t="shared" si="3"/>
        <v>0</v>
      </c>
      <c r="BA53" s="184">
        <f t="shared" si="4"/>
        <v>0</v>
      </c>
      <c r="BB53" s="178">
        <f t="shared" si="5"/>
        <v>16.772333999999997</v>
      </c>
      <c r="BC53" s="184">
        <f t="shared" si="6"/>
        <v>0</v>
      </c>
      <c r="BD53" s="178">
        <f t="shared" si="7"/>
        <v>0</v>
      </c>
      <c r="BE53" s="244">
        <f t="shared" si="9"/>
        <v>4</v>
      </c>
      <c r="BF53" s="245">
        <f t="shared" si="31"/>
        <v>1300</v>
      </c>
      <c r="BH53" s="255">
        <f t="shared" si="25"/>
        <v>9.9207000000000001</v>
      </c>
      <c r="BI53" s="255">
        <f t="shared" si="26"/>
        <v>0</v>
      </c>
      <c r="BJ53" s="255">
        <f t="shared" si="27"/>
        <v>0</v>
      </c>
      <c r="BK53" s="256">
        <f t="shared" si="28"/>
        <v>16.772333999999997</v>
      </c>
      <c r="BL53" s="262">
        <f t="shared" si="29"/>
        <v>0</v>
      </c>
      <c r="BM53" s="257">
        <f t="shared" si="12"/>
        <v>26.693033999999997</v>
      </c>
      <c r="BO53" s="714">
        <f t="shared" si="11"/>
        <v>20.533103076923073</v>
      </c>
    </row>
    <row r="54" spans="1:67" ht="15" customHeight="1" x14ac:dyDescent="0.25">
      <c r="B54" s="156"/>
      <c r="C54" s="211"/>
      <c r="D54" s="212"/>
      <c r="E54" s="213"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ref="AO54:AO67" si="32">G54*X54/1000</f>
        <v>0</v>
      </c>
      <c r="AP54" s="184">
        <f t="shared" ref="AP54:AP67" si="33">H54*Y54</f>
        <v>0</v>
      </c>
      <c r="AQ54" s="178">
        <f t="shared" ref="AQ54:AQ67" si="34">I54*Z54</f>
        <v>0</v>
      </c>
      <c r="AR54" s="178">
        <f t="shared" ref="AR54:AR67" si="35">J54*AA54</f>
        <v>0</v>
      </c>
      <c r="AS54" s="179">
        <f t="shared" ref="AS54:AS67" si="36">K54*AB54</f>
        <v>0</v>
      </c>
      <c r="AT54" s="178">
        <f t="shared" ref="AT54:AT67" si="37">L54*AC54</f>
        <v>0</v>
      </c>
      <c r="AU54" s="178">
        <f t="shared" ref="AU54:AU67" si="38">M54*AD54</f>
        <v>0</v>
      </c>
      <c r="AV54" s="178">
        <f t="shared" ref="AV54:AV67" si="39">N54*AE54</f>
        <v>0</v>
      </c>
      <c r="AW54" s="179">
        <f t="shared" ref="AW54:AW67" si="40">O54*AF54</f>
        <v>0</v>
      </c>
      <c r="AX54" s="178">
        <f t="shared" ref="AX54:AX67" si="41">P54*AG54/1000</f>
        <v>0</v>
      </c>
      <c r="AY54" s="178">
        <f t="shared" ref="AY54:AY67" si="42">Q54*AH54/1000</f>
        <v>0</v>
      </c>
      <c r="AZ54" s="179">
        <f t="shared" ref="AZ54:AZ67" si="43">R54*AI54/1000</f>
        <v>0</v>
      </c>
      <c r="BA54" s="184">
        <f t="shared" ref="BA54:BA67" si="44">S54*AJ54/1000</f>
        <v>0</v>
      </c>
      <c r="BB54" s="178">
        <f t="shared" ref="BB54:BB67" si="45">T54*AK54/1000</f>
        <v>0</v>
      </c>
      <c r="BC54" s="184">
        <f t="shared" ref="BC54:BC67" si="46">U54*AL54/1000</f>
        <v>0</v>
      </c>
      <c r="BD54" s="178">
        <f t="shared" ref="BD54:BD67" si="47">V54*AM54/1000</f>
        <v>0</v>
      </c>
      <c r="BE54" s="244">
        <f t="shared" ref="BE54:BE67" si="48">X54/$BE$7</f>
        <v>0</v>
      </c>
      <c r="BF54" s="245">
        <f t="shared" ref="BF54:BF67" si="49">SUM(Y54:AF54)</f>
        <v>0</v>
      </c>
      <c r="BH54" s="255">
        <f t="shared" ref="BH54:BH67" si="50">SUM(AO54)</f>
        <v>0</v>
      </c>
      <c r="BI54" s="255">
        <f t="shared" ref="BI54:BI67" si="51">SUM(AP54:AS54)</f>
        <v>0</v>
      </c>
      <c r="BJ54" s="255">
        <f t="shared" ref="BJ54:BJ67" si="52">SUM(AT54:AW54)</f>
        <v>0</v>
      </c>
      <c r="BK54" s="256">
        <f t="shared" ref="BK54:BK67" si="53">SUM(AX54:BB54)</f>
        <v>0</v>
      </c>
      <c r="BL54" s="262">
        <f t="shared" ref="BL54:BL67" si="54">SUM(BC54:BD54)</f>
        <v>0</v>
      </c>
      <c r="BM54" s="257">
        <f t="shared" ref="BM54:BM67" si="55">SUM(BH54:BL54)</f>
        <v>0</v>
      </c>
      <c r="BO54" s="714" t="str">
        <f t="shared" ref="BO54:BO67" si="56">IF(BF54=0,"",BM54*1000/BF54)</f>
        <v/>
      </c>
    </row>
    <row r="55" spans="1:67" ht="15" customHeight="1" x14ac:dyDescent="0.25">
      <c r="A55" s="887"/>
      <c r="B55" s="19">
        <f>B53+1</f>
        <v>10</v>
      </c>
      <c r="C55" s="44" t="s">
        <v>705</v>
      </c>
      <c r="D55" s="45"/>
      <c r="E55" s="105" t="s">
        <v>94</v>
      </c>
      <c r="G55" s="862">
        <f>'Cust Specific'!R10</f>
        <v>128.43799999999999</v>
      </c>
      <c r="H55" s="479"/>
      <c r="I55" s="851">
        <f>'Cust Specific'!R13</f>
        <v>4.1799999999999997E-2</v>
      </c>
      <c r="J55" s="461"/>
      <c r="K55" s="852">
        <f>'Cust Specific'!R14</f>
        <v>2.6100000000000002E-2</v>
      </c>
      <c r="L55" s="461"/>
      <c r="M55" s="461"/>
      <c r="N55" s="461"/>
      <c r="O55" s="462"/>
      <c r="P55" s="461"/>
      <c r="Q55" s="461"/>
      <c r="R55" s="462"/>
      <c r="S55" s="863">
        <f>'Cust Specific'!R11</f>
        <v>0.14380000000000001</v>
      </c>
      <c r="T55" s="851">
        <f>'Cust Specific'!R12</f>
        <v>0</v>
      </c>
      <c r="U55" s="480"/>
      <c r="V55" s="481"/>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si="32"/>
        <v>46.879869999999997</v>
      </c>
      <c r="AP55" s="184">
        <f t="shared" si="33"/>
        <v>0</v>
      </c>
      <c r="AQ55" s="178">
        <f t="shared" si="34"/>
        <v>37.369199999999999</v>
      </c>
      <c r="AR55" s="178">
        <f t="shared" si="35"/>
        <v>0</v>
      </c>
      <c r="AS55" s="179">
        <f t="shared" si="36"/>
        <v>27.535500000000003</v>
      </c>
      <c r="AT55" s="178">
        <f t="shared" si="37"/>
        <v>0</v>
      </c>
      <c r="AU55" s="178">
        <f t="shared" si="38"/>
        <v>0</v>
      </c>
      <c r="AV55" s="178">
        <f t="shared" si="39"/>
        <v>0</v>
      </c>
      <c r="AW55" s="179">
        <f t="shared" si="40"/>
        <v>0</v>
      </c>
      <c r="AX55" s="178">
        <f t="shared" si="41"/>
        <v>0</v>
      </c>
      <c r="AY55" s="178">
        <f t="shared" si="42"/>
        <v>0</v>
      </c>
      <c r="AZ55" s="179">
        <f t="shared" si="43"/>
        <v>0</v>
      </c>
      <c r="BA55" s="184">
        <f t="shared" si="44"/>
        <v>44.404001999999998</v>
      </c>
      <c r="BB55" s="178">
        <f t="shared" si="45"/>
        <v>0</v>
      </c>
      <c r="BC55" s="184">
        <f t="shared" si="46"/>
        <v>0</v>
      </c>
      <c r="BD55" s="178">
        <f t="shared" si="47"/>
        <v>0</v>
      </c>
      <c r="BE55" s="244">
        <f t="shared" si="48"/>
        <v>1</v>
      </c>
      <c r="BF55" s="245">
        <f t="shared" si="49"/>
        <v>1949</v>
      </c>
      <c r="BH55" s="255">
        <f t="shared" si="50"/>
        <v>46.879869999999997</v>
      </c>
      <c r="BI55" s="255">
        <f t="shared" si="51"/>
        <v>64.904700000000005</v>
      </c>
      <c r="BJ55" s="255">
        <f t="shared" si="52"/>
        <v>0</v>
      </c>
      <c r="BK55" s="256">
        <f t="shared" si="53"/>
        <v>44.404001999999998</v>
      </c>
      <c r="BL55" s="262">
        <f t="shared" si="54"/>
        <v>0</v>
      </c>
      <c r="BM55" s="257">
        <f t="shared" si="55"/>
        <v>156.18857199999999</v>
      </c>
      <c r="BO55" s="714">
        <f t="shared" si="56"/>
        <v>80.13779989738326</v>
      </c>
    </row>
    <row r="56" spans="1:67" ht="15" customHeight="1" x14ac:dyDescent="0.25">
      <c r="B56" s="19">
        <f t="shared" ref="B56:B69" si="57">B55+1</f>
        <v>11</v>
      </c>
      <c r="C56" s="44" t="s">
        <v>567</v>
      </c>
      <c r="D56" s="834"/>
      <c r="E56" s="105" t="s">
        <v>94</v>
      </c>
      <c r="G56" s="862">
        <f>('Cust Specific'!R18)</f>
        <v>133.9068</v>
      </c>
      <c r="H56" s="479"/>
      <c r="I56" s="851">
        <f>'Cust Specific'!R21</f>
        <v>4.1799999999999997E-2</v>
      </c>
      <c r="J56" s="461"/>
      <c r="K56" s="852">
        <f>'Cust Specific'!R22</f>
        <v>2.6100000000000002E-2</v>
      </c>
      <c r="L56" s="461"/>
      <c r="M56" s="461"/>
      <c r="N56" s="461"/>
      <c r="O56" s="462"/>
      <c r="P56" s="461"/>
      <c r="Q56" s="461"/>
      <c r="R56" s="462"/>
      <c r="S56" s="863">
        <f>'Cust Specific'!R19</f>
        <v>0.14380000000000001</v>
      </c>
      <c r="T56" s="851">
        <f>'Cust Specific'!R20</f>
        <v>0</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32"/>
        <v>48.875982</v>
      </c>
      <c r="AP56" s="184">
        <f t="shared" si="33"/>
        <v>0</v>
      </c>
      <c r="AQ56" s="178">
        <f t="shared" si="34"/>
        <v>24.703799999999998</v>
      </c>
      <c r="AR56" s="178">
        <f t="shared" si="35"/>
        <v>0</v>
      </c>
      <c r="AS56" s="179">
        <f t="shared" si="36"/>
        <v>50.947200000000002</v>
      </c>
      <c r="AT56" s="178">
        <f t="shared" si="37"/>
        <v>0</v>
      </c>
      <c r="AU56" s="178">
        <f t="shared" si="38"/>
        <v>0</v>
      </c>
      <c r="AV56" s="178">
        <f t="shared" si="39"/>
        <v>0</v>
      </c>
      <c r="AW56" s="179">
        <f t="shared" si="40"/>
        <v>0</v>
      </c>
      <c r="AX56" s="178">
        <f t="shared" si="41"/>
        <v>0</v>
      </c>
      <c r="AY56" s="178">
        <f t="shared" si="42"/>
        <v>0</v>
      </c>
      <c r="AZ56" s="179">
        <f t="shared" si="43"/>
        <v>0</v>
      </c>
      <c r="BA56" s="184">
        <f t="shared" si="44"/>
        <v>29.130285000000004</v>
      </c>
      <c r="BB56" s="178">
        <f t="shared" si="45"/>
        <v>0</v>
      </c>
      <c r="BC56" s="184">
        <f t="shared" si="46"/>
        <v>0</v>
      </c>
      <c r="BD56" s="178">
        <f t="shared" si="47"/>
        <v>0</v>
      </c>
      <c r="BE56" s="244">
        <f t="shared" si="48"/>
        <v>1</v>
      </c>
      <c r="BF56" s="245">
        <f t="shared" si="49"/>
        <v>2543</v>
      </c>
      <c r="BH56" s="255">
        <f t="shared" si="50"/>
        <v>48.875982</v>
      </c>
      <c r="BI56" s="255">
        <f t="shared" si="51"/>
        <v>75.650999999999996</v>
      </c>
      <c r="BJ56" s="255">
        <f t="shared" si="52"/>
        <v>0</v>
      </c>
      <c r="BK56" s="256">
        <f t="shared" si="53"/>
        <v>29.130285000000004</v>
      </c>
      <c r="BL56" s="262">
        <f t="shared" si="54"/>
        <v>0</v>
      </c>
      <c r="BM56" s="257">
        <f t="shared" si="55"/>
        <v>153.65726700000002</v>
      </c>
      <c r="BO56" s="714">
        <f t="shared" si="56"/>
        <v>60.423620526936695</v>
      </c>
    </row>
    <row r="57" spans="1:67" ht="15" customHeight="1" x14ac:dyDescent="0.25">
      <c r="B57" s="19">
        <f t="shared" si="57"/>
        <v>12</v>
      </c>
      <c r="C57" s="833" t="s">
        <v>568</v>
      </c>
      <c r="D57" s="834"/>
      <c r="E57" s="835" t="s">
        <v>94</v>
      </c>
      <c r="G57" s="482"/>
      <c r="H57" s="479"/>
      <c r="I57" s="461"/>
      <c r="J57" s="461"/>
      <c r="K57" s="462"/>
      <c r="L57" s="461"/>
      <c r="M57" s="461"/>
      <c r="N57" s="461"/>
      <c r="O57" s="462"/>
      <c r="P57" s="461"/>
      <c r="Q57" s="461"/>
      <c r="R57" s="462"/>
      <c r="S57" s="479"/>
      <c r="T57" s="461"/>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32"/>
        <v>0</v>
      </c>
      <c r="AP57" s="184">
        <f t="shared" si="33"/>
        <v>0</v>
      </c>
      <c r="AQ57" s="178">
        <f t="shared" si="34"/>
        <v>0</v>
      </c>
      <c r="AR57" s="178">
        <f t="shared" si="35"/>
        <v>0</v>
      </c>
      <c r="AS57" s="179">
        <f t="shared" si="36"/>
        <v>0</v>
      </c>
      <c r="AT57" s="178">
        <f t="shared" si="37"/>
        <v>0</v>
      </c>
      <c r="AU57" s="178">
        <f t="shared" si="38"/>
        <v>0</v>
      </c>
      <c r="AV57" s="178">
        <f t="shared" si="39"/>
        <v>0</v>
      </c>
      <c r="AW57" s="179">
        <f t="shared" si="40"/>
        <v>0</v>
      </c>
      <c r="AX57" s="178">
        <f t="shared" si="41"/>
        <v>0</v>
      </c>
      <c r="AY57" s="178">
        <f t="shared" si="42"/>
        <v>0</v>
      </c>
      <c r="AZ57" s="179">
        <f t="shared" si="43"/>
        <v>0</v>
      </c>
      <c r="BA57" s="184">
        <f t="shared" si="44"/>
        <v>0</v>
      </c>
      <c r="BB57" s="178">
        <f t="shared" si="45"/>
        <v>0</v>
      </c>
      <c r="BC57" s="184">
        <f t="shared" si="46"/>
        <v>0</v>
      </c>
      <c r="BD57" s="178">
        <f t="shared" si="47"/>
        <v>0</v>
      </c>
      <c r="BE57" s="244">
        <f t="shared" si="48"/>
        <v>0</v>
      </c>
      <c r="BF57" s="245">
        <f t="shared" si="49"/>
        <v>0</v>
      </c>
      <c r="BH57" s="255">
        <f t="shared" si="50"/>
        <v>0</v>
      </c>
      <c r="BI57" s="255">
        <f t="shared" si="51"/>
        <v>0</v>
      </c>
      <c r="BJ57" s="255">
        <f t="shared" si="52"/>
        <v>0</v>
      </c>
      <c r="BK57" s="256">
        <f t="shared" si="53"/>
        <v>0</v>
      </c>
      <c r="BL57" s="262">
        <f t="shared" si="54"/>
        <v>0</v>
      </c>
      <c r="BM57" s="257">
        <f t="shared" si="55"/>
        <v>0</v>
      </c>
      <c r="BO57" s="714" t="str">
        <f t="shared" si="56"/>
        <v/>
      </c>
    </row>
    <row r="58" spans="1:67" ht="15" customHeight="1" x14ac:dyDescent="0.25">
      <c r="B58" s="19">
        <f t="shared" si="57"/>
        <v>13</v>
      </c>
      <c r="C58" s="44" t="s">
        <v>569</v>
      </c>
      <c r="D58" s="834"/>
      <c r="E58" s="105" t="s">
        <v>94</v>
      </c>
      <c r="G58" s="862">
        <f>('Cust Specific'!R34)</f>
        <v>130.07259999999999</v>
      </c>
      <c r="H58" s="479"/>
      <c r="I58" s="851">
        <f>'Cust Specific'!R37</f>
        <v>4.1799999999999997E-2</v>
      </c>
      <c r="J58" s="461"/>
      <c r="K58" s="852">
        <f>'Cust Specific'!R38</f>
        <v>2.6100000000000002E-2</v>
      </c>
      <c r="L58" s="461"/>
      <c r="M58" s="461"/>
      <c r="N58" s="461"/>
      <c r="O58" s="462"/>
      <c r="P58" s="461"/>
      <c r="Q58" s="461"/>
      <c r="R58" s="462"/>
      <c r="S58" s="863">
        <f>'Cust Specific'!R35</f>
        <v>0.14380000000000001</v>
      </c>
      <c r="T58" s="851">
        <f>'Cust Specific'!R36</f>
        <v>0</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32"/>
        <v>47.476498999999997</v>
      </c>
      <c r="AP58" s="184">
        <f t="shared" si="33"/>
        <v>0</v>
      </c>
      <c r="AQ58" s="178">
        <f t="shared" si="34"/>
        <v>41.089399999999998</v>
      </c>
      <c r="AR58" s="178">
        <f t="shared" si="35"/>
        <v>0</v>
      </c>
      <c r="AS58" s="179">
        <f t="shared" si="36"/>
        <v>30.015000000000001</v>
      </c>
      <c r="AT58" s="178">
        <f t="shared" si="37"/>
        <v>0</v>
      </c>
      <c r="AU58" s="178">
        <f t="shared" si="38"/>
        <v>0</v>
      </c>
      <c r="AV58" s="178">
        <f t="shared" si="39"/>
        <v>0</v>
      </c>
      <c r="AW58" s="179">
        <f t="shared" si="40"/>
        <v>0</v>
      </c>
      <c r="AX58" s="178">
        <f t="shared" si="41"/>
        <v>0</v>
      </c>
      <c r="AY58" s="178">
        <f t="shared" si="42"/>
        <v>0</v>
      </c>
      <c r="AZ58" s="179">
        <f t="shared" si="43"/>
        <v>0</v>
      </c>
      <c r="BA58" s="184">
        <f t="shared" si="44"/>
        <v>42.042087000000009</v>
      </c>
      <c r="BB58" s="178">
        <f t="shared" si="45"/>
        <v>0</v>
      </c>
      <c r="BC58" s="184">
        <f t="shared" si="46"/>
        <v>0</v>
      </c>
      <c r="BD58" s="178">
        <f t="shared" si="47"/>
        <v>0</v>
      </c>
      <c r="BE58" s="244">
        <f t="shared" si="48"/>
        <v>1</v>
      </c>
      <c r="BF58" s="245">
        <f t="shared" si="49"/>
        <v>2133</v>
      </c>
      <c r="BH58" s="255">
        <f t="shared" si="50"/>
        <v>47.476498999999997</v>
      </c>
      <c r="BI58" s="255">
        <f t="shared" si="51"/>
        <v>71.104399999999998</v>
      </c>
      <c r="BJ58" s="255">
        <f t="shared" si="52"/>
        <v>0</v>
      </c>
      <c r="BK58" s="256">
        <f t="shared" si="53"/>
        <v>42.042087000000009</v>
      </c>
      <c r="BL58" s="262">
        <f t="shared" si="54"/>
        <v>0</v>
      </c>
      <c r="BM58" s="257">
        <f t="shared" si="55"/>
        <v>160.622986</v>
      </c>
      <c r="BO58" s="714">
        <f t="shared" si="56"/>
        <v>75.303790904828887</v>
      </c>
    </row>
    <row r="59" spans="1:67" ht="15" customHeight="1" x14ac:dyDescent="0.25">
      <c r="B59" s="19">
        <f t="shared" si="57"/>
        <v>14</v>
      </c>
      <c r="C59" s="44" t="s">
        <v>570</v>
      </c>
      <c r="D59" s="834"/>
      <c r="E59" s="105" t="s">
        <v>94</v>
      </c>
      <c r="G59" s="862">
        <f>('Cust Specific'!R42)</f>
        <v>99.633600000000001</v>
      </c>
      <c r="H59" s="479"/>
      <c r="I59" s="851">
        <f>'Cust Specific'!R45</f>
        <v>4.1799999999999997E-2</v>
      </c>
      <c r="J59" s="461"/>
      <c r="K59" s="852">
        <f>'Cust Specific'!R46</f>
        <v>2.6100000000000002E-2</v>
      </c>
      <c r="L59" s="461"/>
      <c r="M59" s="461"/>
      <c r="N59" s="461"/>
      <c r="O59" s="462"/>
      <c r="P59" s="461"/>
      <c r="Q59" s="461"/>
      <c r="R59" s="462"/>
      <c r="S59" s="863">
        <f>'Cust Specific'!R43</f>
        <v>0.14380000000000001</v>
      </c>
      <c r="T59" s="851">
        <f>'Cust Specific'!R44</f>
        <v>0</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32"/>
        <v>36.366264000000001</v>
      </c>
      <c r="AP59" s="184">
        <f t="shared" si="33"/>
        <v>0</v>
      </c>
      <c r="AQ59" s="178">
        <f t="shared" si="34"/>
        <v>41.7164</v>
      </c>
      <c r="AR59" s="178">
        <f t="shared" si="35"/>
        <v>0</v>
      </c>
      <c r="AS59" s="179">
        <f t="shared" si="36"/>
        <v>53.2179</v>
      </c>
      <c r="AT59" s="178">
        <f t="shared" si="37"/>
        <v>0</v>
      </c>
      <c r="AU59" s="178">
        <f t="shared" si="38"/>
        <v>0</v>
      </c>
      <c r="AV59" s="178">
        <f t="shared" si="39"/>
        <v>0</v>
      </c>
      <c r="AW59" s="179">
        <f t="shared" si="40"/>
        <v>0</v>
      </c>
      <c r="AX59" s="178">
        <f t="shared" si="41"/>
        <v>0</v>
      </c>
      <c r="AY59" s="178">
        <f t="shared" si="42"/>
        <v>0</v>
      </c>
      <c r="AZ59" s="179">
        <f t="shared" si="43"/>
        <v>0</v>
      </c>
      <c r="BA59" s="184">
        <f t="shared" si="44"/>
        <v>32.489453000000005</v>
      </c>
      <c r="BB59" s="178">
        <f t="shared" si="45"/>
        <v>0</v>
      </c>
      <c r="BC59" s="184">
        <f t="shared" si="46"/>
        <v>0</v>
      </c>
      <c r="BD59" s="178">
        <f t="shared" si="47"/>
        <v>0</v>
      </c>
      <c r="BE59" s="244">
        <f t="shared" si="48"/>
        <v>1</v>
      </c>
      <c r="BF59" s="245">
        <f t="shared" si="49"/>
        <v>3037</v>
      </c>
      <c r="BH59" s="255">
        <f t="shared" si="50"/>
        <v>36.366264000000001</v>
      </c>
      <c r="BI59" s="255">
        <f t="shared" si="51"/>
        <v>94.934300000000007</v>
      </c>
      <c r="BJ59" s="255">
        <f t="shared" si="52"/>
        <v>0</v>
      </c>
      <c r="BK59" s="256">
        <f t="shared" si="53"/>
        <v>32.489453000000005</v>
      </c>
      <c r="BL59" s="262">
        <f t="shared" si="54"/>
        <v>0</v>
      </c>
      <c r="BM59" s="257">
        <f t="shared" si="55"/>
        <v>163.79001700000001</v>
      </c>
      <c r="BO59" s="714">
        <f t="shared" si="56"/>
        <v>53.931516957523868</v>
      </c>
    </row>
    <row r="60" spans="1:67" ht="15" customHeight="1" x14ac:dyDescent="0.25">
      <c r="B60" s="19">
        <f t="shared" si="57"/>
        <v>15</v>
      </c>
      <c r="C60" s="44" t="s">
        <v>572</v>
      </c>
      <c r="D60" s="45"/>
      <c r="E60" s="105" t="s">
        <v>94</v>
      </c>
      <c r="G60" s="862">
        <f>('Cust Specific'!R50)</f>
        <v>271.72080000000005</v>
      </c>
      <c r="H60" s="479"/>
      <c r="I60" s="851">
        <f>'Cust Specific'!R53</f>
        <v>4.1799999999999997E-2</v>
      </c>
      <c r="J60" s="461"/>
      <c r="K60" s="852">
        <f>'Cust Specific'!R54</f>
        <v>2.6100000000000002E-2</v>
      </c>
      <c r="L60" s="461"/>
      <c r="M60" s="461"/>
      <c r="N60" s="461"/>
      <c r="O60" s="462"/>
      <c r="P60" s="461"/>
      <c r="Q60" s="461"/>
      <c r="R60" s="462"/>
      <c r="S60" s="863">
        <f>'Cust Specific'!R51</f>
        <v>0.14380000000000001</v>
      </c>
      <c r="T60" s="851">
        <f>'Cust Specific'!R52</f>
        <v>0</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32"/>
        <v>99.178092000000021</v>
      </c>
      <c r="AP60" s="184">
        <f t="shared" si="33"/>
        <v>0</v>
      </c>
      <c r="AQ60" s="178">
        <f t="shared" si="34"/>
        <v>148.2646</v>
      </c>
      <c r="AR60" s="178">
        <f t="shared" si="35"/>
        <v>0</v>
      </c>
      <c r="AS60" s="179">
        <f t="shared" si="36"/>
        <v>83.206800000000001</v>
      </c>
      <c r="AT60" s="178">
        <f t="shared" si="37"/>
        <v>0</v>
      </c>
      <c r="AU60" s="178">
        <f t="shared" si="38"/>
        <v>0</v>
      </c>
      <c r="AV60" s="178">
        <f t="shared" si="39"/>
        <v>0</v>
      </c>
      <c r="AW60" s="179">
        <f t="shared" si="40"/>
        <v>0</v>
      </c>
      <c r="AX60" s="178">
        <f t="shared" si="41"/>
        <v>0</v>
      </c>
      <c r="AY60" s="178">
        <f t="shared" si="42"/>
        <v>0</v>
      </c>
      <c r="AZ60" s="179">
        <f t="shared" si="43"/>
        <v>0</v>
      </c>
      <c r="BA60" s="184">
        <f t="shared" si="44"/>
        <v>116.573627</v>
      </c>
      <c r="BB60" s="178">
        <f t="shared" si="45"/>
        <v>0</v>
      </c>
      <c r="BC60" s="184">
        <f t="shared" si="46"/>
        <v>0</v>
      </c>
      <c r="BD60" s="178">
        <f t="shared" si="47"/>
        <v>0</v>
      </c>
      <c r="BE60" s="244">
        <f t="shared" si="48"/>
        <v>1</v>
      </c>
      <c r="BF60" s="245">
        <f t="shared" si="49"/>
        <v>6735</v>
      </c>
      <c r="BH60" s="255">
        <f t="shared" si="50"/>
        <v>99.178092000000021</v>
      </c>
      <c r="BI60" s="255">
        <f t="shared" si="51"/>
        <v>231.47140000000002</v>
      </c>
      <c r="BJ60" s="255">
        <f t="shared" si="52"/>
        <v>0</v>
      </c>
      <c r="BK60" s="256">
        <f t="shared" si="53"/>
        <v>116.573627</v>
      </c>
      <c r="BL60" s="262">
        <f t="shared" si="54"/>
        <v>0</v>
      </c>
      <c r="BM60" s="257">
        <f t="shared" si="55"/>
        <v>447.223119</v>
      </c>
      <c r="BO60" s="714">
        <f t="shared" si="56"/>
        <v>66.402838752783964</v>
      </c>
    </row>
    <row r="61" spans="1:67" ht="15" customHeight="1" x14ac:dyDescent="0.25">
      <c r="B61" s="19">
        <f t="shared" si="57"/>
        <v>16</v>
      </c>
      <c r="C61" s="44" t="s">
        <v>651</v>
      </c>
      <c r="D61" s="45"/>
      <c r="E61" s="105" t="s">
        <v>94</v>
      </c>
      <c r="G61" s="862">
        <f>('Cust Specific'!R58)</f>
        <v>203.821</v>
      </c>
      <c r="H61" s="479"/>
      <c r="I61" s="851">
        <f>'Cust Specific'!R61</f>
        <v>4.1799999999999997E-2</v>
      </c>
      <c r="J61" s="461"/>
      <c r="K61" s="852">
        <f>'Cust Specific'!R62</f>
        <v>2.6100000000000002E-2</v>
      </c>
      <c r="L61" s="461"/>
      <c r="M61" s="461"/>
      <c r="N61" s="461"/>
      <c r="O61" s="462"/>
      <c r="P61" s="461"/>
      <c r="Q61" s="461"/>
      <c r="R61" s="462"/>
      <c r="S61" s="863">
        <f>'Cust Specific'!R59</f>
        <v>0.14380000000000001</v>
      </c>
      <c r="T61" s="851">
        <f>'Cust Specific'!R60</f>
        <v>0</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32"/>
        <v>74.394664999999989</v>
      </c>
      <c r="AP61" s="184">
        <f t="shared" si="33"/>
        <v>0</v>
      </c>
      <c r="AQ61" s="178">
        <f t="shared" si="34"/>
        <v>15.674999999999999</v>
      </c>
      <c r="AR61" s="178">
        <f t="shared" si="35"/>
        <v>0</v>
      </c>
      <c r="AS61" s="179">
        <f t="shared" si="36"/>
        <v>28.422900000000002</v>
      </c>
      <c r="AT61" s="178">
        <f t="shared" si="37"/>
        <v>0</v>
      </c>
      <c r="AU61" s="178">
        <f t="shared" si="38"/>
        <v>0</v>
      </c>
      <c r="AV61" s="178">
        <f t="shared" si="39"/>
        <v>0</v>
      </c>
      <c r="AW61" s="179">
        <f t="shared" si="40"/>
        <v>0</v>
      </c>
      <c r="AX61" s="178">
        <f t="shared" si="41"/>
        <v>0</v>
      </c>
      <c r="AY61" s="178">
        <f t="shared" si="42"/>
        <v>0</v>
      </c>
      <c r="AZ61" s="179">
        <f t="shared" si="43"/>
        <v>0</v>
      </c>
      <c r="BA61" s="184">
        <f t="shared" si="44"/>
        <v>65.031393000000008</v>
      </c>
      <c r="BB61" s="178">
        <f t="shared" si="45"/>
        <v>0</v>
      </c>
      <c r="BC61" s="184">
        <f t="shared" si="46"/>
        <v>0</v>
      </c>
      <c r="BD61" s="178">
        <f t="shared" si="47"/>
        <v>0</v>
      </c>
      <c r="BE61" s="244">
        <f t="shared" si="48"/>
        <v>1</v>
      </c>
      <c r="BF61" s="245">
        <f t="shared" si="49"/>
        <v>1464</v>
      </c>
      <c r="BH61" s="255">
        <f t="shared" si="50"/>
        <v>74.394664999999989</v>
      </c>
      <c r="BI61" s="255">
        <f t="shared" si="51"/>
        <v>44.097900000000003</v>
      </c>
      <c r="BJ61" s="255">
        <f t="shared" si="52"/>
        <v>0</v>
      </c>
      <c r="BK61" s="256">
        <f t="shared" si="53"/>
        <v>65.031393000000008</v>
      </c>
      <c r="BL61" s="262">
        <f t="shared" si="54"/>
        <v>0</v>
      </c>
      <c r="BM61" s="257">
        <f t="shared" si="55"/>
        <v>183.52395799999999</v>
      </c>
      <c r="BO61" s="714">
        <f t="shared" si="56"/>
        <v>125.35789480874315</v>
      </c>
    </row>
    <row r="62" spans="1:67" ht="15" customHeight="1" x14ac:dyDescent="0.25">
      <c r="A62" s="887"/>
      <c r="B62" s="19">
        <f t="shared" si="57"/>
        <v>17</v>
      </c>
      <c r="C62" s="44" t="s">
        <v>707</v>
      </c>
      <c r="D62" s="45"/>
      <c r="E62" s="105" t="s">
        <v>94</v>
      </c>
      <c r="G62" s="862">
        <f>('Cust Specific'!R66)</f>
        <v>265.73720000000003</v>
      </c>
      <c r="H62" s="479"/>
      <c r="I62" s="851">
        <f>'Cust Specific'!R69</f>
        <v>4.1799999999999997E-2</v>
      </c>
      <c r="J62" s="461"/>
      <c r="K62" s="852">
        <f>'Cust Specific'!R70</f>
        <v>2.6100000000000002E-2</v>
      </c>
      <c r="L62" s="461"/>
      <c r="M62" s="461"/>
      <c r="N62" s="461"/>
      <c r="O62" s="462"/>
      <c r="P62" s="461"/>
      <c r="Q62" s="461"/>
      <c r="R62" s="462"/>
      <c r="S62" s="863">
        <f>'Cust Specific'!R67</f>
        <v>0.14380000000000001</v>
      </c>
      <c r="T62" s="851">
        <f>'Cust Specific'!R68</f>
        <v>0</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32"/>
        <v>96.994078000000002</v>
      </c>
      <c r="AP62" s="184">
        <f t="shared" si="33"/>
        <v>0</v>
      </c>
      <c r="AQ62" s="178">
        <f t="shared" si="34"/>
        <v>49.156799999999997</v>
      </c>
      <c r="AR62" s="178">
        <f t="shared" si="35"/>
        <v>0</v>
      </c>
      <c r="AS62" s="179">
        <f t="shared" si="36"/>
        <v>53.739900000000006</v>
      </c>
      <c r="AT62" s="178">
        <f t="shared" si="37"/>
        <v>0</v>
      </c>
      <c r="AU62" s="178">
        <f t="shared" si="38"/>
        <v>0</v>
      </c>
      <c r="AV62" s="178">
        <f t="shared" si="39"/>
        <v>0</v>
      </c>
      <c r="AW62" s="179">
        <f t="shared" si="40"/>
        <v>0</v>
      </c>
      <c r="AX62" s="178">
        <f t="shared" si="41"/>
        <v>0</v>
      </c>
      <c r="AY62" s="178">
        <f t="shared" si="42"/>
        <v>0</v>
      </c>
      <c r="AZ62" s="179">
        <f t="shared" si="43"/>
        <v>0</v>
      </c>
      <c r="BA62" s="184">
        <f t="shared" si="44"/>
        <v>44.404001999999998</v>
      </c>
      <c r="BB62" s="178">
        <f t="shared" si="45"/>
        <v>0</v>
      </c>
      <c r="BC62" s="184">
        <f t="shared" si="46"/>
        <v>0</v>
      </c>
      <c r="BD62" s="178">
        <f t="shared" si="47"/>
        <v>0</v>
      </c>
      <c r="BE62" s="244">
        <f t="shared" si="48"/>
        <v>1</v>
      </c>
      <c r="BF62" s="245">
        <f t="shared" si="49"/>
        <v>3235</v>
      </c>
      <c r="BH62" s="255">
        <f t="shared" si="50"/>
        <v>96.994078000000002</v>
      </c>
      <c r="BI62" s="255">
        <f t="shared" si="51"/>
        <v>102.89670000000001</v>
      </c>
      <c r="BJ62" s="255">
        <f t="shared" si="52"/>
        <v>0</v>
      </c>
      <c r="BK62" s="256">
        <f t="shared" si="53"/>
        <v>44.404001999999998</v>
      </c>
      <c r="BL62" s="262">
        <f t="shared" si="54"/>
        <v>0</v>
      </c>
      <c r="BM62" s="257">
        <f t="shared" si="55"/>
        <v>244.29478</v>
      </c>
      <c r="BO62" s="714">
        <f t="shared" si="56"/>
        <v>75.516160741885628</v>
      </c>
    </row>
    <row r="63" spans="1:67" ht="15" customHeight="1" x14ac:dyDescent="0.25">
      <c r="B63" s="19">
        <f t="shared" si="57"/>
        <v>18</v>
      </c>
      <c r="C63" s="44" t="s">
        <v>571</v>
      </c>
      <c r="D63" s="45"/>
      <c r="E63" s="105" t="s">
        <v>94</v>
      </c>
      <c r="G63" s="862">
        <f>('Cust Specific'!R74)</f>
        <v>49.570000000000007</v>
      </c>
      <c r="H63" s="479"/>
      <c r="I63" s="851">
        <f>'Cust Specific'!R77</f>
        <v>4.1799999999999997E-2</v>
      </c>
      <c r="J63" s="461"/>
      <c r="K63" s="852">
        <f>'Cust Specific'!R78</f>
        <v>2.6100000000000002E-2</v>
      </c>
      <c r="L63" s="461"/>
      <c r="M63" s="461"/>
      <c r="N63" s="461"/>
      <c r="O63" s="462"/>
      <c r="P63" s="461"/>
      <c r="Q63" s="461"/>
      <c r="R63" s="462"/>
      <c r="S63" s="863">
        <f>'Cust Specific'!R75</f>
        <v>0.14380000000000001</v>
      </c>
      <c r="T63" s="851">
        <f>'Cust Specific'!R76</f>
        <v>0</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32"/>
        <v>18.093050000000002</v>
      </c>
      <c r="AP63" s="184">
        <f t="shared" si="33"/>
        <v>0</v>
      </c>
      <c r="AQ63" s="178">
        <f t="shared" si="34"/>
        <v>17.974</v>
      </c>
      <c r="AR63" s="178">
        <f t="shared" si="35"/>
        <v>0</v>
      </c>
      <c r="AS63" s="179">
        <f t="shared" si="36"/>
        <v>14.772600000000001</v>
      </c>
      <c r="AT63" s="178">
        <f t="shared" si="37"/>
        <v>0</v>
      </c>
      <c r="AU63" s="178">
        <f t="shared" si="38"/>
        <v>0</v>
      </c>
      <c r="AV63" s="178">
        <f t="shared" si="39"/>
        <v>0</v>
      </c>
      <c r="AW63" s="179">
        <f t="shared" si="40"/>
        <v>0</v>
      </c>
      <c r="AX63" s="178">
        <f t="shared" si="41"/>
        <v>0</v>
      </c>
      <c r="AY63" s="178">
        <f t="shared" si="42"/>
        <v>0</v>
      </c>
      <c r="AZ63" s="179">
        <f t="shared" si="43"/>
        <v>0</v>
      </c>
      <c r="BA63" s="184">
        <f t="shared" si="44"/>
        <v>14.591386</v>
      </c>
      <c r="BB63" s="178">
        <f t="shared" si="45"/>
        <v>0</v>
      </c>
      <c r="BC63" s="184">
        <f t="shared" si="46"/>
        <v>0</v>
      </c>
      <c r="BD63" s="178">
        <f t="shared" si="47"/>
        <v>0</v>
      </c>
      <c r="BE63" s="244">
        <f t="shared" si="48"/>
        <v>1</v>
      </c>
      <c r="BF63" s="245">
        <f t="shared" si="49"/>
        <v>996</v>
      </c>
      <c r="BH63" s="255">
        <f t="shared" si="50"/>
        <v>18.093050000000002</v>
      </c>
      <c r="BI63" s="255">
        <f t="shared" si="51"/>
        <v>32.746600000000001</v>
      </c>
      <c r="BJ63" s="255">
        <f t="shared" si="52"/>
        <v>0</v>
      </c>
      <c r="BK63" s="256">
        <f t="shared" si="53"/>
        <v>14.591386</v>
      </c>
      <c r="BL63" s="262">
        <f t="shared" si="54"/>
        <v>0</v>
      </c>
      <c r="BM63" s="257">
        <f t="shared" si="55"/>
        <v>65.431036000000006</v>
      </c>
      <c r="BO63" s="714">
        <f t="shared" si="56"/>
        <v>65.693811244979926</v>
      </c>
    </row>
    <row r="64" spans="1:67" ht="15" customHeight="1" x14ac:dyDescent="0.25">
      <c r="B64" s="19">
        <f t="shared" si="57"/>
        <v>19</v>
      </c>
      <c r="C64" s="44" t="s">
        <v>573</v>
      </c>
      <c r="D64" s="45"/>
      <c r="E64" s="105" t="s">
        <v>94</v>
      </c>
      <c r="G64" s="862">
        <f>('Cust Specific'!R82)</f>
        <v>54.710000000000008</v>
      </c>
      <c r="H64" s="479"/>
      <c r="I64" s="851">
        <f>'Cust Specific'!R85</f>
        <v>4.1799999999999997E-2</v>
      </c>
      <c r="J64" s="461"/>
      <c r="K64" s="852">
        <f>'Cust Specific'!R86</f>
        <v>2.6100000000000002E-2</v>
      </c>
      <c r="L64" s="461"/>
      <c r="M64" s="461"/>
      <c r="N64" s="461"/>
      <c r="O64" s="462"/>
      <c r="P64" s="461"/>
      <c r="Q64" s="461"/>
      <c r="R64" s="462"/>
      <c r="S64" s="863">
        <f>'Cust Specific'!R83</f>
        <v>0.14380000000000001</v>
      </c>
      <c r="T64" s="851">
        <f>'Cust Specific'!R84</f>
        <v>0</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32"/>
        <v>19.969150000000003</v>
      </c>
      <c r="AP64" s="184">
        <f t="shared" si="33"/>
        <v>0</v>
      </c>
      <c r="AQ64" s="178">
        <f t="shared" si="34"/>
        <v>15.800399999999998</v>
      </c>
      <c r="AR64" s="178">
        <f t="shared" si="35"/>
        <v>0</v>
      </c>
      <c r="AS64" s="179">
        <f t="shared" si="36"/>
        <v>15.686100000000001</v>
      </c>
      <c r="AT64" s="178">
        <f t="shared" si="37"/>
        <v>0</v>
      </c>
      <c r="AU64" s="178">
        <f t="shared" si="38"/>
        <v>0</v>
      </c>
      <c r="AV64" s="178">
        <f t="shared" si="39"/>
        <v>0</v>
      </c>
      <c r="AW64" s="179">
        <f t="shared" si="40"/>
        <v>0</v>
      </c>
      <c r="AX64" s="178">
        <f t="shared" si="41"/>
        <v>0</v>
      </c>
      <c r="AY64" s="178">
        <f t="shared" si="42"/>
        <v>0</v>
      </c>
      <c r="AZ64" s="179">
        <f t="shared" si="43"/>
        <v>0</v>
      </c>
      <c r="BA64" s="184">
        <f t="shared" si="44"/>
        <v>15.798587000000001</v>
      </c>
      <c r="BB64" s="178">
        <f t="shared" si="45"/>
        <v>0</v>
      </c>
      <c r="BC64" s="184">
        <f t="shared" si="46"/>
        <v>0</v>
      </c>
      <c r="BD64" s="178">
        <f t="shared" si="47"/>
        <v>0</v>
      </c>
      <c r="BE64" s="244">
        <f t="shared" si="48"/>
        <v>1</v>
      </c>
      <c r="BF64" s="245">
        <f t="shared" si="49"/>
        <v>979</v>
      </c>
      <c r="BH64" s="255">
        <f t="shared" si="50"/>
        <v>19.969150000000003</v>
      </c>
      <c r="BI64" s="255">
        <f t="shared" si="51"/>
        <v>31.486499999999999</v>
      </c>
      <c r="BJ64" s="255">
        <f t="shared" si="52"/>
        <v>0</v>
      </c>
      <c r="BK64" s="256">
        <f t="shared" si="53"/>
        <v>15.798587000000001</v>
      </c>
      <c r="BL64" s="262">
        <f t="shared" si="54"/>
        <v>0</v>
      </c>
      <c r="BM64" s="257">
        <f t="shared" si="55"/>
        <v>67.254237000000003</v>
      </c>
      <c r="BO64" s="714">
        <f t="shared" si="56"/>
        <v>68.696871297242097</v>
      </c>
    </row>
    <row r="65" spans="1:67" ht="15" customHeight="1" x14ac:dyDescent="0.25">
      <c r="B65" s="19">
        <f t="shared" si="57"/>
        <v>20</v>
      </c>
      <c r="C65" s="833" t="s">
        <v>574</v>
      </c>
      <c r="D65" s="834"/>
      <c r="E65" s="835" t="s">
        <v>94</v>
      </c>
      <c r="G65" s="482"/>
      <c r="H65" s="479"/>
      <c r="I65" s="461"/>
      <c r="J65" s="461"/>
      <c r="K65" s="462"/>
      <c r="L65" s="461"/>
      <c r="M65" s="461"/>
      <c r="N65" s="461"/>
      <c r="O65" s="462"/>
      <c r="P65" s="461"/>
      <c r="Q65" s="461"/>
      <c r="R65" s="462"/>
      <c r="S65" s="479"/>
      <c r="T65" s="461"/>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32"/>
        <v>0</v>
      </c>
      <c r="AP65" s="184">
        <f t="shared" si="33"/>
        <v>0</v>
      </c>
      <c r="AQ65" s="178">
        <f t="shared" si="34"/>
        <v>0</v>
      </c>
      <c r="AR65" s="178">
        <f t="shared" si="35"/>
        <v>0</v>
      </c>
      <c r="AS65" s="179">
        <f t="shared" si="36"/>
        <v>0</v>
      </c>
      <c r="AT65" s="178">
        <f t="shared" si="37"/>
        <v>0</v>
      </c>
      <c r="AU65" s="178">
        <f t="shared" si="38"/>
        <v>0</v>
      </c>
      <c r="AV65" s="178">
        <f t="shared" si="39"/>
        <v>0</v>
      </c>
      <c r="AW65" s="179">
        <f t="shared" si="40"/>
        <v>0</v>
      </c>
      <c r="AX65" s="178">
        <f t="shared" si="41"/>
        <v>0</v>
      </c>
      <c r="AY65" s="178">
        <f t="shared" si="42"/>
        <v>0</v>
      </c>
      <c r="AZ65" s="179">
        <f t="shared" si="43"/>
        <v>0</v>
      </c>
      <c r="BA65" s="184">
        <f t="shared" si="44"/>
        <v>0</v>
      </c>
      <c r="BB65" s="178">
        <f t="shared" si="45"/>
        <v>0</v>
      </c>
      <c r="BC65" s="184">
        <f t="shared" si="46"/>
        <v>0</v>
      </c>
      <c r="BD65" s="178">
        <f t="shared" si="47"/>
        <v>0</v>
      </c>
      <c r="BE65" s="244">
        <f t="shared" si="48"/>
        <v>0</v>
      </c>
      <c r="BF65" s="245">
        <f t="shared" si="49"/>
        <v>0</v>
      </c>
      <c r="BH65" s="255">
        <f t="shared" si="50"/>
        <v>0</v>
      </c>
      <c r="BI65" s="255">
        <f t="shared" si="51"/>
        <v>0</v>
      </c>
      <c r="BJ65" s="255">
        <f t="shared" si="52"/>
        <v>0</v>
      </c>
      <c r="BK65" s="256">
        <f t="shared" si="53"/>
        <v>0</v>
      </c>
      <c r="BL65" s="262">
        <f t="shared" si="54"/>
        <v>0</v>
      </c>
      <c r="BM65" s="257">
        <f t="shared" si="55"/>
        <v>0</v>
      </c>
      <c r="BO65" s="714" t="str">
        <f t="shared" si="56"/>
        <v/>
      </c>
    </row>
    <row r="66" spans="1:67" ht="15" customHeight="1" x14ac:dyDescent="0.25">
      <c r="A66" s="887"/>
      <c r="B66" s="19">
        <f t="shared" si="57"/>
        <v>21</v>
      </c>
      <c r="C66" s="44" t="s">
        <v>706</v>
      </c>
      <c r="D66" s="45"/>
      <c r="E66" s="105" t="s">
        <v>94</v>
      </c>
      <c r="G66" s="862">
        <f>('Cust Specific'!R98)</f>
        <v>485.18459999999999</v>
      </c>
      <c r="H66" s="479"/>
      <c r="I66" s="851">
        <f>'Cust Specific'!R101</f>
        <v>4.1799999999999997E-2</v>
      </c>
      <c r="J66" s="461"/>
      <c r="K66" s="852">
        <f>'Cust Specific'!R102</f>
        <v>2.6100000000000002E-2</v>
      </c>
      <c r="L66" s="461"/>
      <c r="M66" s="461"/>
      <c r="N66" s="461"/>
      <c r="O66" s="462"/>
      <c r="P66" s="461"/>
      <c r="Q66" s="461"/>
      <c r="R66" s="462"/>
      <c r="S66" s="863">
        <f>'Cust Specific'!R99</f>
        <v>0.14380000000000001</v>
      </c>
      <c r="T66" s="851">
        <f>'Cust Specific'!R100</f>
        <v>0</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32"/>
        <v>177.09237899999999</v>
      </c>
      <c r="AP66" s="184">
        <f t="shared" si="33"/>
        <v>0</v>
      </c>
      <c r="AQ66" s="178">
        <f t="shared" si="34"/>
        <v>273.2466</v>
      </c>
      <c r="AR66" s="178">
        <f t="shared" si="35"/>
        <v>0</v>
      </c>
      <c r="AS66" s="179">
        <f t="shared" si="36"/>
        <v>180.4554</v>
      </c>
      <c r="AT66" s="178">
        <f t="shared" si="37"/>
        <v>0</v>
      </c>
      <c r="AU66" s="178">
        <f t="shared" si="38"/>
        <v>0</v>
      </c>
      <c r="AV66" s="178">
        <f t="shared" si="39"/>
        <v>0</v>
      </c>
      <c r="AW66" s="179">
        <f t="shared" si="40"/>
        <v>0</v>
      </c>
      <c r="AX66" s="178">
        <f t="shared" si="41"/>
        <v>0</v>
      </c>
      <c r="AY66" s="178">
        <f t="shared" si="42"/>
        <v>0</v>
      </c>
      <c r="AZ66" s="179">
        <f t="shared" si="43"/>
        <v>0</v>
      </c>
      <c r="BA66" s="184">
        <f t="shared" si="44"/>
        <v>151.58245600000001</v>
      </c>
      <c r="BB66" s="178">
        <f t="shared" si="45"/>
        <v>0</v>
      </c>
      <c r="BC66" s="184">
        <f t="shared" si="46"/>
        <v>0</v>
      </c>
      <c r="BD66" s="178">
        <f t="shared" si="47"/>
        <v>0</v>
      </c>
      <c r="BE66" s="244">
        <f t="shared" si="48"/>
        <v>1</v>
      </c>
      <c r="BF66" s="245">
        <f t="shared" si="49"/>
        <v>13451</v>
      </c>
      <c r="BH66" s="255">
        <f t="shared" si="50"/>
        <v>177.09237899999999</v>
      </c>
      <c r="BI66" s="255">
        <f t="shared" si="51"/>
        <v>453.702</v>
      </c>
      <c r="BJ66" s="255">
        <f t="shared" si="52"/>
        <v>0</v>
      </c>
      <c r="BK66" s="256">
        <f t="shared" si="53"/>
        <v>151.58245600000001</v>
      </c>
      <c r="BL66" s="262">
        <f t="shared" si="54"/>
        <v>0</v>
      </c>
      <c r="BM66" s="257">
        <f t="shared" si="55"/>
        <v>782.37683499999991</v>
      </c>
      <c r="BO66" s="714">
        <f t="shared" si="56"/>
        <v>58.164956880529324</v>
      </c>
    </row>
    <row r="67" spans="1:67" ht="15" customHeight="1" x14ac:dyDescent="0.25">
      <c r="B67" s="19">
        <f t="shared" si="57"/>
        <v>22</v>
      </c>
      <c r="C67" s="44" t="s">
        <v>575</v>
      </c>
      <c r="D67" s="45"/>
      <c r="E67" s="105" t="s">
        <v>94</v>
      </c>
      <c r="G67" s="862">
        <f>('Cust Specific'!R106)</f>
        <v>50.299800000000005</v>
      </c>
      <c r="H67" s="479"/>
      <c r="I67" s="851">
        <f>'Cust Specific'!R109</f>
        <v>4.1799999999999997E-2</v>
      </c>
      <c r="J67" s="461"/>
      <c r="K67" s="852">
        <f>'Cust Specific'!R110</f>
        <v>2.6100000000000002E-2</v>
      </c>
      <c r="L67" s="461"/>
      <c r="M67" s="461"/>
      <c r="N67" s="461"/>
      <c r="O67" s="462"/>
      <c r="P67" s="461"/>
      <c r="Q67" s="461"/>
      <c r="R67" s="462"/>
      <c r="S67" s="863">
        <f>'Cust Specific'!R107</f>
        <v>0.14380000000000001</v>
      </c>
      <c r="T67" s="851">
        <f>'Cust Specific'!R108</f>
        <v>0</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32"/>
        <v>18.359427000000004</v>
      </c>
      <c r="AP67" s="184">
        <f t="shared" si="33"/>
        <v>0</v>
      </c>
      <c r="AQ67" s="178">
        <f t="shared" si="34"/>
        <v>15.967599999999999</v>
      </c>
      <c r="AR67" s="178">
        <f t="shared" si="35"/>
        <v>0</v>
      </c>
      <c r="AS67" s="179">
        <f t="shared" si="36"/>
        <v>12.632400000000001</v>
      </c>
      <c r="AT67" s="178">
        <f t="shared" si="37"/>
        <v>0</v>
      </c>
      <c r="AU67" s="178">
        <f t="shared" si="38"/>
        <v>0</v>
      </c>
      <c r="AV67" s="178">
        <f t="shared" si="39"/>
        <v>0</v>
      </c>
      <c r="AW67" s="179">
        <f t="shared" si="40"/>
        <v>0</v>
      </c>
      <c r="AX67" s="178">
        <f t="shared" si="41"/>
        <v>0</v>
      </c>
      <c r="AY67" s="178">
        <f t="shared" si="42"/>
        <v>0</v>
      </c>
      <c r="AZ67" s="179">
        <f t="shared" si="43"/>
        <v>0</v>
      </c>
      <c r="BA67" s="184">
        <f t="shared" si="44"/>
        <v>7.9780240000000004</v>
      </c>
      <c r="BB67" s="178">
        <f t="shared" si="45"/>
        <v>0</v>
      </c>
      <c r="BC67" s="184">
        <f t="shared" si="46"/>
        <v>0</v>
      </c>
      <c r="BD67" s="178">
        <f t="shared" si="47"/>
        <v>0</v>
      </c>
      <c r="BE67" s="244">
        <f t="shared" si="48"/>
        <v>1</v>
      </c>
      <c r="BF67" s="245">
        <f t="shared" si="49"/>
        <v>866</v>
      </c>
      <c r="BH67" s="255">
        <f t="shared" si="50"/>
        <v>18.359427000000004</v>
      </c>
      <c r="BI67" s="255">
        <f t="shared" si="51"/>
        <v>28.6</v>
      </c>
      <c r="BJ67" s="255">
        <f t="shared" si="52"/>
        <v>0</v>
      </c>
      <c r="BK67" s="256">
        <f t="shared" si="53"/>
        <v>7.9780240000000004</v>
      </c>
      <c r="BL67" s="262">
        <f t="shared" si="54"/>
        <v>0</v>
      </c>
      <c r="BM67" s="257">
        <f t="shared" si="55"/>
        <v>54.937451000000003</v>
      </c>
      <c r="BO67" s="714">
        <f t="shared" si="56"/>
        <v>63.438165127020788</v>
      </c>
    </row>
    <row r="68" spans="1:67" ht="15" customHeight="1" x14ac:dyDescent="0.25">
      <c r="B68" s="19">
        <f t="shared" si="57"/>
        <v>23</v>
      </c>
      <c r="C68" s="44" t="s">
        <v>576</v>
      </c>
      <c r="D68" s="45"/>
      <c r="E68" s="105" t="s">
        <v>94</v>
      </c>
      <c r="G68" s="862">
        <f>('Cust Specific'!R114)</f>
        <v>581.45639999999992</v>
      </c>
      <c r="H68" s="479"/>
      <c r="I68" s="851">
        <f>'Cust Specific'!R117</f>
        <v>4.1799999999999997E-2</v>
      </c>
      <c r="J68" s="461"/>
      <c r="K68" s="852">
        <f>'Cust Specific'!R118</f>
        <v>2.6100000000000002E-2</v>
      </c>
      <c r="L68" s="461"/>
      <c r="M68" s="461"/>
      <c r="N68" s="461"/>
      <c r="O68" s="462"/>
      <c r="P68" s="461"/>
      <c r="Q68" s="461"/>
      <c r="R68" s="462"/>
      <c r="S68" s="863">
        <f>'Cust Specific'!R115</f>
        <v>0.14380000000000001</v>
      </c>
      <c r="T68" s="851">
        <f>'Cust Specific'!R116</f>
        <v>0</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8"/>
        <v>212.23158599999999</v>
      </c>
      <c r="AP68" s="184">
        <f t="shared" si="30"/>
        <v>0</v>
      </c>
      <c r="AQ68" s="178">
        <f t="shared" si="30"/>
        <v>152.7372</v>
      </c>
      <c r="AR68" s="178">
        <f t="shared" si="30"/>
        <v>0</v>
      </c>
      <c r="AS68" s="179">
        <f t="shared" si="30"/>
        <v>146.44710000000001</v>
      </c>
      <c r="AT68" s="178">
        <f t="shared" si="30"/>
        <v>0</v>
      </c>
      <c r="AU68" s="178">
        <f t="shared" si="30"/>
        <v>0</v>
      </c>
      <c r="AV68" s="178">
        <f t="shared" si="30"/>
        <v>0</v>
      </c>
      <c r="AW68" s="179">
        <f t="shared" si="30"/>
        <v>0</v>
      </c>
      <c r="AX68" s="178">
        <f t="shared" si="1"/>
        <v>0</v>
      </c>
      <c r="AY68" s="178">
        <f t="shared" si="2"/>
        <v>0</v>
      </c>
      <c r="AZ68" s="179">
        <f t="shared" si="3"/>
        <v>0</v>
      </c>
      <c r="BA68" s="184">
        <f t="shared" si="4"/>
        <v>159.56048000000001</v>
      </c>
      <c r="BB68" s="178">
        <f t="shared" si="5"/>
        <v>0</v>
      </c>
      <c r="BC68" s="184">
        <f t="shared" si="6"/>
        <v>0</v>
      </c>
      <c r="BD68" s="178">
        <f t="shared" si="7"/>
        <v>0</v>
      </c>
      <c r="BE68" s="244">
        <f t="shared" si="9"/>
        <v>1</v>
      </c>
      <c r="BF68" s="245">
        <f t="shared" si="31"/>
        <v>9265</v>
      </c>
      <c r="BH68" s="255">
        <f t="shared" si="25"/>
        <v>212.23158599999999</v>
      </c>
      <c r="BI68" s="255">
        <f t="shared" si="26"/>
        <v>299.18430000000001</v>
      </c>
      <c r="BJ68" s="255">
        <f t="shared" si="27"/>
        <v>0</v>
      </c>
      <c r="BK68" s="256">
        <f t="shared" si="28"/>
        <v>159.56048000000001</v>
      </c>
      <c r="BL68" s="262">
        <f t="shared" si="29"/>
        <v>0</v>
      </c>
      <c r="BM68" s="257">
        <f t="shared" si="12"/>
        <v>670.97636599999998</v>
      </c>
      <c r="BO68" s="714">
        <f t="shared" si="11"/>
        <v>72.420546788990833</v>
      </c>
    </row>
    <row r="69" spans="1:67" ht="15" customHeight="1" x14ac:dyDescent="0.25">
      <c r="B69" s="26">
        <f t="shared" si="57"/>
        <v>24</v>
      </c>
      <c r="C69" s="841" t="s">
        <v>632</v>
      </c>
      <c r="D69" s="56"/>
      <c r="E69" s="109" t="s">
        <v>652</v>
      </c>
      <c r="G69" s="862">
        <f>('Cust Specific'!R122)</f>
        <v>213.65919999999997</v>
      </c>
      <c r="H69" s="479"/>
      <c r="I69" s="851">
        <f>'Cust Specific'!R125</f>
        <v>4.1799999999999997E-2</v>
      </c>
      <c r="J69" s="461"/>
      <c r="K69" s="852">
        <f>'Cust Specific'!R126</f>
        <v>2.6100000000000002E-2</v>
      </c>
      <c r="L69" s="461"/>
      <c r="M69" s="461"/>
      <c r="N69" s="461"/>
      <c r="O69" s="462"/>
      <c r="P69" s="863">
        <f>'Cust Specific'!R123</f>
        <v>0.52149999999999996</v>
      </c>
      <c r="Q69" s="461"/>
      <c r="R69" s="462"/>
      <c r="S69" s="479"/>
      <c r="T69" s="851">
        <f>'Cust Specific'!R124</f>
        <v>0</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8"/>
        <v>77.985607999999999</v>
      </c>
      <c r="AP69" s="184">
        <f t="shared" ref="AP69:AW80" si="58">H69*Y69</f>
        <v>0</v>
      </c>
      <c r="AQ69" s="178">
        <f t="shared" si="58"/>
        <v>45.143999999999998</v>
      </c>
      <c r="AR69" s="178">
        <f t="shared" si="58"/>
        <v>0</v>
      </c>
      <c r="AS69" s="179">
        <f t="shared" si="58"/>
        <v>43.587000000000003</v>
      </c>
      <c r="AT69" s="178">
        <f t="shared" si="58"/>
        <v>0</v>
      </c>
      <c r="AU69" s="178">
        <f t="shared" si="58"/>
        <v>0</v>
      </c>
      <c r="AV69" s="178">
        <f t="shared" si="58"/>
        <v>0</v>
      </c>
      <c r="AW69" s="179">
        <f t="shared" si="58"/>
        <v>0</v>
      </c>
      <c r="AX69" s="178">
        <f t="shared" si="1"/>
        <v>63.075946500000001</v>
      </c>
      <c r="AY69" s="178">
        <f t="shared" si="2"/>
        <v>0</v>
      </c>
      <c r="AZ69" s="179">
        <f t="shared" si="3"/>
        <v>0</v>
      </c>
      <c r="BA69" s="184">
        <f t="shared" si="4"/>
        <v>0</v>
      </c>
      <c r="BB69" s="178">
        <f t="shared" si="5"/>
        <v>0</v>
      </c>
      <c r="BC69" s="184">
        <f t="shared" si="6"/>
        <v>0</v>
      </c>
      <c r="BD69" s="178">
        <f t="shared" si="7"/>
        <v>0</v>
      </c>
      <c r="BE69" s="244">
        <f t="shared" si="9"/>
        <v>1</v>
      </c>
      <c r="BF69" s="245">
        <f t="shared" si="31"/>
        <v>2750</v>
      </c>
      <c r="BH69" s="255">
        <f t="shared" si="25"/>
        <v>77.985607999999999</v>
      </c>
      <c r="BI69" s="255">
        <f t="shared" si="26"/>
        <v>88.730999999999995</v>
      </c>
      <c r="BJ69" s="255">
        <f t="shared" si="27"/>
        <v>0</v>
      </c>
      <c r="BK69" s="256">
        <f t="shared" si="28"/>
        <v>63.075946500000001</v>
      </c>
      <c r="BL69" s="262">
        <f t="shared" si="29"/>
        <v>0</v>
      </c>
      <c r="BM69" s="257">
        <f t="shared" si="12"/>
        <v>229.79255449999999</v>
      </c>
      <c r="BO69" s="714">
        <f t="shared" si="11"/>
        <v>83.560928909090904</v>
      </c>
    </row>
    <row r="70" spans="1:67" ht="15" customHeight="1" x14ac:dyDescent="0.25">
      <c r="B70" s="167" t="s">
        <v>101</v>
      </c>
      <c r="C70" s="151" t="s">
        <v>102</v>
      </c>
      <c r="D70" s="151"/>
      <c r="E70" s="204"/>
      <c r="G70" s="494"/>
      <c r="H70" s="495"/>
      <c r="I70" s="496"/>
      <c r="J70" s="496"/>
      <c r="K70" s="497"/>
      <c r="L70" s="496"/>
      <c r="M70" s="496"/>
      <c r="N70" s="496"/>
      <c r="O70" s="497"/>
      <c r="P70" s="496"/>
      <c r="Q70" s="496"/>
      <c r="R70" s="497"/>
      <c r="S70" s="495"/>
      <c r="T70" s="496"/>
      <c r="U70" s="495"/>
      <c r="V70" s="497"/>
      <c r="X70" s="205">
        <f>'Q (t)'!G70</f>
        <v>0</v>
      </c>
      <c r="Y70" s="206">
        <f>'Q (t)'!H70</f>
        <v>0</v>
      </c>
      <c r="Z70" s="207">
        <f>'Q (t)'!I70</f>
        <v>0</v>
      </c>
      <c r="AA70" s="207">
        <f>'Q (t)'!J70</f>
        <v>0</v>
      </c>
      <c r="AB70" s="208">
        <f>'Q (t)'!K70</f>
        <v>0</v>
      </c>
      <c r="AC70" s="207">
        <f>'Q (t)'!L70</f>
        <v>0</v>
      </c>
      <c r="AD70" s="207">
        <f>'Q (t)'!M70</f>
        <v>0</v>
      </c>
      <c r="AE70" s="207">
        <f>'Q (t)'!N70</f>
        <v>0</v>
      </c>
      <c r="AF70" s="208">
        <f>'Q (t)'!O70</f>
        <v>0</v>
      </c>
      <c r="AG70" s="207">
        <f>'Q (t)'!P70</f>
        <v>0</v>
      </c>
      <c r="AH70" s="207">
        <f>'Q (t)'!Q70</f>
        <v>0</v>
      </c>
      <c r="AI70" s="208">
        <f>'Q (t)'!R70</f>
        <v>0</v>
      </c>
      <c r="AJ70" s="206">
        <f>'Q (t)'!S70</f>
        <v>0</v>
      </c>
      <c r="AK70" s="207">
        <f>'Q (t)'!T70</f>
        <v>0</v>
      </c>
      <c r="AL70" s="206">
        <f>'Q (t)'!U70</f>
        <v>0</v>
      </c>
      <c r="AM70" s="208">
        <f>'Q (t)'!V70</f>
        <v>0</v>
      </c>
      <c r="AO70" s="205">
        <f t="shared" si="8"/>
        <v>0</v>
      </c>
      <c r="AP70" s="206">
        <f t="shared" si="58"/>
        <v>0</v>
      </c>
      <c r="AQ70" s="207">
        <f t="shared" si="58"/>
        <v>0</v>
      </c>
      <c r="AR70" s="207">
        <f t="shared" si="58"/>
        <v>0</v>
      </c>
      <c r="AS70" s="208">
        <f t="shared" si="58"/>
        <v>0</v>
      </c>
      <c r="AT70" s="207">
        <f t="shared" si="58"/>
        <v>0</v>
      </c>
      <c r="AU70" s="207">
        <f t="shared" si="58"/>
        <v>0</v>
      </c>
      <c r="AV70" s="207">
        <f t="shared" si="58"/>
        <v>0</v>
      </c>
      <c r="AW70" s="208">
        <f t="shared" si="58"/>
        <v>0</v>
      </c>
      <c r="AX70" s="207">
        <f t="shared" si="1"/>
        <v>0</v>
      </c>
      <c r="AY70" s="207">
        <f t="shared" si="2"/>
        <v>0</v>
      </c>
      <c r="AZ70" s="208">
        <f t="shared" si="3"/>
        <v>0</v>
      </c>
      <c r="BA70" s="206">
        <f t="shared" si="4"/>
        <v>0</v>
      </c>
      <c r="BB70" s="207">
        <f t="shared" si="5"/>
        <v>0</v>
      </c>
      <c r="BC70" s="206">
        <f t="shared" si="6"/>
        <v>0</v>
      </c>
      <c r="BD70" s="207">
        <f t="shared" si="7"/>
        <v>0</v>
      </c>
      <c r="BE70" s="242">
        <f t="shared" si="9"/>
        <v>0</v>
      </c>
      <c r="BF70" s="243">
        <f t="shared" si="31"/>
        <v>0</v>
      </c>
      <c r="BH70" s="253">
        <f>SUBTOTAL(9,BH71:BH93)</f>
        <v>2852.2212520000003</v>
      </c>
      <c r="BI70" s="253">
        <f>SUBTOTAL(9,BI71:BI93)</f>
        <v>13655.1608</v>
      </c>
      <c r="BJ70" s="253">
        <f>SUBTOTAL(9,BJ71:BJ93)</f>
        <v>0</v>
      </c>
      <c r="BK70" s="253">
        <f>SUBTOTAL(9,BK71:BK93)</f>
        <v>15330.75993</v>
      </c>
      <c r="BL70" s="253">
        <f>SUBTOTAL(9,BL71:BL93)</f>
        <v>0</v>
      </c>
      <c r="BM70" s="257">
        <f t="shared" si="12"/>
        <v>31838.141982000001</v>
      </c>
      <c r="BO70" s="714" t="str">
        <f t="shared" si="11"/>
        <v/>
      </c>
    </row>
    <row r="71" spans="1:67" ht="15" customHeight="1" x14ac:dyDescent="0.25">
      <c r="B71" s="156"/>
      <c r="C71" s="126" t="s">
        <v>103</v>
      </c>
      <c r="D71" s="202"/>
      <c r="E71" s="202"/>
      <c r="G71" s="482"/>
      <c r="H71" s="479"/>
      <c r="I71" s="461"/>
      <c r="J71" s="461"/>
      <c r="K71" s="462"/>
      <c r="L71" s="461"/>
      <c r="M71" s="461"/>
      <c r="N71" s="461"/>
      <c r="O71" s="462"/>
      <c r="P71" s="461"/>
      <c r="Q71" s="461"/>
      <c r="R71" s="462"/>
      <c r="S71" s="479"/>
      <c r="T71" s="461"/>
      <c r="U71" s="479"/>
      <c r="V71" s="462"/>
      <c r="X71" s="183">
        <f>'Q (t)'!G71</f>
        <v>0</v>
      </c>
      <c r="Y71" s="184">
        <f>'Q (t)'!H71</f>
        <v>0</v>
      </c>
      <c r="Z71" s="178">
        <f>'Q (t)'!I71</f>
        <v>0</v>
      </c>
      <c r="AA71" s="178">
        <f>'Q (t)'!J71</f>
        <v>0</v>
      </c>
      <c r="AB71" s="179">
        <f>'Q (t)'!K71</f>
        <v>0</v>
      </c>
      <c r="AC71" s="178">
        <f>'Q (t)'!L71</f>
        <v>0</v>
      </c>
      <c r="AD71" s="178">
        <f>'Q (t)'!M71</f>
        <v>0</v>
      </c>
      <c r="AE71" s="178">
        <f>'Q (t)'!N71</f>
        <v>0</v>
      </c>
      <c r="AF71" s="179">
        <f>'Q (t)'!O71</f>
        <v>0</v>
      </c>
      <c r="AG71" s="178">
        <f>'Q (t)'!P71</f>
        <v>0</v>
      </c>
      <c r="AH71" s="178">
        <f>'Q (t)'!Q71</f>
        <v>0</v>
      </c>
      <c r="AI71" s="179">
        <f>'Q (t)'!R71</f>
        <v>0</v>
      </c>
      <c r="AJ71" s="184">
        <f>'Q (t)'!S71</f>
        <v>0</v>
      </c>
      <c r="AK71" s="178">
        <f>'Q (t)'!T71</f>
        <v>0</v>
      </c>
      <c r="AL71" s="184">
        <f>'Q (t)'!U71</f>
        <v>0</v>
      </c>
      <c r="AM71" s="179">
        <f>'Q (t)'!V71</f>
        <v>0</v>
      </c>
      <c r="AO71" s="183">
        <f t="shared" si="8"/>
        <v>0</v>
      </c>
      <c r="AP71" s="184">
        <f t="shared" si="58"/>
        <v>0</v>
      </c>
      <c r="AQ71" s="178">
        <f t="shared" si="58"/>
        <v>0</v>
      </c>
      <c r="AR71" s="178">
        <f t="shared" si="58"/>
        <v>0</v>
      </c>
      <c r="AS71" s="179">
        <f t="shared" si="58"/>
        <v>0</v>
      </c>
      <c r="AT71" s="178">
        <f t="shared" si="58"/>
        <v>0</v>
      </c>
      <c r="AU71" s="178">
        <f t="shared" si="58"/>
        <v>0</v>
      </c>
      <c r="AV71" s="178">
        <f t="shared" si="58"/>
        <v>0</v>
      </c>
      <c r="AW71" s="179">
        <f t="shared" si="58"/>
        <v>0</v>
      </c>
      <c r="AX71" s="178">
        <f t="shared" si="1"/>
        <v>0</v>
      </c>
      <c r="AY71" s="178">
        <f t="shared" si="2"/>
        <v>0</v>
      </c>
      <c r="AZ71" s="179">
        <f t="shared" si="3"/>
        <v>0</v>
      </c>
      <c r="BA71" s="184">
        <f t="shared" si="4"/>
        <v>0</v>
      </c>
      <c r="BB71" s="178">
        <f t="shared" si="5"/>
        <v>0</v>
      </c>
      <c r="BC71" s="184">
        <f t="shared" si="6"/>
        <v>0</v>
      </c>
      <c r="BD71" s="178">
        <f t="shared" si="7"/>
        <v>0</v>
      </c>
      <c r="BE71" s="244">
        <f t="shared" si="9"/>
        <v>0</v>
      </c>
      <c r="BF71" s="245">
        <f t="shared" si="31"/>
        <v>0</v>
      </c>
      <c r="BH71" s="252">
        <f>SUBTOTAL(9,BH72:BH77)</f>
        <v>2437.0990870000001</v>
      </c>
      <c r="BI71" s="252">
        <f>SUBTOTAL(9,BI72:BI77)</f>
        <v>12495.595799999999</v>
      </c>
      <c r="BJ71" s="252">
        <f>SUBTOTAL(9,BJ72:BJ77)</f>
        <v>0</v>
      </c>
      <c r="BK71" s="252">
        <f>SUBTOTAL(9,BK72:BK77)</f>
        <v>14614.437404666667</v>
      </c>
      <c r="BL71" s="252">
        <f>SUBTOTAL(9,BL72:BL77)</f>
        <v>0</v>
      </c>
      <c r="BM71" s="257">
        <f t="shared" si="12"/>
        <v>29547.132291666669</v>
      </c>
      <c r="BO71" s="714" t="str">
        <f t="shared" si="11"/>
        <v/>
      </c>
    </row>
    <row r="72" spans="1:67" ht="15" customHeight="1" x14ac:dyDescent="0.25">
      <c r="B72" s="156">
        <v>1</v>
      </c>
      <c r="C72" s="180" t="s">
        <v>585</v>
      </c>
      <c r="D72" s="181" t="s">
        <v>586</v>
      </c>
      <c r="E72" s="210" t="s">
        <v>104</v>
      </c>
      <c r="G72" s="477">
        <f>ROUND('[15]DUoS (t)'!G70*$BT$134,4)</f>
        <v>39.962600000000002</v>
      </c>
      <c r="H72" s="479"/>
      <c r="I72" s="483">
        <f>ROUND('[15]DUoS (t)'!I70*$BT$134,4)</f>
        <v>2.3199999999999998E-2</v>
      </c>
      <c r="J72" s="461"/>
      <c r="K72" s="484">
        <f>ROUND('[15]DUoS (t)'!K70*$BT$134,4)</f>
        <v>1.4500000000000001E-2</v>
      </c>
      <c r="L72" s="461"/>
      <c r="M72" s="461"/>
      <c r="N72" s="461"/>
      <c r="O72" s="462"/>
      <c r="P72" s="461"/>
      <c r="Q72" s="461"/>
      <c r="R72" s="462"/>
      <c r="S72" s="478">
        <f>ROUND('[15]DUoS (t)'!S70*$BT$134,4)</f>
        <v>0.1036</v>
      </c>
      <c r="T72" s="483">
        <f>ROUND('[15]DUoS (t)'!T70*$BT$134,4)</f>
        <v>0.1007</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8"/>
        <v>2173.3660010000003</v>
      </c>
      <c r="AP72" s="184">
        <f t="shared" si="58"/>
        <v>0</v>
      </c>
      <c r="AQ72" s="178">
        <f t="shared" si="58"/>
        <v>7027.8367999999991</v>
      </c>
      <c r="AR72" s="178">
        <f t="shared" si="58"/>
        <v>0</v>
      </c>
      <c r="AS72" s="179">
        <f t="shared" si="58"/>
        <v>4124.1190000000006</v>
      </c>
      <c r="AT72" s="178">
        <f t="shared" si="58"/>
        <v>0</v>
      </c>
      <c r="AU72" s="178">
        <f t="shared" si="58"/>
        <v>0</v>
      </c>
      <c r="AV72" s="178">
        <f t="shared" si="58"/>
        <v>0</v>
      </c>
      <c r="AW72" s="179">
        <f t="shared" si="58"/>
        <v>0</v>
      </c>
      <c r="AX72" s="178">
        <f t="shared" si="1"/>
        <v>0</v>
      </c>
      <c r="AY72" s="178">
        <f t="shared" si="2"/>
        <v>0</v>
      </c>
      <c r="AZ72" s="179">
        <f t="shared" si="3"/>
        <v>0</v>
      </c>
      <c r="BA72" s="184">
        <f t="shared" si="4"/>
        <v>5702.9310146666667</v>
      </c>
      <c r="BB72" s="178">
        <f t="shared" si="5"/>
        <v>7048.3081910000001</v>
      </c>
      <c r="BC72" s="184">
        <f t="shared" si="6"/>
        <v>0</v>
      </c>
      <c r="BD72" s="178">
        <f t="shared" si="7"/>
        <v>0</v>
      </c>
      <c r="BE72" s="244">
        <f t="shared" si="9"/>
        <v>149</v>
      </c>
      <c r="BF72" s="245">
        <f t="shared" si="31"/>
        <v>587346</v>
      </c>
      <c r="BH72" s="255">
        <f t="shared" ref="BH72:BH92" si="59">SUM(AO72)</f>
        <v>2173.3660010000003</v>
      </c>
      <c r="BI72" s="255">
        <f t="shared" ref="BI72:BI92" si="60">SUM(AP72:AS72)</f>
        <v>11151.9558</v>
      </c>
      <c r="BJ72" s="255">
        <f t="shared" ref="BJ72:BJ92" si="61">SUM(AT72:AW72)</f>
        <v>0</v>
      </c>
      <c r="BK72" s="256">
        <f t="shared" ref="BK72:BK92" si="62">SUM(AX72:BB72)</f>
        <v>12751.239205666667</v>
      </c>
      <c r="BL72" s="262">
        <f t="shared" ref="BL72:BL92" si="63">SUM(BC72:BD72)</f>
        <v>0</v>
      </c>
      <c r="BM72" s="257">
        <f t="shared" si="12"/>
        <v>26076.561006666667</v>
      </c>
      <c r="BO72" s="714">
        <f t="shared" si="11"/>
        <v>44.397273509424885</v>
      </c>
    </row>
    <row r="73" spans="1:67" ht="15" customHeight="1" x14ac:dyDescent="0.25">
      <c r="B73" s="156">
        <f>B72+1</f>
        <v>2</v>
      </c>
      <c r="C73" s="180" t="s">
        <v>587</v>
      </c>
      <c r="D73" s="181" t="s">
        <v>588</v>
      </c>
      <c r="E73" s="210" t="s">
        <v>105</v>
      </c>
      <c r="G73" s="477">
        <f>ROUND('[15]DUoS (t)'!G71*$BT$134,4)</f>
        <v>39.962600000000002</v>
      </c>
      <c r="H73" s="479"/>
      <c r="I73" s="483">
        <f>ROUND('[15]DUoS (t)'!I71*$BT$134,4)</f>
        <v>2.3199999999999998E-2</v>
      </c>
      <c r="J73" s="461"/>
      <c r="K73" s="484">
        <f>ROUND('[15]DUoS (t)'!K71*$BT$134,4)</f>
        <v>1.4500000000000001E-2</v>
      </c>
      <c r="L73" s="461"/>
      <c r="M73" s="461"/>
      <c r="N73" s="461"/>
      <c r="O73" s="462"/>
      <c r="P73" s="483">
        <f>ROUND('[15]DUoS (t)'!P71*$BT$134,4)</f>
        <v>0.3755</v>
      </c>
      <c r="Q73" s="461"/>
      <c r="R73" s="462"/>
      <c r="S73" s="479"/>
      <c r="T73" s="483">
        <f>ROUND('[15]DUoS (t)'!T71*$BT$134,4)</f>
        <v>0.1007</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8"/>
        <v>204.20888600000001</v>
      </c>
      <c r="AP73" s="184">
        <f t="shared" si="58"/>
        <v>0</v>
      </c>
      <c r="AQ73" s="178">
        <f t="shared" si="58"/>
        <v>600.88</v>
      </c>
      <c r="AR73" s="178">
        <f t="shared" si="58"/>
        <v>0</v>
      </c>
      <c r="AS73" s="179">
        <f t="shared" si="58"/>
        <v>362.5</v>
      </c>
      <c r="AT73" s="178">
        <f t="shared" si="58"/>
        <v>0</v>
      </c>
      <c r="AU73" s="178">
        <f t="shared" si="58"/>
        <v>0</v>
      </c>
      <c r="AV73" s="178">
        <f t="shared" si="58"/>
        <v>0</v>
      </c>
      <c r="AW73" s="179">
        <f t="shared" si="58"/>
        <v>0</v>
      </c>
      <c r="AX73" s="178">
        <f t="shared" si="1"/>
        <v>558.78342750000002</v>
      </c>
      <c r="AY73" s="178">
        <f t="shared" si="2"/>
        <v>0</v>
      </c>
      <c r="AZ73" s="179">
        <f t="shared" si="3"/>
        <v>0</v>
      </c>
      <c r="BA73" s="184">
        <f t="shared" si="4"/>
        <v>0</v>
      </c>
      <c r="BB73" s="178">
        <f t="shared" si="5"/>
        <v>962.36925650000001</v>
      </c>
      <c r="BC73" s="184">
        <f t="shared" si="6"/>
        <v>0</v>
      </c>
      <c r="BD73" s="178">
        <f t="shared" si="7"/>
        <v>0</v>
      </c>
      <c r="BE73" s="244">
        <f t="shared" si="9"/>
        <v>14</v>
      </c>
      <c r="BF73" s="245">
        <f t="shared" si="31"/>
        <v>50900</v>
      </c>
      <c r="BH73" s="255">
        <f t="shared" si="59"/>
        <v>204.20888600000001</v>
      </c>
      <c r="BI73" s="255">
        <f t="shared" si="60"/>
        <v>963.38</v>
      </c>
      <c r="BJ73" s="255">
        <f t="shared" si="61"/>
        <v>0</v>
      </c>
      <c r="BK73" s="256">
        <f t="shared" si="62"/>
        <v>1521.1526840000001</v>
      </c>
      <c r="BL73" s="262">
        <f t="shared" si="63"/>
        <v>0</v>
      </c>
      <c r="BM73" s="257">
        <f t="shared" si="12"/>
        <v>2688.7415700000001</v>
      </c>
      <c r="BO73" s="714">
        <f t="shared" si="11"/>
        <v>52.823999410609041</v>
      </c>
    </row>
    <row r="74" spans="1:67" ht="15" customHeight="1" x14ac:dyDescent="0.25">
      <c r="B74" s="156">
        <f>B73+1</f>
        <v>3</v>
      </c>
      <c r="C74" s="842" t="s">
        <v>589</v>
      </c>
      <c r="D74" s="843" t="s">
        <v>590</v>
      </c>
      <c r="E74" s="844" t="s">
        <v>106</v>
      </c>
      <c r="G74" s="482"/>
      <c r="H74" s="479"/>
      <c r="I74" s="461"/>
      <c r="J74" s="461"/>
      <c r="K74" s="462"/>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8"/>
        <v>0</v>
      </c>
      <c r="AP74" s="184">
        <f t="shared" si="58"/>
        <v>0</v>
      </c>
      <c r="AQ74" s="178">
        <f t="shared" si="58"/>
        <v>0</v>
      </c>
      <c r="AR74" s="178">
        <f t="shared" si="58"/>
        <v>0</v>
      </c>
      <c r="AS74" s="179">
        <f t="shared" si="58"/>
        <v>0</v>
      </c>
      <c r="AT74" s="178">
        <f t="shared" si="58"/>
        <v>0</v>
      </c>
      <c r="AU74" s="178">
        <f t="shared" si="58"/>
        <v>0</v>
      </c>
      <c r="AV74" s="178">
        <f t="shared" si="58"/>
        <v>0</v>
      </c>
      <c r="AW74" s="179">
        <f t="shared" si="58"/>
        <v>0</v>
      </c>
      <c r="AX74" s="178">
        <f t="shared" si="1"/>
        <v>0</v>
      </c>
      <c r="AY74" s="178">
        <f t="shared" si="2"/>
        <v>0</v>
      </c>
      <c r="AZ74" s="179">
        <f t="shared" si="3"/>
        <v>0</v>
      </c>
      <c r="BA74" s="184">
        <f t="shared" si="4"/>
        <v>0</v>
      </c>
      <c r="BB74" s="178">
        <f t="shared" si="5"/>
        <v>0</v>
      </c>
      <c r="BC74" s="184">
        <f t="shared" si="6"/>
        <v>0</v>
      </c>
      <c r="BD74" s="178">
        <f t="shared" si="7"/>
        <v>0</v>
      </c>
      <c r="BE74" s="244">
        <f t="shared" si="9"/>
        <v>0</v>
      </c>
      <c r="BF74" s="245">
        <f t="shared" si="31"/>
        <v>0</v>
      </c>
      <c r="BH74" s="255">
        <f t="shared" si="59"/>
        <v>0</v>
      </c>
      <c r="BI74" s="255">
        <f t="shared" si="60"/>
        <v>0</v>
      </c>
      <c r="BJ74" s="255">
        <f t="shared" si="61"/>
        <v>0</v>
      </c>
      <c r="BK74" s="256">
        <f t="shared" si="62"/>
        <v>0</v>
      </c>
      <c r="BL74" s="262">
        <f t="shared" si="63"/>
        <v>0</v>
      </c>
      <c r="BM74" s="257">
        <f t="shared" si="12"/>
        <v>0</v>
      </c>
      <c r="BO74" s="714" t="str">
        <f t="shared" si="11"/>
        <v/>
      </c>
    </row>
    <row r="75" spans="1:67" ht="15" customHeight="1" x14ac:dyDescent="0.25">
      <c r="B75" s="156">
        <f>B74+1</f>
        <v>4</v>
      </c>
      <c r="C75" s="180" t="s">
        <v>107</v>
      </c>
      <c r="D75" s="181" t="s">
        <v>107</v>
      </c>
      <c r="E75" s="210" t="s">
        <v>108</v>
      </c>
      <c r="G75" s="850">
        <f>ROUND('[15]2020-25 Pricing Schedule'!$J$122/Days_Year,4)</f>
        <v>5.4794</v>
      </c>
      <c r="H75" s="859">
        <f>'[15]2020-25 Pricing Schedule'!$J$125</f>
        <v>5.8699999999999995E-2</v>
      </c>
      <c r="I75" s="461"/>
      <c r="J75" s="461"/>
      <c r="K75" s="462"/>
      <c r="L75" s="461"/>
      <c r="M75" s="461"/>
      <c r="N75" s="461"/>
      <c r="O75" s="462"/>
      <c r="P75" s="461"/>
      <c r="Q75" s="860">
        <f>'DUoS (t-1)'!Q75</f>
        <v>0.30940000000000001</v>
      </c>
      <c r="R75" s="861">
        <f>'DUoS (t-1)'!R75</f>
        <v>0.15310000000000001</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8"/>
        <v>0</v>
      </c>
      <c r="AP75" s="184">
        <f t="shared" si="58"/>
        <v>0</v>
      </c>
      <c r="AQ75" s="178">
        <f t="shared" si="58"/>
        <v>0</v>
      </c>
      <c r="AR75" s="178">
        <f t="shared" si="58"/>
        <v>0</v>
      </c>
      <c r="AS75" s="179">
        <f t="shared" si="58"/>
        <v>0</v>
      </c>
      <c r="AT75" s="178">
        <f t="shared" si="58"/>
        <v>0</v>
      </c>
      <c r="AU75" s="178">
        <f t="shared" si="58"/>
        <v>0</v>
      </c>
      <c r="AV75" s="178">
        <f t="shared" si="58"/>
        <v>0</v>
      </c>
      <c r="AW75" s="179">
        <f t="shared" si="58"/>
        <v>0</v>
      </c>
      <c r="AX75" s="178">
        <f t="shared" si="1"/>
        <v>0</v>
      </c>
      <c r="AY75" s="178">
        <f t="shared" si="2"/>
        <v>0</v>
      </c>
      <c r="AZ75" s="179">
        <f t="shared" si="3"/>
        <v>0</v>
      </c>
      <c r="BA75" s="184">
        <f t="shared" si="4"/>
        <v>0</v>
      </c>
      <c r="BB75" s="178">
        <f t="shared" si="5"/>
        <v>0</v>
      </c>
      <c r="BC75" s="184">
        <f t="shared" si="6"/>
        <v>0</v>
      </c>
      <c r="BD75" s="178">
        <f t="shared" si="7"/>
        <v>0</v>
      </c>
      <c r="BE75" s="244">
        <f t="shared" si="9"/>
        <v>0</v>
      </c>
      <c r="BF75" s="245">
        <f t="shared" si="31"/>
        <v>0</v>
      </c>
      <c r="BH75" s="255">
        <f t="shared" si="59"/>
        <v>0</v>
      </c>
      <c r="BI75" s="255">
        <f t="shared" si="60"/>
        <v>0</v>
      </c>
      <c r="BJ75" s="255">
        <f t="shared" si="61"/>
        <v>0</v>
      </c>
      <c r="BK75" s="256">
        <f t="shared" si="62"/>
        <v>0</v>
      </c>
      <c r="BL75" s="262">
        <f t="shared" si="63"/>
        <v>0</v>
      </c>
      <c r="BM75" s="257">
        <f t="shared" si="12"/>
        <v>0</v>
      </c>
      <c r="BO75" s="714" t="str">
        <f t="shared" si="11"/>
        <v/>
      </c>
    </row>
    <row r="76" spans="1:67" ht="15" customHeight="1" x14ac:dyDescent="0.25">
      <c r="B76" s="156">
        <f>B75+1</f>
        <v>5</v>
      </c>
      <c r="C76" s="849" t="s">
        <v>591</v>
      </c>
      <c r="D76" s="200" t="s">
        <v>592</v>
      </c>
      <c r="E76" s="210" t="s">
        <v>109</v>
      </c>
      <c r="G76" s="862">
        <f>G49</f>
        <v>6.7949999999999999</v>
      </c>
      <c r="H76" s="479"/>
      <c r="I76" s="851">
        <f>I49</f>
        <v>4.1799999999999997E-2</v>
      </c>
      <c r="J76" s="461"/>
      <c r="K76" s="852">
        <f>K49</f>
        <v>2.6100000000000002E-2</v>
      </c>
      <c r="L76" s="461"/>
      <c r="M76" s="461"/>
      <c r="N76" s="461"/>
      <c r="O76" s="462"/>
      <c r="P76" s="461"/>
      <c r="Q76" s="461"/>
      <c r="R76" s="462"/>
      <c r="S76" s="863">
        <f>S49</f>
        <v>0.14380000000000001</v>
      </c>
      <c r="T76" s="851">
        <f>T49</f>
        <v>0.1028</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8"/>
        <v>59.5242</v>
      </c>
      <c r="AP76" s="184">
        <f t="shared" si="58"/>
        <v>0</v>
      </c>
      <c r="AQ76" s="178">
        <f t="shared" si="58"/>
        <v>254.98</v>
      </c>
      <c r="AR76" s="178">
        <f t="shared" si="58"/>
        <v>0</v>
      </c>
      <c r="AS76" s="179">
        <f t="shared" si="58"/>
        <v>125.28</v>
      </c>
      <c r="AT76" s="178">
        <f t="shared" si="58"/>
        <v>0</v>
      </c>
      <c r="AU76" s="178">
        <f t="shared" si="58"/>
        <v>0</v>
      </c>
      <c r="AV76" s="178">
        <f t="shared" si="58"/>
        <v>0</v>
      </c>
      <c r="AW76" s="179">
        <f t="shared" si="58"/>
        <v>0</v>
      </c>
      <c r="AX76" s="178">
        <f t="shared" si="1"/>
        <v>0</v>
      </c>
      <c r="AY76" s="178">
        <f t="shared" si="2"/>
        <v>0</v>
      </c>
      <c r="AZ76" s="179">
        <f t="shared" si="3"/>
        <v>0</v>
      </c>
      <c r="BA76" s="184">
        <f t="shared" si="4"/>
        <v>114.99901700000001</v>
      </c>
      <c r="BB76" s="178">
        <f t="shared" si="5"/>
        <v>194.70165800000001</v>
      </c>
      <c r="BC76" s="184">
        <f t="shared" si="6"/>
        <v>0</v>
      </c>
      <c r="BD76" s="178">
        <f t="shared" si="7"/>
        <v>0</v>
      </c>
      <c r="BE76" s="244">
        <f t="shared" si="9"/>
        <v>24</v>
      </c>
      <c r="BF76" s="245">
        <f t="shared" si="31"/>
        <v>10900</v>
      </c>
      <c r="BH76" s="255">
        <f t="shared" si="59"/>
        <v>59.5242</v>
      </c>
      <c r="BI76" s="255">
        <f t="shared" si="60"/>
        <v>380.26</v>
      </c>
      <c r="BJ76" s="255">
        <f t="shared" si="61"/>
        <v>0</v>
      </c>
      <c r="BK76" s="256">
        <f t="shared" si="62"/>
        <v>309.70067500000005</v>
      </c>
      <c r="BL76" s="262">
        <f t="shared" si="63"/>
        <v>0</v>
      </c>
      <c r="BM76" s="257">
        <f t="shared" si="12"/>
        <v>749.4848750000001</v>
      </c>
      <c r="BO76" s="714">
        <f t="shared" si="11"/>
        <v>68.76008027522937</v>
      </c>
    </row>
    <row r="77" spans="1:67" ht="15" customHeight="1" x14ac:dyDescent="0.25">
      <c r="B77" s="156">
        <f>B76+1</f>
        <v>6</v>
      </c>
      <c r="C77" s="180" t="s">
        <v>593</v>
      </c>
      <c r="D77" s="181" t="s">
        <v>594</v>
      </c>
      <c r="E77" s="210" t="s">
        <v>110</v>
      </c>
      <c r="G77" s="477">
        <f>ROUND('[15]DUoS (t)'!G75*$BT$134,4)</f>
        <v>0</v>
      </c>
      <c r="H77" s="479"/>
      <c r="I77" s="483">
        <f>ROUND('[15]DUoS (t)'!I75*$BT$134,4)</f>
        <v>0</v>
      </c>
      <c r="J77" s="461"/>
      <c r="K77" s="484">
        <f>ROUND('[15]DUoS (t)'!K75*$BT$134,4)</f>
        <v>0</v>
      </c>
      <c r="L77" s="461"/>
      <c r="M77" s="461"/>
      <c r="N77" s="461"/>
      <c r="O77" s="462"/>
      <c r="P77" s="461"/>
      <c r="Q77" s="461"/>
      <c r="R77" s="462"/>
      <c r="S77" s="478">
        <f>ROUND('[15]DUoS (t)'!S75*$BT$134,4)</f>
        <v>0.1036</v>
      </c>
      <c r="T77" s="483">
        <f>ROUND('[15]DUoS (t)'!T75*$BT$134,4)</f>
        <v>0.1007</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8"/>
        <v>0</v>
      </c>
      <c r="AP77" s="184">
        <f t="shared" si="58"/>
        <v>0</v>
      </c>
      <c r="AQ77" s="178">
        <f t="shared" si="58"/>
        <v>0</v>
      </c>
      <c r="AR77" s="178">
        <f t="shared" si="58"/>
        <v>0</v>
      </c>
      <c r="AS77" s="179">
        <f t="shared" si="58"/>
        <v>0</v>
      </c>
      <c r="AT77" s="178">
        <f t="shared" si="58"/>
        <v>0</v>
      </c>
      <c r="AU77" s="178">
        <f t="shared" si="58"/>
        <v>0</v>
      </c>
      <c r="AV77" s="178">
        <f t="shared" si="58"/>
        <v>0</v>
      </c>
      <c r="AW77" s="179">
        <f t="shared" si="58"/>
        <v>0</v>
      </c>
      <c r="AX77" s="178">
        <f t="shared" si="1"/>
        <v>0</v>
      </c>
      <c r="AY77" s="178">
        <f t="shared" si="2"/>
        <v>0</v>
      </c>
      <c r="AZ77" s="179">
        <f t="shared" si="3"/>
        <v>0</v>
      </c>
      <c r="BA77" s="184">
        <f t="shared" si="4"/>
        <v>0</v>
      </c>
      <c r="BB77" s="178">
        <f t="shared" si="5"/>
        <v>32.344839999999998</v>
      </c>
      <c r="BC77" s="184">
        <f t="shared" si="6"/>
        <v>0</v>
      </c>
      <c r="BD77" s="178">
        <f t="shared" si="7"/>
        <v>0</v>
      </c>
      <c r="BE77" s="244">
        <f t="shared" si="9"/>
        <v>9</v>
      </c>
      <c r="BF77" s="245">
        <f t="shared" si="31"/>
        <v>2700</v>
      </c>
      <c r="BH77" s="255">
        <f t="shared" si="59"/>
        <v>0</v>
      </c>
      <c r="BI77" s="255">
        <f t="shared" si="60"/>
        <v>0</v>
      </c>
      <c r="BJ77" s="255">
        <f t="shared" si="61"/>
        <v>0</v>
      </c>
      <c r="BK77" s="256">
        <f t="shared" si="62"/>
        <v>32.344839999999998</v>
      </c>
      <c r="BL77" s="262">
        <f t="shared" si="63"/>
        <v>0</v>
      </c>
      <c r="BM77" s="257">
        <f t="shared" si="12"/>
        <v>32.344839999999998</v>
      </c>
      <c r="BO77" s="714">
        <f t="shared" si="11"/>
        <v>11.97957037037037</v>
      </c>
    </row>
    <row r="78" spans="1:67" ht="15" customHeight="1" x14ac:dyDescent="0.25">
      <c r="B78" s="156"/>
      <c r="C78" s="211"/>
      <c r="D78" s="212"/>
      <c r="E78" s="213"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8"/>
        <v>0</v>
      </c>
      <c r="AP78" s="184">
        <f t="shared" si="58"/>
        <v>0</v>
      </c>
      <c r="AQ78" s="178">
        <f t="shared" si="58"/>
        <v>0</v>
      </c>
      <c r="AR78" s="178">
        <f t="shared" si="58"/>
        <v>0</v>
      </c>
      <c r="AS78" s="179">
        <f t="shared" si="58"/>
        <v>0</v>
      </c>
      <c r="AT78" s="178">
        <f t="shared" si="58"/>
        <v>0</v>
      </c>
      <c r="AU78" s="178">
        <f t="shared" si="58"/>
        <v>0</v>
      </c>
      <c r="AV78" s="178">
        <f t="shared" si="58"/>
        <v>0</v>
      </c>
      <c r="AW78" s="179">
        <f t="shared" si="58"/>
        <v>0</v>
      </c>
      <c r="AX78" s="178">
        <f t="shared" si="1"/>
        <v>0</v>
      </c>
      <c r="AY78" s="178">
        <f t="shared" si="2"/>
        <v>0</v>
      </c>
      <c r="AZ78" s="179">
        <f t="shared" si="3"/>
        <v>0</v>
      </c>
      <c r="BA78" s="184">
        <f t="shared" si="4"/>
        <v>0</v>
      </c>
      <c r="BB78" s="178">
        <f t="shared" si="5"/>
        <v>0</v>
      </c>
      <c r="BC78" s="184">
        <f t="shared" si="6"/>
        <v>0</v>
      </c>
      <c r="BD78" s="178">
        <f t="shared" si="7"/>
        <v>0</v>
      </c>
      <c r="BE78" s="244">
        <f t="shared" si="9"/>
        <v>0</v>
      </c>
      <c r="BF78" s="245">
        <f t="shared" si="31"/>
        <v>0</v>
      </c>
      <c r="BH78" s="255">
        <f t="shared" si="59"/>
        <v>0</v>
      </c>
      <c r="BI78" s="255">
        <f t="shared" si="60"/>
        <v>0</v>
      </c>
      <c r="BJ78" s="255">
        <f t="shared" si="61"/>
        <v>0</v>
      </c>
      <c r="BK78" s="256">
        <f t="shared" si="62"/>
        <v>0</v>
      </c>
      <c r="BL78" s="262">
        <f t="shared" si="63"/>
        <v>0</v>
      </c>
      <c r="BM78" s="257">
        <f t="shared" si="12"/>
        <v>0</v>
      </c>
      <c r="BO78" s="714" t="str">
        <f t="shared" si="11"/>
        <v/>
      </c>
    </row>
    <row r="79" spans="1:67" ht="15" customHeight="1" x14ac:dyDescent="0.25">
      <c r="B79" s="19">
        <f>B77+1</f>
        <v>7</v>
      </c>
      <c r="C79" s="833" t="s">
        <v>553</v>
      </c>
      <c r="D79" s="45"/>
      <c r="E79" s="835" t="s">
        <v>104</v>
      </c>
      <c r="G79" s="482"/>
      <c r="H79" s="479"/>
      <c r="I79" s="461"/>
      <c r="J79" s="461"/>
      <c r="K79" s="462"/>
      <c r="L79" s="461"/>
      <c r="M79" s="461"/>
      <c r="N79" s="461"/>
      <c r="O79" s="462"/>
      <c r="P79" s="461"/>
      <c r="Q79" s="461"/>
      <c r="R79" s="462"/>
      <c r="S79" s="479"/>
      <c r="T79" s="461"/>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8"/>
        <v>0</v>
      </c>
      <c r="AP79" s="184">
        <f t="shared" si="58"/>
        <v>0</v>
      </c>
      <c r="AQ79" s="178">
        <f t="shared" si="58"/>
        <v>0</v>
      </c>
      <c r="AR79" s="178">
        <f t="shared" si="58"/>
        <v>0</v>
      </c>
      <c r="AS79" s="179">
        <f t="shared" si="58"/>
        <v>0</v>
      </c>
      <c r="AT79" s="178">
        <f t="shared" si="58"/>
        <v>0</v>
      </c>
      <c r="AU79" s="178">
        <f t="shared" si="58"/>
        <v>0</v>
      </c>
      <c r="AV79" s="178">
        <f t="shared" si="58"/>
        <v>0</v>
      </c>
      <c r="AW79" s="179">
        <f t="shared" si="58"/>
        <v>0</v>
      </c>
      <c r="AX79" s="178">
        <f t="shared" ref="AX79:AX129" si="64">P79*AG79/1000</f>
        <v>0</v>
      </c>
      <c r="AY79" s="178">
        <f t="shared" ref="AY79:AY129" si="65">Q79*AH79/1000</f>
        <v>0</v>
      </c>
      <c r="AZ79" s="179">
        <f t="shared" ref="AZ79:AZ129" si="66">R79*AI79/1000</f>
        <v>0</v>
      </c>
      <c r="BA79" s="184">
        <f t="shared" ref="BA79:BA129" si="67">S79*AJ79/1000</f>
        <v>0</v>
      </c>
      <c r="BB79" s="178">
        <f t="shared" ref="BB79:BB129" si="68">T79*AK79/1000</f>
        <v>0</v>
      </c>
      <c r="BC79" s="184">
        <f t="shared" ref="BC79:BC129" si="69">U79*AL79/1000</f>
        <v>0</v>
      </c>
      <c r="BD79" s="178">
        <f t="shared" ref="BD79:BD129" si="70">V79*AM79/1000</f>
        <v>0</v>
      </c>
      <c r="BE79" s="244">
        <f t="shared" si="9"/>
        <v>0</v>
      </c>
      <c r="BF79" s="245">
        <f t="shared" si="31"/>
        <v>0</v>
      </c>
      <c r="BH79" s="255">
        <f t="shared" si="59"/>
        <v>0</v>
      </c>
      <c r="BI79" s="255">
        <f t="shared" si="60"/>
        <v>0</v>
      </c>
      <c r="BJ79" s="255">
        <f t="shared" si="61"/>
        <v>0</v>
      </c>
      <c r="BK79" s="256">
        <f t="shared" si="62"/>
        <v>0</v>
      </c>
      <c r="BL79" s="262">
        <f t="shared" si="63"/>
        <v>0</v>
      </c>
      <c r="BM79" s="257">
        <f t="shared" si="12"/>
        <v>0</v>
      </c>
      <c r="BO79" s="714" t="str">
        <f t="shared" si="11"/>
        <v/>
      </c>
    </row>
    <row r="80" spans="1:67" ht="15" customHeight="1" x14ac:dyDescent="0.25">
      <c r="B80" s="19">
        <f t="shared" ref="B80:B93" si="71">B79+1</f>
        <v>8</v>
      </c>
      <c r="C80" s="833" t="s">
        <v>554</v>
      </c>
      <c r="D80" s="45"/>
      <c r="E80" s="835" t="s">
        <v>104</v>
      </c>
      <c r="G80" s="482"/>
      <c r="H80" s="479"/>
      <c r="I80" s="461"/>
      <c r="J80" s="461"/>
      <c r="K80" s="462"/>
      <c r="L80" s="461"/>
      <c r="M80" s="461"/>
      <c r="N80" s="461"/>
      <c r="O80" s="462"/>
      <c r="P80" s="461"/>
      <c r="Q80" s="461"/>
      <c r="R80" s="462"/>
      <c r="S80" s="479"/>
      <c r="T80" s="461"/>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ref="AO80:AO129" si="72">G80*X80/1000</f>
        <v>0</v>
      </c>
      <c r="AP80" s="184">
        <f t="shared" si="58"/>
        <v>0</v>
      </c>
      <c r="AQ80" s="178">
        <f t="shared" si="58"/>
        <v>0</v>
      </c>
      <c r="AR80" s="178">
        <f t="shared" si="58"/>
        <v>0</v>
      </c>
      <c r="AS80" s="179">
        <f t="shared" si="58"/>
        <v>0</v>
      </c>
      <c r="AT80" s="178">
        <f t="shared" si="58"/>
        <v>0</v>
      </c>
      <c r="AU80" s="178">
        <f t="shared" si="58"/>
        <v>0</v>
      </c>
      <c r="AV80" s="178">
        <f t="shared" si="58"/>
        <v>0</v>
      </c>
      <c r="AW80" s="179">
        <f t="shared" si="58"/>
        <v>0</v>
      </c>
      <c r="AX80" s="178">
        <f t="shared" si="64"/>
        <v>0</v>
      </c>
      <c r="AY80" s="178">
        <f t="shared" si="65"/>
        <v>0</v>
      </c>
      <c r="AZ80" s="179">
        <f t="shared" si="66"/>
        <v>0</v>
      </c>
      <c r="BA80" s="184">
        <f t="shared" si="67"/>
        <v>0</v>
      </c>
      <c r="BB80" s="178">
        <f t="shared" si="68"/>
        <v>0</v>
      </c>
      <c r="BC80" s="184">
        <f t="shared" si="69"/>
        <v>0</v>
      </c>
      <c r="BD80" s="178">
        <f t="shared" si="70"/>
        <v>0</v>
      </c>
      <c r="BE80" s="244">
        <f t="shared" ref="BE80:BE129" si="73">X80/$BE$7</f>
        <v>0</v>
      </c>
      <c r="BF80" s="245">
        <f t="shared" ref="BF80:BF111" si="74">SUM(Y80:AF80)</f>
        <v>0</v>
      </c>
      <c r="BH80" s="255">
        <f t="shared" si="59"/>
        <v>0</v>
      </c>
      <c r="BI80" s="255">
        <f t="shared" si="60"/>
        <v>0</v>
      </c>
      <c r="BJ80" s="255">
        <f t="shared" si="61"/>
        <v>0</v>
      </c>
      <c r="BK80" s="256">
        <f t="shared" si="62"/>
        <v>0</v>
      </c>
      <c r="BL80" s="262">
        <f t="shared" si="63"/>
        <v>0</v>
      </c>
      <c r="BM80" s="257">
        <f t="shared" ref="BM80:BM129" si="75">SUM(BH80:BL80)</f>
        <v>0</v>
      </c>
      <c r="BO80" s="714" t="str">
        <f t="shared" ref="BO80:BO129" si="76">IF(BF80=0,"",BM80*1000/BF80)</f>
        <v/>
      </c>
    </row>
    <row r="81" spans="2:67" ht="15" customHeight="1" x14ac:dyDescent="0.25">
      <c r="B81" s="19">
        <f t="shared" si="71"/>
        <v>9</v>
      </c>
      <c r="C81" s="44" t="s">
        <v>566</v>
      </c>
      <c r="D81" s="45"/>
      <c r="E81" s="105" t="s">
        <v>104</v>
      </c>
      <c r="G81" s="862">
        <f>('Cust Specific'!R150)</f>
        <v>704.14919999999995</v>
      </c>
      <c r="H81" s="479"/>
      <c r="I81" s="851">
        <f>'Cust Specific'!R153</f>
        <v>2.3199999999999998E-2</v>
      </c>
      <c r="J81" s="461"/>
      <c r="K81" s="852">
        <f>'Cust Specific'!R154</f>
        <v>1.4500000000000001E-2</v>
      </c>
      <c r="L81" s="461"/>
      <c r="M81" s="461"/>
      <c r="N81" s="461"/>
      <c r="O81" s="462"/>
      <c r="P81" s="461"/>
      <c r="Q81" s="461"/>
      <c r="R81" s="462"/>
      <c r="S81" s="863">
        <f>'Cust Specific'!R151</f>
        <v>0.1036</v>
      </c>
      <c r="T81" s="851">
        <f>'Cust Specific'!R152</f>
        <v>0</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si="72"/>
        <v>257.01445799999999</v>
      </c>
      <c r="AP81" s="184">
        <f t="shared" ref="AP81:AW83" si="77">H81*Y81</f>
        <v>0</v>
      </c>
      <c r="AQ81" s="178">
        <f t="shared" si="77"/>
        <v>148.01599999999999</v>
      </c>
      <c r="AR81" s="178">
        <f t="shared" si="77"/>
        <v>0</v>
      </c>
      <c r="AS81" s="179">
        <f t="shared" si="77"/>
        <v>201.28900000000002</v>
      </c>
      <c r="AT81" s="178">
        <f t="shared" si="77"/>
        <v>0</v>
      </c>
      <c r="AU81" s="178">
        <f t="shared" si="77"/>
        <v>0</v>
      </c>
      <c r="AV81" s="178">
        <f t="shared" si="77"/>
        <v>0</v>
      </c>
      <c r="AW81" s="179">
        <f t="shared" si="77"/>
        <v>0</v>
      </c>
      <c r="AX81" s="178">
        <f t="shared" si="64"/>
        <v>0</v>
      </c>
      <c r="AY81" s="178">
        <f t="shared" si="65"/>
        <v>0</v>
      </c>
      <c r="AZ81" s="179">
        <f t="shared" si="66"/>
        <v>0</v>
      </c>
      <c r="BA81" s="184">
        <f t="shared" si="67"/>
        <v>53.49420533333334</v>
      </c>
      <c r="BB81" s="178">
        <f t="shared" si="68"/>
        <v>0</v>
      </c>
      <c r="BC81" s="184">
        <f t="shared" si="69"/>
        <v>0</v>
      </c>
      <c r="BD81" s="178">
        <f t="shared" si="70"/>
        <v>0</v>
      </c>
      <c r="BE81" s="244">
        <f>X81/$BE$7</f>
        <v>1</v>
      </c>
      <c r="BF81" s="245">
        <f t="shared" si="74"/>
        <v>20262</v>
      </c>
      <c r="BH81" s="255">
        <f t="shared" si="59"/>
        <v>257.01445799999999</v>
      </c>
      <c r="BI81" s="255">
        <f t="shared" si="60"/>
        <v>349.30500000000001</v>
      </c>
      <c r="BJ81" s="255">
        <f t="shared" si="61"/>
        <v>0</v>
      </c>
      <c r="BK81" s="256">
        <f t="shared" si="62"/>
        <v>53.49420533333334</v>
      </c>
      <c r="BL81" s="262">
        <f t="shared" si="63"/>
        <v>0</v>
      </c>
      <c r="BM81" s="257">
        <f>SUM(BH81:BL81)</f>
        <v>659.81366333333324</v>
      </c>
      <c r="BO81" s="714">
        <f t="shared" si="76"/>
        <v>32.564093541275945</v>
      </c>
    </row>
    <row r="82" spans="2:67" ht="15" customHeight="1" x14ac:dyDescent="0.25">
      <c r="B82" s="19">
        <f t="shared" si="71"/>
        <v>10</v>
      </c>
      <c r="C82" s="833" t="s">
        <v>555</v>
      </c>
      <c r="D82" s="45"/>
      <c r="E82" s="835" t="s">
        <v>104</v>
      </c>
      <c r="G82" s="482"/>
      <c r="H82" s="479"/>
      <c r="I82" s="461"/>
      <c r="J82" s="461"/>
      <c r="K82" s="462"/>
      <c r="L82" s="461"/>
      <c r="M82" s="461"/>
      <c r="N82" s="461"/>
      <c r="O82" s="462"/>
      <c r="P82" s="461"/>
      <c r="Q82" s="461"/>
      <c r="R82" s="462"/>
      <c r="S82" s="479"/>
      <c r="T82" s="461"/>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72"/>
        <v>0</v>
      </c>
      <c r="AP82" s="184">
        <f t="shared" si="77"/>
        <v>0</v>
      </c>
      <c r="AQ82" s="178">
        <f t="shared" si="77"/>
        <v>0</v>
      </c>
      <c r="AR82" s="178">
        <f t="shared" si="77"/>
        <v>0</v>
      </c>
      <c r="AS82" s="179">
        <f t="shared" si="77"/>
        <v>0</v>
      </c>
      <c r="AT82" s="178">
        <f t="shared" si="77"/>
        <v>0</v>
      </c>
      <c r="AU82" s="178">
        <f t="shared" si="77"/>
        <v>0</v>
      </c>
      <c r="AV82" s="178">
        <f t="shared" si="77"/>
        <v>0</v>
      </c>
      <c r="AW82" s="179">
        <f t="shared" si="77"/>
        <v>0</v>
      </c>
      <c r="AX82" s="178">
        <f t="shared" si="64"/>
        <v>0</v>
      </c>
      <c r="AY82" s="178">
        <f t="shared" si="65"/>
        <v>0</v>
      </c>
      <c r="AZ82" s="179">
        <f t="shared" si="66"/>
        <v>0</v>
      </c>
      <c r="BA82" s="184">
        <f t="shared" si="67"/>
        <v>0</v>
      </c>
      <c r="BB82" s="178">
        <f t="shared" si="68"/>
        <v>0</v>
      </c>
      <c r="BC82" s="184">
        <f t="shared" si="69"/>
        <v>0</v>
      </c>
      <c r="BD82" s="178">
        <f t="shared" si="70"/>
        <v>0</v>
      </c>
      <c r="BE82" s="244">
        <f>X82/$BE$7</f>
        <v>0</v>
      </c>
      <c r="BF82" s="245">
        <f t="shared" si="74"/>
        <v>0</v>
      </c>
      <c r="BH82" s="255">
        <f t="shared" si="59"/>
        <v>0</v>
      </c>
      <c r="BI82" s="255">
        <f t="shared" si="60"/>
        <v>0</v>
      </c>
      <c r="BJ82" s="255">
        <f t="shared" si="61"/>
        <v>0</v>
      </c>
      <c r="BK82" s="256">
        <f t="shared" si="62"/>
        <v>0</v>
      </c>
      <c r="BL82" s="262">
        <f t="shared" si="63"/>
        <v>0</v>
      </c>
      <c r="BM82" s="257">
        <f>SUM(BH82:BL82)</f>
        <v>0</v>
      </c>
      <c r="BO82" s="714" t="str">
        <f t="shared" si="76"/>
        <v/>
      </c>
    </row>
    <row r="83" spans="2:67" ht="15" customHeight="1" x14ac:dyDescent="0.25">
      <c r="B83" s="19">
        <f t="shared" si="71"/>
        <v>11</v>
      </c>
      <c r="C83" s="833" t="s">
        <v>556</v>
      </c>
      <c r="D83" s="45"/>
      <c r="E83" s="835" t="s">
        <v>104</v>
      </c>
      <c r="G83" s="482"/>
      <c r="H83" s="479"/>
      <c r="I83" s="461"/>
      <c r="J83" s="461"/>
      <c r="K83" s="462"/>
      <c r="L83" s="461"/>
      <c r="M83" s="461"/>
      <c r="N83" s="461"/>
      <c r="O83" s="462"/>
      <c r="P83" s="461"/>
      <c r="Q83" s="461"/>
      <c r="R83" s="462"/>
      <c r="S83" s="479"/>
      <c r="T83" s="461"/>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72"/>
        <v>0</v>
      </c>
      <c r="AP83" s="184">
        <f t="shared" si="77"/>
        <v>0</v>
      </c>
      <c r="AQ83" s="178">
        <f t="shared" si="77"/>
        <v>0</v>
      </c>
      <c r="AR83" s="178">
        <f t="shared" si="77"/>
        <v>0</v>
      </c>
      <c r="AS83" s="179">
        <f t="shared" si="77"/>
        <v>0</v>
      </c>
      <c r="AT83" s="178">
        <f t="shared" si="77"/>
        <v>0</v>
      </c>
      <c r="AU83" s="178">
        <f t="shared" si="77"/>
        <v>0</v>
      </c>
      <c r="AV83" s="178">
        <f t="shared" si="77"/>
        <v>0</v>
      </c>
      <c r="AW83" s="179">
        <f t="shared" si="77"/>
        <v>0</v>
      </c>
      <c r="AX83" s="178">
        <f t="shared" si="64"/>
        <v>0</v>
      </c>
      <c r="AY83" s="178">
        <f t="shared" si="65"/>
        <v>0</v>
      </c>
      <c r="AZ83" s="179">
        <f t="shared" si="66"/>
        <v>0</v>
      </c>
      <c r="BA83" s="184">
        <f t="shared" si="67"/>
        <v>0</v>
      </c>
      <c r="BB83" s="178">
        <f t="shared" si="68"/>
        <v>0</v>
      </c>
      <c r="BC83" s="184">
        <f t="shared" si="69"/>
        <v>0</v>
      </c>
      <c r="BD83" s="178">
        <f t="shared" si="70"/>
        <v>0</v>
      </c>
      <c r="BE83" s="244">
        <f>X83/$BE$7</f>
        <v>0</v>
      </c>
      <c r="BF83" s="245">
        <f t="shared" si="74"/>
        <v>0</v>
      </c>
      <c r="BH83" s="255">
        <f t="shared" si="59"/>
        <v>0</v>
      </c>
      <c r="BI83" s="255">
        <f t="shared" si="60"/>
        <v>0</v>
      </c>
      <c r="BJ83" s="255">
        <f t="shared" si="61"/>
        <v>0</v>
      </c>
      <c r="BK83" s="256">
        <f t="shared" si="62"/>
        <v>0</v>
      </c>
      <c r="BL83" s="262">
        <f t="shared" si="63"/>
        <v>0</v>
      </c>
      <c r="BM83" s="257">
        <f>SUM(BH83:BL83)</f>
        <v>0</v>
      </c>
      <c r="BO83" s="714" t="str">
        <f t="shared" si="76"/>
        <v/>
      </c>
    </row>
    <row r="84" spans="2:67" ht="15" customHeight="1" x14ac:dyDescent="0.25">
      <c r="B84" s="19">
        <f t="shared" si="71"/>
        <v>12</v>
      </c>
      <c r="C84" s="833" t="s">
        <v>557</v>
      </c>
      <c r="D84" s="45"/>
      <c r="E84" s="835" t="s">
        <v>104</v>
      </c>
      <c r="G84" s="482"/>
      <c r="H84" s="479"/>
      <c r="I84" s="461"/>
      <c r="J84" s="461"/>
      <c r="K84" s="462"/>
      <c r="L84" s="461"/>
      <c r="M84" s="461"/>
      <c r="N84" s="461"/>
      <c r="O84" s="462"/>
      <c r="P84" s="461"/>
      <c r="Q84" s="461"/>
      <c r="R84" s="462"/>
      <c r="S84" s="479"/>
      <c r="T84" s="461"/>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72"/>
        <v>0</v>
      </c>
      <c r="AP84" s="184">
        <f t="shared" ref="AP84:AW96" si="78">H84*Y84</f>
        <v>0</v>
      </c>
      <c r="AQ84" s="178">
        <f t="shared" si="78"/>
        <v>0</v>
      </c>
      <c r="AR84" s="178">
        <f t="shared" si="78"/>
        <v>0</v>
      </c>
      <c r="AS84" s="179">
        <f t="shared" si="78"/>
        <v>0</v>
      </c>
      <c r="AT84" s="178">
        <f t="shared" si="78"/>
        <v>0</v>
      </c>
      <c r="AU84" s="178">
        <f t="shared" si="78"/>
        <v>0</v>
      </c>
      <c r="AV84" s="178">
        <f t="shared" si="78"/>
        <v>0</v>
      </c>
      <c r="AW84" s="179">
        <f t="shared" si="78"/>
        <v>0</v>
      </c>
      <c r="AX84" s="178">
        <f t="shared" si="64"/>
        <v>0</v>
      </c>
      <c r="AY84" s="178">
        <f t="shared" si="65"/>
        <v>0</v>
      </c>
      <c r="AZ84" s="179">
        <f t="shared" si="66"/>
        <v>0</v>
      </c>
      <c r="BA84" s="184">
        <f t="shared" si="67"/>
        <v>0</v>
      </c>
      <c r="BB84" s="178">
        <f t="shared" si="68"/>
        <v>0</v>
      </c>
      <c r="BC84" s="184">
        <f t="shared" si="69"/>
        <v>0</v>
      </c>
      <c r="BD84" s="178">
        <f t="shared" si="70"/>
        <v>0</v>
      </c>
      <c r="BE84" s="244">
        <f t="shared" si="73"/>
        <v>0</v>
      </c>
      <c r="BF84" s="245">
        <f t="shared" si="74"/>
        <v>0</v>
      </c>
      <c r="BH84" s="255">
        <f t="shared" si="59"/>
        <v>0</v>
      </c>
      <c r="BI84" s="255">
        <f t="shared" si="60"/>
        <v>0</v>
      </c>
      <c r="BJ84" s="255">
        <f t="shared" si="61"/>
        <v>0</v>
      </c>
      <c r="BK84" s="256">
        <f t="shared" si="62"/>
        <v>0</v>
      </c>
      <c r="BL84" s="262">
        <f t="shared" si="63"/>
        <v>0</v>
      </c>
      <c r="BM84" s="257">
        <f t="shared" si="75"/>
        <v>0</v>
      </c>
      <c r="BO84" s="714" t="str">
        <f t="shared" si="76"/>
        <v/>
      </c>
    </row>
    <row r="85" spans="2:67" ht="15" customHeight="1" x14ac:dyDescent="0.25">
      <c r="B85" s="19">
        <f t="shared" si="71"/>
        <v>13</v>
      </c>
      <c r="C85" s="44" t="s">
        <v>558</v>
      </c>
      <c r="D85" s="45"/>
      <c r="E85" s="105" t="s">
        <v>104</v>
      </c>
      <c r="G85" s="862">
        <f>('Cust Specific'!R182)</f>
        <v>39.962600000000002</v>
      </c>
      <c r="H85" s="479"/>
      <c r="I85" s="851">
        <f>'Cust Specific'!R185</f>
        <v>2.3199999999999998E-2</v>
      </c>
      <c r="J85" s="461"/>
      <c r="K85" s="852">
        <f>'Cust Specific'!R186</f>
        <v>1.4500000000000001E-2</v>
      </c>
      <c r="L85" s="461"/>
      <c r="M85" s="461"/>
      <c r="N85" s="461"/>
      <c r="O85" s="462"/>
      <c r="P85" s="461"/>
      <c r="Q85" s="461"/>
      <c r="R85" s="462"/>
      <c r="S85" s="863">
        <f>'Cust Specific'!R183</f>
        <v>0.1036</v>
      </c>
      <c r="T85" s="851">
        <f>'Cust Specific'!R184</f>
        <v>0.1007</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72"/>
        <v>14.586349</v>
      </c>
      <c r="AP85" s="184">
        <f t="shared" si="78"/>
        <v>0</v>
      </c>
      <c r="AQ85" s="178">
        <f t="shared" si="78"/>
        <v>264.47999999999996</v>
      </c>
      <c r="AR85" s="178">
        <f t="shared" si="78"/>
        <v>0</v>
      </c>
      <c r="AS85" s="179">
        <f t="shared" si="78"/>
        <v>165.3</v>
      </c>
      <c r="AT85" s="178">
        <f t="shared" si="78"/>
        <v>0</v>
      </c>
      <c r="AU85" s="178">
        <f t="shared" si="78"/>
        <v>0</v>
      </c>
      <c r="AV85" s="178">
        <f t="shared" si="78"/>
        <v>0</v>
      </c>
      <c r="AW85" s="179">
        <f t="shared" si="78"/>
        <v>0</v>
      </c>
      <c r="AX85" s="178">
        <f t="shared" si="64"/>
        <v>0</v>
      </c>
      <c r="AY85" s="178">
        <f t="shared" si="65"/>
        <v>0</v>
      </c>
      <c r="AZ85" s="179">
        <f t="shared" si="66"/>
        <v>0</v>
      </c>
      <c r="BA85" s="184">
        <f t="shared" si="67"/>
        <v>162.86489799999998</v>
      </c>
      <c r="BB85" s="178">
        <f t="shared" si="68"/>
        <v>167.9358795</v>
      </c>
      <c r="BC85" s="184">
        <f t="shared" si="69"/>
        <v>0</v>
      </c>
      <c r="BD85" s="178">
        <f t="shared" si="70"/>
        <v>0</v>
      </c>
      <c r="BE85" s="244">
        <f t="shared" si="73"/>
        <v>1</v>
      </c>
      <c r="BF85" s="245">
        <f t="shared" si="74"/>
        <v>22800</v>
      </c>
      <c r="BH85" s="255">
        <f t="shared" si="59"/>
        <v>14.586349</v>
      </c>
      <c r="BI85" s="255">
        <f t="shared" si="60"/>
        <v>429.78</v>
      </c>
      <c r="BJ85" s="255">
        <f t="shared" si="61"/>
        <v>0</v>
      </c>
      <c r="BK85" s="256">
        <f t="shared" si="62"/>
        <v>330.80077749999998</v>
      </c>
      <c r="BL85" s="262">
        <f t="shared" si="63"/>
        <v>0</v>
      </c>
      <c r="BM85" s="257">
        <f t="shared" si="75"/>
        <v>775.16712649999999</v>
      </c>
      <c r="BO85" s="714">
        <f t="shared" si="76"/>
        <v>33.998558179824563</v>
      </c>
    </row>
    <row r="86" spans="2:67" ht="15" customHeight="1" x14ac:dyDescent="0.25">
      <c r="B86" s="19">
        <f t="shared" si="71"/>
        <v>14</v>
      </c>
      <c r="C86" s="44" t="s">
        <v>631</v>
      </c>
      <c r="D86" s="45"/>
      <c r="E86" s="105" t="s">
        <v>104</v>
      </c>
      <c r="G86" s="862">
        <f>'Cust Specific'!R190</f>
        <v>393.20920000000001</v>
      </c>
      <c r="H86" s="479"/>
      <c r="I86" s="851">
        <f>'Cust Specific'!R193</f>
        <v>2.3199999999999998E-2</v>
      </c>
      <c r="J86" s="461"/>
      <c r="K86" s="852">
        <f>'Cust Specific'!R194</f>
        <v>1.4500000000000001E-2</v>
      </c>
      <c r="L86" s="461"/>
      <c r="M86" s="461"/>
      <c r="N86" s="461"/>
      <c r="O86" s="462"/>
      <c r="P86" s="461"/>
      <c r="Q86" s="461"/>
      <c r="R86" s="462"/>
      <c r="S86" s="863">
        <f>'Cust Specific'!R191</f>
        <v>0.1036</v>
      </c>
      <c r="T86" s="851">
        <f>'Cust Specific'!R192</f>
        <v>0.1007</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G86*X86/1000</f>
        <v>143.52135800000002</v>
      </c>
      <c r="AP86" s="184">
        <f t="shared" ref="AP86:AW86" si="79">H86*Y86</f>
        <v>0</v>
      </c>
      <c r="AQ86" s="178">
        <f t="shared" si="79"/>
        <v>241.27999999999997</v>
      </c>
      <c r="AR86" s="178">
        <f t="shared" si="79"/>
        <v>0</v>
      </c>
      <c r="AS86" s="179">
        <f t="shared" si="79"/>
        <v>139.20000000000002</v>
      </c>
      <c r="AT86" s="178">
        <f t="shared" si="79"/>
        <v>0</v>
      </c>
      <c r="AU86" s="178">
        <f t="shared" si="79"/>
        <v>0</v>
      </c>
      <c r="AV86" s="178">
        <f t="shared" si="79"/>
        <v>0</v>
      </c>
      <c r="AW86" s="179">
        <f t="shared" si="79"/>
        <v>0</v>
      </c>
      <c r="AX86" s="178">
        <f t="shared" ref="AX86:BD86" si="80">P86*AG86/1000</f>
        <v>0</v>
      </c>
      <c r="AY86" s="178">
        <f t="shared" si="80"/>
        <v>0</v>
      </c>
      <c r="AZ86" s="179">
        <f t="shared" si="80"/>
        <v>0</v>
      </c>
      <c r="BA86" s="184">
        <f t="shared" si="80"/>
        <v>154.167678</v>
      </c>
      <c r="BB86" s="178">
        <f t="shared" si="80"/>
        <v>177.85986449999999</v>
      </c>
      <c r="BC86" s="184">
        <f t="shared" si="80"/>
        <v>0</v>
      </c>
      <c r="BD86" s="178">
        <f t="shared" si="80"/>
        <v>0</v>
      </c>
      <c r="BE86" s="244">
        <f>X86/$BE$7</f>
        <v>1</v>
      </c>
      <c r="BF86" s="245">
        <f>SUM(Y86:AF86)</f>
        <v>20000</v>
      </c>
      <c r="BH86" s="255">
        <f>SUM(AO86)</f>
        <v>143.52135800000002</v>
      </c>
      <c r="BI86" s="255">
        <f>SUM(AP86:AS86)</f>
        <v>380.48</v>
      </c>
      <c r="BJ86" s="255">
        <f>SUM(AT86:AW86)</f>
        <v>0</v>
      </c>
      <c r="BK86" s="256">
        <f>SUM(AX86:BB86)</f>
        <v>332.02754249999998</v>
      </c>
      <c r="BL86" s="262">
        <f>SUM(BC86:BD86)</f>
        <v>0</v>
      </c>
      <c r="BM86" s="257">
        <f>SUM(BH86:BL86)</f>
        <v>856.02890049999996</v>
      </c>
      <c r="BO86" s="714">
        <f>IF(BF86=0,"",BM86*1000/BF86)</f>
        <v>42.801445025</v>
      </c>
    </row>
    <row r="87" spans="2:67" ht="15" customHeight="1" x14ac:dyDescent="0.25">
      <c r="B87" s="19">
        <f t="shared" si="71"/>
        <v>15</v>
      </c>
      <c r="C87" s="833" t="s">
        <v>559</v>
      </c>
      <c r="D87" s="45"/>
      <c r="E87" s="835" t="s">
        <v>104</v>
      </c>
      <c r="G87" s="482"/>
      <c r="H87" s="479"/>
      <c r="I87" s="461"/>
      <c r="J87" s="461"/>
      <c r="K87" s="462"/>
      <c r="L87" s="461"/>
      <c r="M87" s="461"/>
      <c r="N87" s="461"/>
      <c r="O87" s="462"/>
      <c r="P87" s="461"/>
      <c r="Q87" s="461"/>
      <c r="R87" s="462"/>
      <c r="S87" s="479"/>
      <c r="T87" s="461"/>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72"/>
        <v>0</v>
      </c>
      <c r="AP87" s="184">
        <f t="shared" si="78"/>
        <v>0</v>
      </c>
      <c r="AQ87" s="178">
        <f t="shared" si="78"/>
        <v>0</v>
      </c>
      <c r="AR87" s="178">
        <f t="shared" si="78"/>
        <v>0</v>
      </c>
      <c r="AS87" s="179">
        <f t="shared" si="78"/>
        <v>0</v>
      </c>
      <c r="AT87" s="178">
        <f t="shared" si="78"/>
        <v>0</v>
      </c>
      <c r="AU87" s="178">
        <f t="shared" si="78"/>
        <v>0</v>
      </c>
      <c r="AV87" s="178">
        <f t="shared" si="78"/>
        <v>0</v>
      </c>
      <c r="AW87" s="179">
        <f t="shared" si="78"/>
        <v>0</v>
      </c>
      <c r="AX87" s="178">
        <f t="shared" si="64"/>
        <v>0</v>
      </c>
      <c r="AY87" s="178">
        <f t="shared" si="65"/>
        <v>0</v>
      </c>
      <c r="AZ87" s="179">
        <f t="shared" si="66"/>
        <v>0</v>
      </c>
      <c r="BA87" s="184">
        <f t="shared" si="67"/>
        <v>0</v>
      </c>
      <c r="BB87" s="178">
        <f t="shared" si="68"/>
        <v>0</v>
      </c>
      <c r="BC87" s="184">
        <f t="shared" si="69"/>
        <v>0</v>
      </c>
      <c r="BD87" s="178">
        <f t="shared" si="70"/>
        <v>0</v>
      </c>
      <c r="BE87" s="244">
        <f t="shared" si="73"/>
        <v>0</v>
      </c>
      <c r="BF87" s="245">
        <f t="shared" si="74"/>
        <v>0</v>
      </c>
      <c r="BH87" s="255">
        <f t="shared" si="59"/>
        <v>0</v>
      </c>
      <c r="BI87" s="255">
        <f t="shared" si="60"/>
        <v>0</v>
      </c>
      <c r="BJ87" s="255">
        <f t="shared" si="61"/>
        <v>0</v>
      </c>
      <c r="BK87" s="256">
        <f t="shared" si="62"/>
        <v>0</v>
      </c>
      <c r="BL87" s="262">
        <f t="shared" si="63"/>
        <v>0</v>
      </c>
      <c r="BM87" s="257">
        <f t="shared" si="75"/>
        <v>0</v>
      </c>
      <c r="BO87" s="714" t="str">
        <f t="shared" si="76"/>
        <v/>
      </c>
    </row>
    <row r="88" spans="2:67" ht="15" customHeight="1" x14ac:dyDescent="0.25">
      <c r="B88" s="19">
        <f t="shared" si="71"/>
        <v>16</v>
      </c>
      <c r="C88" s="785"/>
      <c r="D88" s="772"/>
      <c r="E88" s="836"/>
      <c r="G88" s="482"/>
      <c r="H88" s="479"/>
      <c r="I88" s="461"/>
      <c r="J88" s="461"/>
      <c r="K88" s="462"/>
      <c r="L88" s="461"/>
      <c r="M88" s="461"/>
      <c r="N88" s="461"/>
      <c r="O88" s="462"/>
      <c r="P88" s="461"/>
      <c r="Q88" s="461"/>
      <c r="R88" s="462"/>
      <c r="S88" s="479"/>
      <c r="T88" s="461"/>
      <c r="U88" s="479"/>
      <c r="V88" s="462"/>
      <c r="X88" s="183">
        <f>'Q (t)'!G88</f>
        <v>0</v>
      </c>
      <c r="Y88" s="184">
        <f>'Q (t)'!H88</f>
        <v>0</v>
      </c>
      <c r="Z88" s="178">
        <f>'Q (t)'!I88</f>
        <v>0</v>
      </c>
      <c r="AA88" s="178">
        <f>'Q (t)'!J88</f>
        <v>0</v>
      </c>
      <c r="AB88" s="179">
        <f>'Q (t)'!K88</f>
        <v>0</v>
      </c>
      <c r="AC88" s="178">
        <f>'Q (t)'!L88</f>
        <v>0</v>
      </c>
      <c r="AD88" s="178">
        <f>'Q (t)'!M88</f>
        <v>0</v>
      </c>
      <c r="AE88" s="178">
        <f>'Q (t)'!N88</f>
        <v>0</v>
      </c>
      <c r="AF88" s="179">
        <f>'Q (t)'!O88</f>
        <v>0</v>
      </c>
      <c r="AG88" s="178">
        <f>'Q (t)'!P88</f>
        <v>0</v>
      </c>
      <c r="AH88" s="178">
        <f>'Q (t)'!Q88</f>
        <v>0</v>
      </c>
      <c r="AI88" s="179">
        <f>'Q (t)'!R88</f>
        <v>0</v>
      </c>
      <c r="AJ88" s="184">
        <f>'Q (t)'!S88</f>
        <v>0</v>
      </c>
      <c r="AK88" s="178">
        <f>'Q (t)'!T88</f>
        <v>0</v>
      </c>
      <c r="AL88" s="184">
        <f>'Q (t)'!U88</f>
        <v>0</v>
      </c>
      <c r="AM88" s="179">
        <f>'Q (t)'!V88</f>
        <v>0</v>
      </c>
      <c r="AO88" s="183">
        <f t="shared" si="72"/>
        <v>0</v>
      </c>
      <c r="AP88" s="184">
        <f t="shared" si="78"/>
        <v>0</v>
      </c>
      <c r="AQ88" s="178">
        <f t="shared" si="78"/>
        <v>0</v>
      </c>
      <c r="AR88" s="178">
        <f t="shared" si="78"/>
        <v>0</v>
      </c>
      <c r="AS88" s="179">
        <f t="shared" si="78"/>
        <v>0</v>
      </c>
      <c r="AT88" s="178">
        <f t="shared" si="78"/>
        <v>0</v>
      </c>
      <c r="AU88" s="178">
        <f t="shared" si="78"/>
        <v>0</v>
      </c>
      <c r="AV88" s="178">
        <f t="shared" si="78"/>
        <v>0</v>
      </c>
      <c r="AW88" s="179">
        <f t="shared" si="78"/>
        <v>0</v>
      </c>
      <c r="AX88" s="178">
        <f t="shared" si="64"/>
        <v>0</v>
      </c>
      <c r="AY88" s="178">
        <f t="shared" si="65"/>
        <v>0</v>
      </c>
      <c r="AZ88" s="179">
        <f t="shared" si="66"/>
        <v>0</v>
      </c>
      <c r="BA88" s="184">
        <f t="shared" si="67"/>
        <v>0</v>
      </c>
      <c r="BB88" s="178">
        <f t="shared" si="68"/>
        <v>0</v>
      </c>
      <c r="BC88" s="184">
        <f t="shared" si="69"/>
        <v>0</v>
      </c>
      <c r="BD88" s="178">
        <f t="shared" si="70"/>
        <v>0</v>
      </c>
      <c r="BE88" s="244">
        <f t="shared" si="73"/>
        <v>0</v>
      </c>
      <c r="BF88" s="245">
        <f t="shared" si="74"/>
        <v>0</v>
      </c>
      <c r="BH88" s="255">
        <f t="shared" si="59"/>
        <v>0</v>
      </c>
      <c r="BI88" s="255">
        <f t="shared" si="60"/>
        <v>0</v>
      </c>
      <c r="BJ88" s="255">
        <f t="shared" si="61"/>
        <v>0</v>
      </c>
      <c r="BK88" s="256">
        <f t="shared" si="62"/>
        <v>0</v>
      </c>
      <c r="BL88" s="262">
        <f t="shared" si="63"/>
        <v>0</v>
      </c>
      <c r="BM88" s="257">
        <f t="shared" si="75"/>
        <v>0</v>
      </c>
      <c r="BO88" s="714" t="str">
        <f t="shared" si="76"/>
        <v/>
      </c>
    </row>
    <row r="89" spans="2:67" ht="15" customHeight="1" x14ac:dyDescent="0.25">
      <c r="B89" s="19">
        <f t="shared" si="71"/>
        <v>17</v>
      </c>
      <c r="C89" s="785"/>
      <c r="D89" s="772"/>
      <c r="E89" s="836"/>
      <c r="G89" s="482"/>
      <c r="H89" s="479"/>
      <c r="I89" s="461"/>
      <c r="J89" s="461"/>
      <c r="K89" s="462"/>
      <c r="L89" s="461"/>
      <c r="M89" s="461"/>
      <c r="N89" s="461"/>
      <c r="O89" s="462"/>
      <c r="P89" s="461"/>
      <c r="Q89" s="461"/>
      <c r="R89" s="462"/>
      <c r="S89" s="479"/>
      <c r="T89" s="461"/>
      <c r="U89" s="479"/>
      <c r="V89" s="462"/>
      <c r="X89" s="183">
        <f>'Q (t)'!G89</f>
        <v>0</v>
      </c>
      <c r="Y89" s="184">
        <f>'Q (t)'!H89</f>
        <v>0</v>
      </c>
      <c r="Z89" s="178">
        <f>'Q (t)'!I89</f>
        <v>0</v>
      </c>
      <c r="AA89" s="178">
        <f>'Q (t)'!J89</f>
        <v>0</v>
      </c>
      <c r="AB89" s="179">
        <f>'Q (t)'!K89</f>
        <v>0</v>
      </c>
      <c r="AC89" s="178">
        <f>'Q (t)'!L89</f>
        <v>0</v>
      </c>
      <c r="AD89" s="178">
        <f>'Q (t)'!M89</f>
        <v>0</v>
      </c>
      <c r="AE89" s="178">
        <f>'Q (t)'!N89</f>
        <v>0</v>
      </c>
      <c r="AF89" s="179">
        <f>'Q (t)'!O89</f>
        <v>0</v>
      </c>
      <c r="AG89" s="178">
        <f>'Q (t)'!P89</f>
        <v>0</v>
      </c>
      <c r="AH89" s="178">
        <f>'Q (t)'!Q89</f>
        <v>0</v>
      </c>
      <c r="AI89" s="179">
        <f>'Q (t)'!R89</f>
        <v>0</v>
      </c>
      <c r="AJ89" s="184">
        <f>'Q (t)'!S89</f>
        <v>0</v>
      </c>
      <c r="AK89" s="178">
        <f>'Q (t)'!T89</f>
        <v>0</v>
      </c>
      <c r="AL89" s="184">
        <f>'Q (t)'!U89</f>
        <v>0</v>
      </c>
      <c r="AM89" s="179">
        <f>'Q (t)'!V89</f>
        <v>0</v>
      </c>
      <c r="AO89" s="183">
        <f t="shared" si="72"/>
        <v>0</v>
      </c>
      <c r="AP89" s="184">
        <f t="shared" si="78"/>
        <v>0</v>
      </c>
      <c r="AQ89" s="178">
        <f t="shared" si="78"/>
        <v>0</v>
      </c>
      <c r="AR89" s="178">
        <f t="shared" si="78"/>
        <v>0</v>
      </c>
      <c r="AS89" s="179">
        <f t="shared" si="78"/>
        <v>0</v>
      </c>
      <c r="AT89" s="178">
        <f t="shared" si="78"/>
        <v>0</v>
      </c>
      <c r="AU89" s="178">
        <f t="shared" si="78"/>
        <v>0</v>
      </c>
      <c r="AV89" s="178">
        <f t="shared" si="78"/>
        <v>0</v>
      </c>
      <c r="AW89" s="179">
        <f t="shared" si="78"/>
        <v>0</v>
      </c>
      <c r="AX89" s="178">
        <f t="shared" si="64"/>
        <v>0</v>
      </c>
      <c r="AY89" s="178">
        <f t="shared" si="65"/>
        <v>0</v>
      </c>
      <c r="AZ89" s="179">
        <f t="shared" si="66"/>
        <v>0</v>
      </c>
      <c r="BA89" s="184">
        <f t="shared" si="67"/>
        <v>0</v>
      </c>
      <c r="BB89" s="178">
        <f t="shared" si="68"/>
        <v>0</v>
      </c>
      <c r="BC89" s="184">
        <f t="shared" si="69"/>
        <v>0</v>
      </c>
      <c r="BD89" s="178">
        <f t="shared" si="70"/>
        <v>0</v>
      </c>
      <c r="BE89" s="244">
        <f t="shared" si="73"/>
        <v>0</v>
      </c>
      <c r="BF89" s="245">
        <f t="shared" si="74"/>
        <v>0</v>
      </c>
      <c r="BH89" s="255">
        <f t="shared" si="59"/>
        <v>0</v>
      </c>
      <c r="BI89" s="255">
        <f t="shared" si="60"/>
        <v>0</v>
      </c>
      <c r="BJ89" s="255">
        <f t="shared" si="61"/>
        <v>0</v>
      </c>
      <c r="BK89" s="256">
        <f t="shared" si="62"/>
        <v>0</v>
      </c>
      <c r="BL89" s="262">
        <f t="shared" si="63"/>
        <v>0</v>
      </c>
      <c r="BM89" s="257">
        <f t="shared" si="75"/>
        <v>0</v>
      </c>
      <c r="BO89" s="714" t="str">
        <f t="shared" si="76"/>
        <v/>
      </c>
    </row>
    <row r="90" spans="2:67" ht="15" customHeight="1" x14ac:dyDescent="0.25">
      <c r="B90" s="19">
        <f t="shared" si="71"/>
        <v>18</v>
      </c>
      <c r="C90" s="785"/>
      <c r="D90" s="772"/>
      <c r="E90" s="836"/>
      <c r="G90" s="482"/>
      <c r="H90" s="479"/>
      <c r="I90" s="461"/>
      <c r="J90" s="461"/>
      <c r="K90" s="462"/>
      <c r="L90" s="461"/>
      <c r="M90" s="461"/>
      <c r="N90" s="461"/>
      <c r="O90" s="462"/>
      <c r="P90" s="461"/>
      <c r="Q90" s="461"/>
      <c r="R90" s="462"/>
      <c r="S90" s="479"/>
      <c r="T90" s="461"/>
      <c r="U90" s="479"/>
      <c r="V90" s="462"/>
      <c r="X90" s="183">
        <f>'Q (t)'!G90</f>
        <v>0</v>
      </c>
      <c r="Y90" s="184">
        <f>'Q (t)'!H90</f>
        <v>0</v>
      </c>
      <c r="Z90" s="178">
        <f>'Q (t)'!I90</f>
        <v>0</v>
      </c>
      <c r="AA90" s="178">
        <f>'Q (t)'!J90</f>
        <v>0</v>
      </c>
      <c r="AB90" s="179">
        <f>'Q (t)'!K90</f>
        <v>0</v>
      </c>
      <c r="AC90" s="178">
        <f>'Q (t)'!L90</f>
        <v>0</v>
      </c>
      <c r="AD90" s="178">
        <f>'Q (t)'!M90</f>
        <v>0</v>
      </c>
      <c r="AE90" s="178">
        <f>'Q (t)'!N90</f>
        <v>0</v>
      </c>
      <c r="AF90" s="179">
        <f>'Q (t)'!O90</f>
        <v>0</v>
      </c>
      <c r="AG90" s="178">
        <f>'Q (t)'!P90</f>
        <v>0</v>
      </c>
      <c r="AH90" s="178">
        <f>'Q (t)'!Q90</f>
        <v>0</v>
      </c>
      <c r="AI90" s="179">
        <f>'Q (t)'!R90</f>
        <v>0</v>
      </c>
      <c r="AJ90" s="184">
        <f>'Q (t)'!S90</f>
        <v>0</v>
      </c>
      <c r="AK90" s="178">
        <f>'Q (t)'!T90</f>
        <v>0</v>
      </c>
      <c r="AL90" s="184">
        <f>'Q (t)'!U90</f>
        <v>0</v>
      </c>
      <c r="AM90" s="179">
        <f>'Q (t)'!V90</f>
        <v>0</v>
      </c>
      <c r="AO90" s="183">
        <f t="shared" si="72"/>
        <v>0</v>
      </c>
      <c r="AP90" s="184">
        <f t="shared" si="78"/>
        <v>0</v>
      </c>
      <c r="AQ90" s="178">
        <f t="shared" si="78"/>
        <v>0</v>
      </c>
      <c r="AR90" s="178">
        <f t="shared" si="78"/>
        <v>0</v>
      </c>
      <c r="AS90" s="179">
        <f t="shared" si="78"/>
        <v>0</v>
      </c>
      <c r="AT90" s="178">
        <f t="shared" si="78"/>
        <v>0</v>
      </c>
      <c r="AU90" s="178">
        <f t="shared" si="78"/>
        <v>0</v>
      </c>
      <c r="AV90" s="178">
        <f t="shared" si="78"/>
        <v>0</v>
      </c>
      <c r="AW90" s="179">
        <f t="shared" si="78"/>
        <v>0</v>
      </c>
      <c r="AX90" s="178">
        <f t="shared" si="64"/>
        <v>0</v>
      </c>
      <c r="AY90" s="178">
        <f t="shared" si="65"/>
        <v>0</v>
      </c>
      <c r="AZ90" s="179">
        <f t="shared" si="66"/>
        <v>0</v>
      </c>
      <c r="BA90" s="184">
        <f t="shared" si="67"/>
        <v>0</v>
      </c>
      <c r="BB90" s="178">
        <f t="shared" si="68"/>
        <v>0</v>
      </c>
      <c r="BC90" s="184">
        <f t="shared" si="69"/>
        <v>0</v>
      </c>
      <c r="BD90" s="178">
        <f t="shared" si="70"/>
        <v>0</v>
      </c>
      <c r="BE90" s="244">
        <f t="shared" si="73"/>
        <v>0</v>
      </c>
      <c r="BF90" s="245">
        <f t="shared" si="74"/>
        <v>0</v>
      </c>
      <c r="BH90" s="255">
        <f t="shared" si="59"/>
        <v>0</v>
      </c>
      <c r="BI90" s="255">
        <f t="shared" si="60"/>
        <v>0</v>
      </c>
      <c r="BJ90" s="255">
        <f t="shared" si="61"/>
        <v>0</v>
      </c>
      <c r="BK90" s="256">
        <f t="shared" si="62"/>
        <v>0</v>
      </c>
      <c r="BL90" s="262">
        <f t="shared" si="63"/>
        <v>0</v>
      </c>
      <c r="BM90" s="257">
        <f t="shared" si="75"/>
        <v>0</v>
      </c>
      <c r="BO90" s="714" t="str">
        <f t="shared" si="76"/>
        <v/>
      </c>
    </row>
    <row r="91" spans="2:67" ht="15" customHeight="1" x14ac:dyDescent="0.25">
      <c r="B91" s="19">
        <f t="shared" si="71"/>
        <v>19</v>
      </c>
      <c r="C91" s="785"/>
      <c r="D91" s="772"/>
      <c r="E91" s="836"/>
      <c r="G91" s="482"/>
      <c r="H91" s="479"/>
      <c r="I91" s="461"/>
      <c r="J91" s="461"/>
      <c r="K91" s="462"/>
      <c r="L91" s="461"/>
      <c r="M91" s="461"/>
      <c r="N91" s="461"/>
      <c r="O91" s="462"/>
      <c r="P91" s="461"/>
      <c r="Q91" s="461"/>
      <c r="R91" s="462"/>
      <c r="S91" s="479"/>
      <c r="T91" s="461"/>
      <c r="U91" s="479"/>
      <c r="V91" s="462"/>
      <c r="X91" s="183">
        <f>'Q (t)'!G91</f>
        <v>0</v>
      </c>
      <c r="Y91" s="184">
        <f>'Q (t)'!H91</f>
        <v>0</v>
      </c>
      <c r="Z91" s="178">
        <f>'Q (t)'!I91</f>
        <v>0</v>
      </c>
      <c r="AA91" s="178">
        <f>'Q (t)'!J91</f>
        <v>0</v>
      </c>
      <c r="AB91" s="179">
        <f>'Q (t)'!K91</f>
        <v>0</v>
      </c>
      <c r="AC91" s="178">
        <f>'Q (t)'!L91</f>
        <v>0</v>
      </c>
      <c r="AD91" s="178">
        <f>'Q (t)'!M91</f>
        <v>0</v>
      </c>
      <c r="AE91" s="178">
        <f>'Q (t)'!N91</f>
        <v>0</v>
      </c>
      <c r="AF91" s="179">
        <f>'Q (t)'!O91</f>
        <v>0</v>
      </c>
      <c r="AG91" s="178">
        <f>'Q (t)'!P91</f>
        <v>0</v>
      </c>
      <c r="AH91" s="178">
        <f>'Q (t)'!Q91</f>
        <v>0</v>
      </c>
      <c r="AI91" s="179">
        <f>'Q (t)'!R91</f>
        <v>0</v>
      </c>
      <c r="AJ91" s="184">
        <f>'Q (t)'!S91</f>
        <v>0</v>
      </c>
      <c r="AK91" s="178">
        <f>'Q (t)'!T91</f>
        <v>0</v>
      </c>
      <c r="AL91" s="184">
        <f>'Q (t)'!U91</f>
        <v>0</v>
      </c>
      <c r="AM91" s="179">
        <f>'Q (t)'!V91</f>
        <v>0</v>
      </c>
      <c r="AO91" s="183">
        <f t="shared" si="72"/>
        <v>0</v>
      </c>
      <c r="AP91" s="184">
        <f t="shared" si="78"/>
        <v>0</v>
      </c>
      <c r="AQ91" s="178">
        <f t="shared" si="78"/>
        <v>0</v>
      </c>
      <c r="AR91" s="178">
        <f t="shared" si="78"/>
        <v>0</v>
      </c>
      <c r="AS91" s="179">
        <f t="shared" si="78"/>
        <v>0</v>
      </c>
      <c r="AT91" s="178">
        <f t="shared" si="78"/>
        <v>0</v>
      </c>
      <c r="AU91" s="178">
        <f t="shared" si="78"/>
        <v>0</v>
      </c>
      <c r="AV91" s="178">
        <f t="shared" si="78"/>
        <v>0</v>
      </c>
      <c r="AW91" s="179">
        <f t="shared" si="78"/>
        <v>0</v>
      </c>
      <c r="AX91" s="178">
        <f t="shared" si="64"/>
        <v>0</v>
      </c>
      <c r="AY91" s="178">
        <f t="shared" si="65"/>
        <v>0</v>
      </c>
      <c r="AZ91" s="179">
        <f t="shared" si="66"/>
        <v>0</v>
      </c>
      <c r="BA91" s="184">
        <f t="shared" si="67"/>
        <v>0</v>
      </c>
      <c r="BB91" s="178">
        <f t="shared" si="68"/>
        <v>0</v>
      </c>
      <c r="BC91" s="184">
        <f t="shared" si="69"/>
        <v>0</v>
      </c>
      <c r="BD91" s="178">
        <f t="shared" si="70"/>
        <v>0</v>
      </c>
      <c r="BE91" s="244">
        <f t="shared" si="73"/>
        <v>0</v>
      </c>
      <c r="BF91" s="245">
        <f t="shared" si="74"/>
        <v>0</v>
      </c>
      <c r="BH91" s="255">
        <f t="shared" si="59"/>
        <v>0</v>
      </c>
      <c r="BI91" s="255">
        <f t="shared" si="60"/>
        <v>0</v>
      </c>
      <c r="BJ91" s="255">
        <f t="shared" si="61"/>
        <v>0</v>
      </c>
      <c r="BK91" s="256">
        <f t="shared" si="62"/>
        <v>0</v>
      </c>
      <c r="BL91" s="262">
        <f t="shared" si="63"/>
        <v>0</v>
      </c>
      <c r="BM91" s="257">
        <f t="shared" si="75"/>
        <v>0</v>
      </c>
      <c r="BO91" s="714" t="str">
        <f t="shared" si="76"/>
        <v/>
      </c>
    </row>
    <row r="92" spans="2:67" ht="15" customHeight="1" x14ac:dyDescent="0.25">
      <c r="B92" s="19">
        <f t="shared" si="71"/>
        <v>20</v>
      </c>
      <c r="C92" s="785"/>
      <c r="D92" s="772"/>
      <c r="E92" s="836"/>
      <c r="G92" s="482"/>
      <c r="H92" s="479"/>
      <c r="I92" s="461"/>
      <c r="J92" s="461"/>
      <c r="K92" s="462"/>
      <c r="L92" s="461"/>
      <c r="M92" s="461"/>
      <c r="N92" s="461"/>
      <c r="O92" s="462"/>
      <c r="P92" s="461"/>
      <c r="Q92" s="461"/>
      <c r="R92" s="462"/>
      <c r="S92" s="479"/>
      <c r="T92" s="461"/>
      <c r="U92" s="479"/>
      <c r="V92" s="462"/>
      <c r="X92" s="183">
        <f>'Q (t)'!G92</f>
        <v>0</v>
      </c>
      <c r="Y92" s="184">
        <f>'Q (t)'!H92</f>
        <v>0</v>
      </c>
      <c r="Z92" s="178">
        <f>'Q (t)'!I92</f>
        <v>0</v>
      </c>
      <c r="AA92" s="178">
        <f>'Q (t)'!J92</f>
        <v>0</v>
      </c>
      <c r="AB92" s="179">
        <f>'Q (t)'!K92</f>
        <v>0</v>
      </c>
      <c r="AC92" s="178">
        <f>'Q (t)'!L92</f>
        <v>0</v>
      </c>
      <c r="AD92" s="178">
        <f>'Q (t)'!M92</f>
        <v>0</v>
      </c>
      <c r="AE92" s="178">
        <f>'Q (t)'!N92</f>
        <v>0</v>
      </c>
      <c r="AF92" s="179">
        <f>'Q (t)'!O92</f>
        <v>0</v>
      </c>
      <c r="AG92" s="178">
        <f>'Q (t)'!P92</f>
        <v>0</v>
      </c>
      <c r="AH92" s="178">
        <f>'Q (t)'!Q92</f>
        <v>0</v>
      </c>
      <c r="AI92" s="179">
        <f>'Q (t)'!R92</f>
        <v>0</v>
      </c>
      <c r="AJ92" s="184">
        <f>'Q (t)'!S92</f>
        <v>0</v>
      </c>
      <c r="AK92" s="178">
        <f>'Q (t)'!T92</f>
        <v>0</v>
      </c>
      <c r="AL92" s="184">
        <f>'Q (t)'!U92</f>
        <v>0</v>
      </c>
      <c r="AM92" s="179">
        <f>'Q (t)'!V92</f>
        <v>0</v>
      </c>
      <c r="AO92" s="183">
        <f t="shared" si="72"/>
        <v>0</v>
      </c>
      <c r="AP92" s="184">
        <f t="shared" si="78"/>
        <v>0</v>
      </c>
      <c r="AQ92" s="178">
        <f t="shared" si="78"/>
        <v>0</v>
      </c>
      <c r="AR92" s="178">
        <f t="shared" si="78"/>
        <v>0</v>
      </c>
      <c r="AS92" s="179">
        <f t="shared" si="78"/>
        <v>0</v>
      </c>
      <c r="AT92" s="178">
        <f t="shared" si="78"/>
        <v>0</v>
      </c>
      <c r="AU92" s="178">
        <f t="shared" si="78"/>
        <v>0</v>
      </c>
      <c r="AV92" s="178">
        <f t="shared" si="78"/>
        <v>0</v>
      </c>
      <c r="AW92" s="179">
        <f t="shared" si="78"/>
        <v>0</v>
      </c>
      <c r="AX92" s="178">
        <f t="shared" si="64"/>
        <v>0</v>
      </c>
      <c r="AY92" s="178">
        <f t="shared" si="65"/>
        <v>0</v>
      </c>
      <c r="AZ92" s="179">
        <f t="shared" si="66"/>
        <v>0</v>
      </c>
      <c r="BA92" s="184">
        <f t="shared" si="67"/>
        <v>0</v>
      </c>
      <c r="BB92" s="178">
        <f t="shared" si="68"/>
        <v>0</v>
      </c>
      <c r="BC92" s="184">
        <f t="shared" si="69"/>
        <v>0</v>
      </c>
      <c r="BD92" s="178">
        <f t="shared" si="70"/>
        <v>0</v>
      </c>
      <c r="BE92" s="244">
        <f t="shared" si="73"/>
        <v>0</v>
      </c>
      <c r="BF92" s="245">
        <f t="shared" si="74"/>
        <v>0</v>
      </c>
      <c r="BH92" s="255">
        <f t="shared" si="59"/>
        <v>0</v>
      </c>
      <c r="BI92" s="255">
        <f t="shared" si="60"/>
        <v>0</v>
      </c>
      <c r="BJ92" s="255">
        <f t="shared" si="61"/>
        <v>0</v>
      </c>
      <c r="BK92" s="256">
        <f t="shared" si="62"/>
        <v>0</v>
      </c>
      <c r="BL92" s="262">
        <f t="shared" si="63"/>
        <v>0</v>
      </c>
      <c r="BM92" s="257">
        <f t="shared" si="75"/>
        <v>0</v>
      </c>
      <c r="BO92" s="714" t="str">
        <f t="shared" si="76"/>
        <v/>
      </c>
    </row>
    <row r="93" spans="2:67" ht="15" customHeight="1" x14ac:dyDescent="0.25">
      <c r="B93" s="26">
        <f t="shared" si="71"/>
        <v>21</v>
      </c>
      <c r="C93" s="837"/>
      <c r="D93" s="778"/>
      <c r="E93" s="838"/>
      <c r="G93" s="498"/>
      <c r="H93" s="491"/>
      <c r="I93" s="487"/>
      <c r="J93" s="487"/>
      <c r="K93" s="488"/>
      <c r="L93" s="487"/>
      <c r="M93" s="487"/>
      <c r="N93" s="487"/>
      <c r="O93" s="488"/>
      <c r="P93" s="487"/>
      <c r="Q93" s="487"/>
      <c r="R93" s="488"/>
      <c r="S93" s="491"/>
      <c r="T93" s="487"/>
      <c r="U93" s="491"/>
      <c r="V93" s="488"/>
      <c r="X93" s="190">
        <f>'Q (t)'!G93</f>
        <v>0</v>
      </c>
      <c r="Y93" s="197">
        <f>'Q (t)'!H93</f>
        <v>0</v>
      </c>
      <c r="Z93" s="192">
        <f>'Q (t)'!I93</f>
        <v>0</v>
      </c>
      <c r="AA93" s="192">
        <f>'Q (t)'!J93</f>
        <v>0</v>
      </c>
      <c r="AB93" s="193">
        <f>'Q (t)'!K93</f>
        <v>0</v>
      </c>
      <c r="AC93" s="192">
        <f>'Q (t)'!L93</f>
        <v>0</v>
      </c>
      <c r="AD93" s="192">
        <f>'Q (t)'!M93</f>
        <v>0</v>
      </c>
      <c r="AE93" s="192">
        <f>'Q (t)'!N93</f>
        <v>0</v>
      </c>
      <c r="AF93" s="193">
        <f>'Q (t)'!O93</f>
        <v>0</v>
      </c>
      <c r="AG93" s="192">
        <f>'Q (t)'!P93</f>
        <v>0</v>
      </c>
      <c r="AH93" s="192">
        <f>'Q (t)'!Q93</f>
        <v>0</v>
      </c>
      <c r="AI93" s="193">
        <f>'Q (t)'!R93</f>
        <v>0</v>
      </c>
      <c r="AJ93" s="197">
        <f>'Q (t)'!S93</f>
        <v>0</v>
      </c>
      <c r="AK93" s="192">
        <f>'Q (t)'!T93</f>
        <v>0</v>
      </c>
      <c r="AL93" s="197">
        <f>'Q (t)'!U93</f>
        <v>0</v>
      </c>
      <c r="AM93" s="193">
        <f>'Q (t)'!V93</f>
        <v>0</v>
      </c>
      <c r="AO93" s="190">
        <f t="shared" si="72"/>
        <v>0</v>
      </c>
      <c r="AP93" s="197">
        <f t="shared" si="78"/>
        <v>0</v>
      </c>
      <c r="AQ93" s="192">
        <f t="shared" si="78"/>
        <v>0</v>
      </c>
      <c r="AR93" s="192">
        <f t="shared" si="78"/>
        <v>0</v>
      </c>
      <c r="AS93" s="193">
        <f t="shared" si="78"/>
        <v>0</v>
      </c>
      <c r="AT93" s="192">
        <f t="shared" si="78"/>
        <v>0</v>
      </c>
      <c r="AU93" s="192">
        <f t="shared" si="78"/>
        <v>0</v>
      </c>
      <c r="AV93" s="192">
        <f t="shared" si="78"/>
        <v>0</v>
      </c>
      <c r="AW93" s="193">
        <f t="shared" si="78"/>
        <v>0</v>
      </c>
      <c r="AX93" s="192">
        <f t="shared" si="64"/>
        <v>0</v>
      </c>
      <c r="AY93" s="192">
        <f t="shared" si="65"/>
        <v>0</v>
      </c>
      <c r="AZ93" s="193">
        <f t="shared" si="66"/>
        <v>0</v>
      </c>
      <c r="BA93" s="197">
        <f t="shared" si="67"/>
        <v>0</v>
      </c>
      <c r="BB93" s="192">
        <f t="shared" si="68"/>
        <v>0</v>
      </c>
      <c r="BC93" s="197">
        <f t="shared" si="69"/>
        <v>0</v>
      </c>
      <c r="BD93" s="192">
        <f t="shared" si="70"/>
        <v>0</v>
      </c>
      <c r="BE93" s="246">
        <f t="shared" si="73"/>
        <v>0</v>
      </c>
      <c r="BF93" s="247">
        <f t="shared" si="74"/>
        <v>0</v>
      </c>
      <c r="BH93" s="255">
        <f>SUM(AO93)</f>
        <v>0</v>
      </c>
      <c r="BI93" s="255">
        <f>SUM(AP93:AS93)</f>
        <v>0</v>
      </c>
      <c r="BJ93" s="255">
        <f>SUM(AT93:AW93)</f>
        <v>0</v>
      </c>
      <c r="BK93" s="256">
        <f>SUM(AX93:BB93)</f>
        <v>0</v>
      </c>
      <c r="BL93" s="262">
        <f>SUM(BC93:BD93)</f>
        <v>0</v>
      </c>
      <c r="BM93" s="257">
        <f t="shared" si="75"/>
        <v>0</v>
      </c>
      <c r="BO93" s="714" t="str">
        <f t="shared" si="76"/>
        <v/>
      </c>
    </row>
    <row r="94" spans="2:67"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f>'Q (t)'!G94</f>
        <v>0</v>
      </c>
      <c r="Y94" s="184">
        <f>'Q (t)'!H94</f>
        <v>0</v>
      </c>
      <c r="Z94" s="178">
        <f>'Q (t)'!I94</f>
        <v>0</v>
      </c>
      <c r="AA94" s="178">
        <f>'Q (t)'!J94</f>
        <v>0</v>
      </c>
      <c r="AB94" s="179">
        <f>'Q (t)'!K94</f>
        <v>0</v>
      </c>
      <c r="AC94" s="178">
        <f>'Q (t)'!L94</f>
        <v>0</v>
      </c>
      <c r="AD94" s="178">
        <f>'Q (t)'!M94</f>
        <v>0</v>
      </c>
      <c r="AE94" s="178">
        <f>'Q (t)'!N94</f>
        <v>0</v>
      </c>
      <c r="AF94" s="179">
        <f>'Q (t)'!O94</f>
        <v>0</v>
      </c>
      <c r="AG94" s="178">
        <f>'Q (t)'!P94</f>
        <v>0</v>
      </c>
      <c r="AH94" s="178">
        <f>'Q (t)'!Q94</f>
        <v>0</v>
      </c>
      <c r="AI94" s="179">
        <f>'Q (t)'!R94</f>
        <v>0</v>
      </c>
      <c r="AJ94" s="184">
        <f>'Q (t)'!S94</f>
        <v>0</v>
      </c>
      <c r="AK94" s="178">
        <f>'Q (t)'!T94</f>
        <v>0</v>
      </c>
      <c r="AL94" s="184">
        <f>'Q (t)'!U94</f>
        <v>0</v>
      </c>
      <c r="AM94" s="179">
        <f>'Q (t)'!V94</f>
        <v>0</v>
      </c>
      <c r="AO94" s="183">
        <f t="shared" si="72"/>
        <v>0</v>
      </c>
      <c r="AP94" s="184">
        <f t="shared" si="78"/>
        <v>0</v>
      </c>
      <c r="AQ94" s="178">
        <f t="shared" si="78"/>
        <v>0</v>
      </c>
      <c r="AR94" s="178">
        <f t="shared" si="78"/>
        <v>0</v>
      </c>
      <c r="AS94" s="179">
        <f t="shared" si="78"/>
        <v>0</v>
      </c>
      <c r="AT94" s="178">
        <f t="shared" si="78"/>
        <v>0</v>
      </c>
      <c r="AU94" s="178">
        <f t="shared" si="78"/>
        <v>0</v>
      </c>
      <c r="AV94" s="178">
        <f t="shared" si="78"/>
        <v>0</v>
      </c>
      <c r="AW94" s="179">
        <f t="shared" si="78"/>
        <v>0</v>
      </c>
      <c r="AX94" s="178">
        <f t="shared" si="64"/>
        <v>0</v>
      </c>
      <c r="AY94" s="178">
        <f t="shared" si="65"/>
        <v>0</v>
      </c>
      <c r="AZ94" s="179">
        <f t="shared" si="66"/>
        <v>0</v>
      </c>
      <c r="BA94" s="184">
        <f t="shared" si="67"/>
        <v>0</v>
      </c>
      <c r="BB94" s="178">
        <f t="shared" si="68"/>
        <v>0</v>
      </c>
      <c r="BC94" s="184">
        <f t="shared" si="69"/>
        <v>0</v>
      </c>
      <c r="BD94" s="178">
        <f t="shared" si="70"/>
        <v>0</v>
      </c>
      <c r="BE94" s="244">
        <f t="shared" si="73"/>
        <v>0</v>
      </c>
      <c r="BF94" s="245">
        <f t="shared" si="74"/>
        <v>0</v>
      </c>
      <c r="BH94" s="253">
        <f>SUBTOTAL(9,BH95:BH129)</f>
        <v>1148.1220289999999</v>
      </c>
      <c r="BI94" s="253">
        <f>SUBTOTAL(9,BI95:BI129)</f>
        <v>3282.6995999999999</v>
      </c>
      <c r="BJ94" s="253">
        <f>SUBTOTAL(9,BJ95:BJ129)</f>
        <v>0</v>
      </c>
      <c r="BK94" s="253">
        <f>SUBTOTAL(9,BK95:BK129)</f>
        <v>8038.4149654999992</v>
      </c>
      <c r="BL94" s="253">
        <f>SUBTOTAL(9,BL95:BL129)</f>
        <v>0</v>
      </c>
      <c r="BM94" s="257">
        <f t="shared" si="75"/>
        <v>12469.236594499998</v>
      </c>
      <c r="BO94" s="714" t="str">
        <f t="shared" si="76"/>
        <v/>
      </c>
    </row>
    <row r="95" spans="2:67"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f>'Q (t)'!G95</f>
        <v>0</v>
      </c>
      <c r="Y95" s="184">
        <f>'Q (t)'!H95</f>
        <v>0</v>
      </c>
      <c r="Z95" s="178">
        <f>'Q (t)'!I95</f>
        <v>0</v>
      </c>
      <c r="AA95" s="178">
        <f>'Q (t)'!J95</f>
        <v>0</v>
      </c>
      <c r="AB95" s="179">
        <f>'Q (t)'!K95</f>
        <v>0</v>
      </c>
      <c r="AC95" s="178">
        <f>'Q (t)'!L95</f>
        <v>0</v>
      </c>
      <c r="AD95" s="178">
        <f>'Q (t)'!M95</f>
        <v>0</v>
      </c>
      <c r="AE95" s="178">
        <f>'Q (t)'!N95</f>
        <v>0</v>
      </c>
      <c r="AF95" s="179">
        <f>'Q (t)'!O95</f>
        <v>0</v>
      </c>
      <c r="AG95" s="178">
        <f>'Q (t)'!P95</f>
        <v>0</v>
      </c>
      <c r="AH95" s="178">
        <f>'Q (t)'!Q95</f>
        <v>0</v>
      </c>
      <c r="AI95" s="179">
        <f>'Q (t)'!R95</f>
        <v>0</v>
      </c>
      <c r="AJ95" s="184">
        <f>'Q (t)'!S95</f>
        <v>0</v>
      </c>
      <c r="AK95" s="178">
        <f>'Q (t)'!T95</f>
        <v>0</v>
      </c>
      <c r="AL95" s="184">
        <f>'Q (t)'!U95</f>
        <v>0</v>
      </c>
      <c r="AM95" s="179">
        <f>'Q (t)'!V95</f>
        <v>0</v>
      </c>
      <c r="AO95" s="183">
        <f t="shared" si="72"/>
        <v>0</v>
      </c>
      <c r="AP95" s="184">
        <f t="shared" si="78"/>
        <v>0</v>
      </c>
      <c r="AQ95" s="178">
        <f t="shared" si="78"/>
        <v>0</v>
      </c>
      <c r="AR95" s="178">
        <f t="shared" si="78"/>
        <v>0</v>
      </c>
      <c r="AS95" s="179">
        <f t="shared" si="78"/>
        <v>0</v>
      </c>
      <c r="AT95" s="178">
        <f t="shared" si="78"/>
        <v>0</v>
      </c>
      <c r="AU95" s="178">
        <f t="shared" si="78"/>
        <v>0</v>
      </c>
      <c r="AV95" s="178">
        <f t="shared" si="78"/>
        <v>0</v>
      </c>
      <c r="AW95" s="179">
        <f t="shared" si="78"/>
        <v>0</v>
      </c>
      <c r="AX95" s="178">
        <f t="shared" si="64"/>
        <v>0</v>
      </c>
      <c r="AY95" s="178">
        <f t="shared" si="65"/>
        <v>0</v>
      </c>
      <c r="AZ95" s="179">
        <f t="shared" si="66"/>
        <v>0</v>
      </c>
      <c r="BA95" s="184">
        <f t="shared" si="67"/>
        <v>0</v>
      </c>
      <c r="BB95" s="178">
        <f t="shared" si="68"/>
        <v>0</v>
      </c>
      <c r="BC95" s="184">
        <f t="shared" si="69"/>
        <v>0</v>
      </c>
      <c r="BD95" s="178">
        <f t="shared" si="70"/>
        <v>0</v>
      </c>
      <c r="BE95" s="244">
        <f t="shared" si="73"/>
        <v>0</v>
      </c>
      <c r="BF95" s="245">
        <f t="shared" si="74"/>
        <v>0</v>
      </c>
      <c r="BH95" s="252">
        <f>SUBTOTAL(9,BH96:BH103)</f>
        <v>874.82302299999992</v>
      </c>
      <c r="BI95" s="252">
        <f>SUBTOTAL(9,BI96:BI103)</f>
        <v>505.00060000000002</v>
      </c>
      <c r="BJ95" s="252">
        <f>SUBTOTAL(9,BJ96:BJ103)</f>
        <v>0</v>
      </c>
      <c r="BK95" s="252">
        <f>SUBTOTAL(9,BK96:BK103)</f>
        <v>1399.7403615000001</v>
      </c>
      <c r="BL95" s="252">
        <f>SUBTOTAL(9,BL96:BL103)</f>
        <v>0</v>
      </c>
      <c r="BM95" s="257">
        <f t="shared" si="75"/>
        <v>2779.5639845000001</v>
      </c>
      <c r="BO95" s="714" t="str">
        <f t="shared" si="76"/>
        <v/>
      </c>
    </row>
    <row r="96" spans="2:67" ht="15" customHeight="1" x14ac:dyDescent="0.25">
      <c r="B96" s="19">
        <v>1</v>
      </c>
      <c r="C96" s="44" t="s">
        <v>115</v>
      </c>
      <c r="D96" s="45"/>
      <c r="E96" s="105" t="s">
        <v>116</v>
      </c>
      <c r="G96" s="477">
        <f>ROUND('[15]DUoS (t)'!G94*$BT$135,4)</f>
        <v>0</v>
      </c>
      <c r="H96" s="478">
        <f>ROUND('[15]DUoS (t)'!H94*$BT$135,4)</f>
        <v>4.3E-3</v>
      </c>
      <c r="I96" s="461"/>
      <c r="J96" s="461"/>
      <c r="K96" s="462"/>
      <c r="L96" s="461"/>
      <c r="M96" s="461"/>
      <c r="N96" s="461"/>
      <c r="O96" s="462"/>
      <c r="P96" s="461"/>
      <c r="Q96" s="461"/>
      <c r="R96" s="462"/>
      <c r="S96" s="478">
        <f>ROUND('[15]DUoS (t)'!S94*$BT$135,4)</f>
        <v>4.07E-2</v>
      </c>
      <c r="T96" s="483">
        <f>ROUND('[15]DUoS (t)'!T94*$BT$135,4)</f>
        <v>7.2700000000000001E-2</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72"/>
        <v>0</v>
      </c>
      <c r="AP96" s="184">
        <f t="shared" si="78"/>
        <v>0</v>
      </c>
      <c r="AQ96" s="178">
        <f t="shared" si="78"/>
        <v>0</v>
      </c>
      <c r="AR96" s="178">
        <f t="shared" si="78"/>
        <v>0</v>
      </c>
      <c r="AS96" s="179">
        <f t="shared" si="78"/>
        <v>0</v>
      </c>
      <c r="AT96" s="178">
        <f t="shared" si="78"/>
        <v>0</v>
      </c>
      <c r="AU96" s="178">
        <f t="shared" si="78"/>
        <v>0</v>
      </c>
      <c r="AV96" s="178">
        <f t="shared" si="78"/>
        <v>0</v>
      </c>
      <c r="AW96" s="179">
        <f t="shared" si="78"/>
        <v>0</v>
      </c>
      <c r="AX96" s="178">
        <f t="shared" si="64"/>
        <v>0</v>
      </c>
      <c r="AY96" s="178">
        <f t="shared" si="65"/>
        <v>0</v>
      </c>
      <c r="AZ96" s="179">
        <f t="shared" si="66"/>
        <v>0</v>
      </c>
      <c r="BA96" s="184">
        <f t="shared" si="67"/>
        <v>0</v>
      </c>
      <c r="BB96" s="178">
        <f t="shared" si="68"/>
        <v>0</v>
      </c>
      <c r="BC96" s="184">
        <f t="shared" si="69"/>
        <v>0</v>
      </c>
      <c r="BD96" s="178">
        <f t="shared" si="70"/>
        <v>0</v>
      </c>
      <c r="BE96" s="244">
        <f t="shared" si="73"/>
        <v>0</v>
      </c>
      <c r="BF96" s="245">
        <f t="shared" si="74"/>
        <v>0</v>
      </c>
      <c r="BH96" s="255">
        <f t="shared" ref="BH96:BH103" si="81">SUM(AO96)</f>
        <v>0</v>
      </c>
      <c r="BI96" s="255">
        <f t="shared" ref="BI96:BI103" si="82">SUM(AP96:AS96)</f>
        <v>0</v>
      </c>
      <c r="BJ96" s="255">
        <f t="shared" ref="BJ96:BJ103" si="83">SUM(AT96:AW96)</f>
        <v>0</v>
      </c>
      <c r="BK96" s="256">
        <f t="shared" ref="BK96:BK103" si="84">SUM(AX96:BB96)</f>
        <v>0</v>
      </c>
      <c r="BL96" s="262">
        <f t="shared" ref="BL96:BL103" si="85">SUM(BC96:BD96)</f>
        <v>0</v>
      </c>
      <c r="BM96" s="257">
        <f t="shared" si="75"/>
        <v>0</v>
      </c>
      <c r="BO96" s="714" t="str">
        <f t="shared" si="76"/>
        <v/>
      </c>
    </row>
    <row r="97" spans="2:67" ht="15" customHeight="1" x14ac:dyDescent="0.25">
      <c r="B97" s="19">
        <f>1+B96</f>
        <v>2</v>
      </c>
      <c r="C97" s="44" t="s">
        <v>117</v>
      </c>
      <c r="D97" s="45"/>
      <c r="E97" s="105" t="s">
        <v>118</v>
      </c>
      <c r="G97" s="864">
        <f>'Cust Specific'!R210</f>
        <v>0</v>
      </c>
      <c r="H97" s="865">
        <f>'Cust Specific'!R213</f>
        <v>4.3E-3</v>
      </c>
      <c r="I97" s="461"/>
      <c r="J97" s="461"/>
      <c r="K97" s="462"/>
      <c r="L97" s="461"/>
      <c r="M97" s="461"/>
      <c r="N97" s="461"/>
      <c r="O97" s="462"/>
      <c r="P97" s="461"/>
      <c r="Q97" s="461"/>
      <c r="R97" s="462"/>
      <c r="S97" s="865">
        <f>'Cust Specific'!R211</f>
        <v>4.07E-2</v>
      </c>
      <c r="T97" s="866">
        <f>'Cust Specific'!R212</f>
        <v>7.2700000000000001E-2</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72"/>
        <v>0</v>
      </c>
      <c r="AP97" s="184">
        <f t="shared" ref="AP97:AW97" si="86">H97*Y97</f>
        <v>76.281999999999996</v>
      </c>
      <c r="AQ97" s="178">
        <f t="shared" si="86"/>
        <v>0</v>
      </c>
      <c r="AR97" s="178">
        <f t="shared" si="86"/>
        <v>0</v>
      </c>
      <c r="AS97" s="179">
        <f t="shared" si="86"/>
        <v>0</v>
      </c>
      <c r="AT97" s="178">
        <f t="shared" si="86"/>
        <v>0</v>
      </c>
      <c r="AU97" s="178">
        <f t="shared" si="86"/>
        <v>0</v>
      </c>
      <c r="AV97" s="178">
        <f t="shared" si="86"/>
        <v>0</v>
      </c>
      <c r="AW97" s="179">
        <f t="shared" si="86"/>
        <v>0</v>
      </c>
      <c r="AX97" s="178">
        <f t="shared" si="64"/>
        <v>0</v>
      </c>
      <c r="AY97" s="178">
        <f t="shared" si="65"/>
        <v>0</v>
      </c>
      <c r="AZ97" s="179">
        <f t="shared" si="66"/>
        <v>0</v>
      </c>
      <c r="BA97" s="184">
        <f t="shared" si="67"/>
        <v>57.847317000000004</v>
      </c>
      <c r="BB97" s="178">
        <f t="shared" si="68"/>
        <v>132.67750000000001</v>
      </c>
      <c r="BC97" s="184">
        <f t="shared" si="69"/>
        <v>0</v>
      </c>
      <c r="BD97" s="178">
        <f t="shared" si="70"/>
        <v>0</v>
      </c>
      <c r="BE97" s="244">
        <f t="shared" si="73"/>
        <v>1</v>
      </c>
      <c r="BF97" s="245">
        <f t="shared" si="74"/>
        <v>17740</v>
      </c>
      <c r="BH97" s="255">
        <f t="shared" si="81"/>
        <v>0</v>
      </c>
      <c r="BI97" s="255">
        <f t="shared" si="82"/>
        <v>76.281999999999996</v>
      </c>
      <c r="BJ97" s="255">
        <f t="shared" si="83"/>
        <v>0</v>
      </c>
      <c r="BK97" s="256">
        <f t="shared" si="84"/>
        <v>190.52481700000001</v>
      </c>
      <c r="BL97" s="262">
        <f t="shared" si="85"/>
        <v>0</v>
      </c>
      <c r="BM97" s="257">
        <f t="shared" si="75"/>
        <v>266.80681700000002</v>
      </c>
      <c r="BO97" s="714">
        <f t="shared" si="76"/>
        <v>15.039843122886134</v>
      </c>
    </row>
    <row r="98" spans="2:67" ht="15" customHeight="1" x14ac:dyDescent="0.25">
      <c r="B98" s="19">
        <f t="shared" ref="B98:B129" si="87">B97+1</f>
        <v>3</v>
      </c>
      <c r="C98" s="44" t="s">
        <v>122</v>
      </c>
      <c r="D98" s="45"/>
      <c r="E98" s="105" t="s">
        <v>118</v>
      </c>
      <c r="G98" s="864">
        <f>'Cust Specific'!R217</f>
        <v>596.04660000000001</v>
      </c>
      <c r="H98" s="865">
        <f>'Cust Specific'!R220</f>
        <v>4.3E-3</v>
      </c>
      <c r="I98" s="461"/>
      <c r="J98" s="461"/>
      <c r="K98" s="462"/>
      <c r="L98" s="461"/>
      <c r="M98" s="461"/>
      <c r="N98" s="461"/>
      <c r="O98" s="462"/>
      <c r="P98" s="461"/>
      <c r="Q98" s="461"/>
      <c r="R98" s="462"/>
      <c r="S98" s="865">
        <f>'Cust Specific'!R218</f>
        <v>4.07E-2</v>
      </c>
      <c r="T98" s="866">
        <f>'Cust Specific'!R219</f>
        <v>7.2700000000000001E-2</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72"/>
        <v>217.55700899999999</v>
      </c>
      <c r="AP98" s="184">
        <f t="shared" ref="AP98:AW99" si="88">H98*Y98</f>
        <v>105.092</v>
      </c>
      <c r="AQ98" s="178">
        <f t="shared" si="88"/>
        <v>0</v>
      </c>
      <c r="AR98" s="178">
        <f t="shared" si="88"/>
        <v>0</v>
      </c>
      <c r="AS98" s="179">
        <f t="shared" si="88"/>
        <v>0</v>
      </c>
      <c r="AT98" s="178">
        <f t="shared" si="88"/>
        <v>0</v>
      </c>
      <c r="AU98" s="178">
        <f t="shared" si="88"/>
        <v>0</v>
      </c>
      <c r="AV98" s="178">
        <f t="shared" si="88"/>
        <v>0</v>
      </c>
      <c r="AW98" s="179">
        <f t="shared" si="88"/>
        <v>0</v>
      </c>
      <c r="AX98" s="178">
        <f t="shared" si="64"/>
        <v>0</v>
      </c>
      <c r="AY98" s="178">
        <f t="shared" si="65"/>
        <v>0</v>
      </c>
      <c r="AZ98" s="179">
        <f t="shared" si="66"/>
        <v>0</v>
      </c>
      <c r="BA98" s="184">
        <f t="shared" si="67"/>
        <v>59.8230985</v>
      </c>
      <c r="BB98" s="178">
        <f t="shared" si="68"/>
        <v>132.67750000000001</v>
      </c>
      <c r="BC98" s="184">
        <f t="shared" si="69"/>
        <v>0</v>
      </c>
      <c r="BD98" s="178">
        <f t="shared" si="70"/>
        <v>0</v>
      </c>
      <c r="BE98" s="244">
        <f>X98/$BE$7</f>
        <v>1</v>
      </c>
      <c r="BF98" s="245">
        <f t="shared" si="74"/>
        <v>24440</v>
      </c>
      <c r="BH98" s="255">
        <f t="shared" si="81"/>
        <v>217.55700899999999</v>
      </c>
      <c r="BI98" s="255">
        <f t="shared" si="82"/>
        <v>105.092</v>
      </c>
      <c r="BJ98" s="255">
        <f t="shared" si="83"/>
        <v>0</v>
      </c>
      <c r="BK98" s="256">
        <f t="shared" si="84"/>
        <v>192.50059850000002</v>
      </c>
      <c r="BL98" s="262">
        <f t="shared" si="85"/>
        <v>0</v>
      </c>
      <c r="BM98" s="257">
        <f>SUM(BH98:BL98)</f>
        <v>515.1496075</v>
      </c>
      <c r="BO98" s="714">
        <f t="shared" si="76"/>
        <v>21.078134513093289</v>
      </c>
    </row>
    <row r="99" spans="2:67" ht="15" customHeight="1" x14ac:dyDescent="0.25">
      <c r="B99" s="19">
        <f t="shared" si="87"/>
        <v>4</v>
      </c>
      <c r="C99" s="44" t="s">
        <v>123</v>
      </c>
      <c r="D99" s="45"/>
      <c r="E99" s="105" t="s">
        <v>118</v>
      </c>
      <c r="G99" s="864">
        <f>'Cust Specific'!R224</f>
        <v>0</v>
      </c>
      <c r="H99" s="865">
        <f>'Cust Specific'!R227</f>
        <v>4.3E-3</v>
      </c>
      <c r="I99" s="461"/>
      <c r="J99" s="461"/>
      <c r="K99" s="462"/>
      <c r="L99" s="461"/>
      <c r="M99" s="461"/>
      <c r="N99" s="461"/>
      <c r="O99" s="462"/>
      <c r="P99" s="461"/>
      <c r="Q99" s="461"/>
      <c r="R99" s="462"/>
      <c r="S99" s="865">
        <f>'Cust Specific'!R225</f>
        <v>4.07E-2</v>
      </c>
      <c r="T99" s="866">
        <f>'Cust Specific'!R226</f>
        <v>7.2700000000000001E-2</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72"/>
        <v>0</v>
      </c>
      <c r="AP99" s="184">
        <f t="shared" si="88"/>
        <v>48.933999999999997</v>
      </c>
      <c r="AQ99" s="178">
        <f t="shared" si="88"/>
        <v>0</v>
      </c>
      <c r="AR99" s="178">
        <f t="shared" si="88"/>
        <v>0</v>
      </c>
      <c r="AS99" s="179">
        <f t="shared" si="88"/>
        <v>0</v>
      </c>
      <c r="AT99" s="178">
        <f t="shared" si="88"/>
        <v>0</v>
      </c>
      <c r="AU99" s="178">
        <f t="shared" si="88"/>
        <v>0</v>
      </c>
      <c r="AV99" s="178">
        <f t="shared" si="88"/>
        <v>0</v>
      </c>
      <c r="AW99" s="179">
        <f t="shared" si="88"/>
        <v>0</v>
      </c>
      <c r="AX99" s="178">
        <f t="shared" si="64"/>
        <v>0</v>
      </c>
      <c r="AY99" s="178">
        <f t="shared" si="65"/>
        <v>0</v>
      </c>
      <c r="AZ99" s="179">
        <f t="shared" si="66"/>
        <v>0</v>
      </c>
      <c r="BA99" s="184">
        <f t="shared" si="67"/>
        <v>34.940135999999995</v>
      </c>
      <c r="BB99" s="178">
        <f t="shared" si="68"/>
        <v>132.67750000000001</v>
      </c>
      <c r="BC99" s="184">
        <f t="shared" si="69"/>
        <v>0</v>
      </c>
      <c r="BD99" s="178">
        <f t="shared" si="70"/>
        <v>0</v>
      </c>
      <c r="BE99" s="244">
        <f>X99/$BE$7</f>
        <v>1</v>
      </c>
      <c r="BF99" s="245">
        <f t="shared" si="74"/>
        <v>11380</v>
      </c>
      <c r="BH99" s="255">
        <f t="shared" si="81"/>
        <v>0</v>
      </c>
      <c r="BI99" s="255">
        <f t="shared" si="82"/>
        <v>48.933999999999997</v>
      </c>
      <c r="BJ99" s="255">
        <f t="shared" si="83"/>
        <v>0</v>
      </c>
      <c r="BK99" s="256">
        <f t="shared" si="84"/>
        <v>167.617636</v>
      </c>
      <c r="BL99" s="262">
        <f t="shared" si="85"/>
        <v>0</v>
      </c>
      <c r="BM99" s="257">
        <f>SUM(BH99:BL99)</f>
        <v>216.551636</v>
      </c>
      <c r="BO99" s="714">
        <f t="shared" si="76"/>
        <v>19.029142003514938</v>
      </c>
    </row>
    <row r="100" spans="2:67" ht="15" customHeight="1" x14ac:dyDescent="0.25">
      <c r="B100" s="19">
        <f t="shared" si="87"/>
        <v>5</v>
      </c>
      <c r="C100" s="44" t="s">
        <v>119</v>
      </c>
      <c r="D100" s="45"/>
      <c r="E100" s="105" t="s">
        <v>118</v>
      </c>
      <c r="G100" s="864">
        <f>'Cust Specific'!R231</f>
        <v>955</v>
      </c>
      <c r="H100" s="865">
        <f>'Cust Specific'!R234</f>
        <v>4.3E-3</v>
      </c>
      <c r="I100" s="461"/>
      <c r="J100" s="461"/>
      <c r="K100" s="462"/>
      <c r="L100" s="461"/>
      <c r="M100" s="461"/>
      <c r="N100" s="461"/>
      <c r="O100" s="462"/>
      <c r="P100" s="461"/>
      <c r="Q100" s="461"/>
      <c r="R100" s="462"/>
      <c r="S100" s="865">
        <f>'Cust Specific'!R232</f>
        <v>4.07E-2</v>
      </c>
      <c r="T100" s="866">
        <f>'Cust Specific'!R233</f>
        <v>7.2700000000000001E-2</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72"/>
        <v>348.57499999999999</v>
      </c>
      <c r="AP100" s="184">
        <f t="shared" ref="AP100:AW105" si="89">H100*Y100</f>
        <v>107.629</v>
      </c>
      <c r="AQ100" s="178">
        <f t="shared" si="89"/>
        <v>0</v>
      </c>
      <c r="AR100" s="178">
        <f t="shared" si="89"/>
        <v>0</v>
      </c>
      <c r="AS100" s="179">
        <f t="shared" si="89"/>
        <v>0</v>
      </c>
      <c r="AT100" s="178">
        <f t="shared" si="89"/>
        <v>0</v>
      </c>
      <c r="AU100" s="178">
        <f t="shared" si="89"/>
        <v>0</v>
      </c>
      <c r="AV100" s="178">
        <f t="shared" si="89"/>
        <v>0</v>
      </c>
      <c r="AW100" s="179">
        <f t="shared" si="89"/>
        <v>0</v>
      </c>
      <c r="AX100" s="178">
        <f t="shared" si="64"/>
        <v>0</v>
      </c>
      <c r="AY100" s="178">
        <f t="shared" si="65"/>
        <v>0</v>
      </c>
      <c r="AZ100" s="179">
        <f t="shared" si="66"/>
        <v>0</v>
      </c>
      <c r="BA100" s="184">
        <f t="shared" si="67"/>
        <v>94.674101500000006</v>
      </c>
      <c r="BB100" s="178">
        <f t="shared" si="68"/>
        <v>186.3057455</v>
      </c>
      <c r="BC100" s="184">
        <f t="shared" si="69"/>
        <v>0</v>
      </c>
      <c r="BD100" s="178">
        <f t="shared" si="70"/>
        <v>0</v>
      </c>
      <c r="BE100" s="244">
        <f t="shared" si="73"/>
        <v>1</v>
      </c>
      <c r="BF100" s="245">
        <f t="shared" si="74"/>
        <v>25030</v>
      </c>
      <c r="BH100" s="255">
        <f t="shared" si="81"/>
        <v>348.57499999999999</v>
      </c>
      <c r="BI100" s="255">
        <f t="shared" si="82"/>
        <v>107.629</v>
      </c>
      <c r="BJ100" s="255">
        <f t="shared" si="83"/>
        <v>0</v>
      </c>
      <c r="BK100" s="256">
        <f t="shared" si="84"/>
        <v>280.97984700000001</v>
      </c>
      <c r="BL100" s="262">
        <f t="shared" si="85"/>
        <v>0</v>
      </c>
      <c r="BM100" s="257">
        <f t="shared" si="75"/>
        <v>737.18384700000001</v>
      </c>
      <c r="BO100" s="714">
        <f t="shared" si="76"/>
        <v>29.452011466240513</v>
      </c>
    </row>
    <row r="101" spans="2:67" ht="15" customHeight="1" x14ac:dyDescent="0.25">
      <c r="B101" s="19">
        <f t="shared" si="87"/>
        <v>6</v>
      </c>
      <c r="C101" s="44" t="s">
        <v>708</v>
      </c>
      <c r="D101" s="45"/>
      <c r="E101" s="105" t="s">
        <v>118</v>
      </c>
      <c r="G101" s="864">
        <f>'Cust Specific'!R238</f>
        <v>547.94520547945206</v>
      </c>
      <c r="H101" s="865">
        <f>'Cust Specific'!R241</f>
        <v>4.3E-3</v>
      </c>
      <c r="I101" s="461"/>
      <c r="J101" s="461"/>
      <c r="K101" s="462"/>
      <c r="L101" s="461"/>
      <c r="M101" s="461"/>
      <c r="N101" s="461"/>
      <c r="O101" s="462"/>
      <c r="P101" s="461"/>
      <c r="Q101" s="461"/>
      <c r="R101" s="462"/>
      <c r="S101" s="865">
        <f>'Cust Specific'!R239</f>
        <v>4.07E-2</v>
      </c>
      <c r="T101" s="866">
        <f>'Cust Specific'!R240</f>
        <v>7.2700000000000001E-2</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G101*X101/1000</f>
        <v>200</v>
      </c>
      <c r="AP101" s="184">
        <f t="shared" si="89"/>
        <v>49.845599999999997</v>
      </c>
      <c r="AQ101" s="178">
        <f t="shared" si="89"/>
        <v>0</v>
      </c>
      <c r="AR101" s="178">
        <f t="shared" si="89"/>
        <v>0</v>
      </c>
      <c r="AS101" s="179">
        <f t="shared" si="89"/>
        <v>0</v>
      </c>
      <c r="AT101" s="178">
        <f t="shared" si="89"/>
        <v>0</v>
      </c>
      <c r="AU101" s="178">
        <f t="shared" si="89"/>
        <v>0</v>
      </c>
      <c r="AV101" s="178">
        <f t="shared" si="89"/>
        <v>0</v>
      </c>
      <c r="AW101" s="179">
        <f t="shared" si="89"/>
        <v>0</v>
      </c>
      <c r="AX101" s="178">
        <f t="shared" ref="AX101:BD101" si="90">P101*AG101/1000</f>
        <v>0</v>
      </c>
      <c r="AY101" s="178">
        <f t="shared" si="90"/>
        <v>0</v>
      </c>
      <c r="AZ101" s="179">
        <f t="shared" si="90"/>
        <v>0</v>
      </c>
      <c r="BA101" s="184">
        <f t="shared" si="90"/>
        <v>44.640777499999999</v>
      </c>
      <c r="BB101" s="178">
        <f t="shared" si="90"/>
        <v>132.67750000000001</v>
      </c>
      <c r="BC101" s="184">
        <f t="shared" si="90"/>
        <v>0</v>
      </c>
      <c r="BD101" s="178">
        <f t="shared" si="90"/>
        <v>0</v>
      </c>
      <c r="BE101" s="244">
        <f>X101/$BE$7</f>
        <v>1</v>
      </c>
      <c r="BF101" s="245">
        <f>SUM(Y101:AF101)</f>
        <v>11592</v>
      </c>
      <c r="BH101" s="255">
        <f>SUM(AO101)</f>
        <v>200</v>
      </c>
      <c r="BI101" s="255">
        <f>SUM(AP101:AS101)</f>
        <v>49.845599999999997</v>
      </c>
      <c r="BJ101" s="255">
        <f>SUM(AT101:AW101)</f>
        <v>0</v>
      </c>
      <c r="BK101" s="256">
        <f>SUM(AX101:BB101)</f>
        <v>177.31827750000002</v>
      </c>
      <c r="BL101" s="262">
        <f>SUM(BC101:BD101)</f>
        <v>0</v>
      </c>
      <c r="BM101" s="257">
        <f>SUM(BH101:BL101)</f>
        <v>427.16387750000001</v>
      </c>
      <c r="BO101" s="714">
        <f>IF(BF101=0,"",BM101*1000/BF101)</f>
        <v>36.849885912698412</v>
      </c>
    </row>
    <row r="102" spans="2:67" ht="15" customHeight="1" x14ac:dyDescent="0.25">
      <c r="B102" s="19">
        <f t="shared" si="87"/>
        <v>7</v>
      </c>
      <c r="C102" s="44" t="s">
        <v>120</v>
      </c>
      <c r="D102" s="45"/>
      <c r="E102" s="105" t="s">
        <v>118</v>
      </c>
      <c r="G102" s="864">
        <f>'Cust Specific'!R245</f>
        <v>0</v>
      </c>
      <c r="H102" s="865">
        <f>'Cust Specific'!R248</f>
        <v>4.3E-3</v>
      </c>
      <c r="I102" s="461"/>
      <c r="J102" s="461"/>
      <c r="K102" s="462"/>
      <c r="L102" s="461"/>
      <c r="M102" s="461"/>
      <c r="N102" s="461"/>
      <c r="O102" s="462"/>
      <c r="P102" s="461"/>
      <c r="Q102" s="461"/>
      <c r="R102" s="462"/>
      <c r="S102" s="865">
        <f>'Cust Specific'!R246</f>
        <v>4.07E-2</v>
      </c>
      <c r="T102" s="866">
        <f>'Cust Specific'!R247</f>
        <v>7.2700000000000001E-2</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72"/>
        <v>0</v>
      </c>
      <c r="AP102" s="184">
        <f t="shared" si="89"/>
        <v>12.728</v>
      </c>
      <c r="AQ102" s="178">
        <f t="shared" si="89"/>
        <v>0</v>
      </c>
      <c r="AR102" s="178">
        <f t="shared" si="89"/>
        <v>0</v>
      </c>
      <c r="AS102" s="179">
        <f t="shared" si="89"/>
        <v>0</v>
      </c>
      <c r="AT102" s="178">
        <f t="shared" si="89"/>
        <v>0</v>
      </c>
      <c r="AU102" s="178">
        <f t="shared" si="89"/>
        <v>0</v>
      </c>
      <c r="AV102" s="178">
        <f t="shared" si="89"/>
        <v>0</v>
      </c>
      <c r="AW102" s="179">
        <f t="shared" si="89"/>
        <v>0</v>
      </c>
      <c r="AX102" s="178">
        <f t="shared" si="64"/>
        <v>0</v>
      </c>
      <c r="AY102" s="178">
        <f t="shared" si="65"/>
        <v>0</v>
      </c>
      <c r="AZ102" s="179">
        <f t="shared" si="66"/>
        <v>0</v>
      </c>
      <c r="BA102" s="184">
        <f t="shared" si="67"/>
        <v>52.959857499999998</v>
      </c>
      <c r="BB102" s="178">
        <f t="shared" si="68"/>
        <v>140.213582</v>
      </c>
      <c r="BC102" s="184">
        <f t="shared" si="69"/>
        <v>0</v>
      </c>
      <c r="BD102" s="178">
        <f t="shared" si="70"/>
        <v>0</v>
      </c>
      <c r="BE102" s="244">
        <f t="shared" si="73"/>
        <v>1</v>
      </c>
      <c r="BF102" s="245">
        <f t="shared" si="74"/>
        <v>2960</v>
      </c>
      <c r="BH102" s="255">
        <f t="shared" si="81"/>
        <v>0</v>
      </c>
      <c r="BI102" s="255">
        <f t="shared" si="82"/>
        <v>12.728</v>
      </c>
      <c r="BJ102" s="255">
        <f t="shared" si="83"/>
        <v>0</v>
      </c>
      <c r="BK102" s="256">
        <f t="shared" si="84"/>
        <v>193.1734395</v>
      </c>
      <c r="BL102" s="262">
        <f t="shared" si="85"/>
        <v>0</v>
      </c>
      <c r="BM102" s="257">
        <f t="shared" si="75"/>
        <v>205.90143950000001</v>
      </c>
      <c r="BO102" s="714">
        <f t="shared" si="76"/>
        <v>69.561297128378385</v>
      </c>
    </row>
    <row r="103" spans="2:67" ht="15" customHeight="1" x14ac:dyDescent="0.25">
      <c r="B103" s="19">
        <f t="shared" si="87"/>
        <v>8</v>
      </c>
      <c r="C103" s="44" t="s">
        <v>121</v>
      </c>
      <c r="D103" s="45"/>
      <c r="E103" s="105" t="s">
        <v>118</v>
      </c>
      <c r="G103" s="864">
        <f>'Cust Specific'!R252</f>
        <v>297.78359999999998</v>
      </c>
      <c r="H103" s="865">
        <f>'Cust Specific'!R255</f>
        <v>4.3E-3</v>
      </c>
      <c r="I103" s="461"/>
      <c r="J103" s="461"/>
      <c r="K103" s="462"/>
      <c r="L103" s="461"/>
      <c r="M103" s="461"/>
      <c r="N103" s="461"/>
      <c r="O103" s="462"/>
      <c r="P103" s="461"/>
      <c r="Q103" s="461"/>
      <c r="R103" s="462"/>
      <c r="S103" s="865">
        <f>'Cust Specific'!R253</f>
        <v>4.07E-2</v>
      </c>
      <c r="T103" s="866">
        <f>'Cust Specific'!R254</f>
        <v>7.2700000000000001E-2</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72"/>
        <v>108.691014</v>
      </c>
      <c r="AP103" s="184">
        <f t="shared" si="89"/>
        <v>104.49</v>
      </c>
      <c r="AQ103" s="178">
        <f t="shared" si="89"/>
        <v>0</v>
      </c>
      <c r="AR103" s="178">
        <f t="shared" si="89"/>
        <v>0</v>
      </c>
      <c r="AS103" s="179">
        <f t="shared" si="89"/>
        <v>0</v>
      </c>
      <c r="AT103" s="178">
        <f t="shared" si="89"/>
        <v>0</v>
      </c>
      <c r="AU103" s="178">
        <f t="shared" si="89"/>
        <v>0</v>
      </c>
      <c r="AV103" s="178">
        <f t="shared" si="89"/>
        <v>0</v>
      </c>
      <c r="AW103" s="179">
        <f t="shared" si="89"/>
        <v>0</v>
      </c>
      <c r="AX103" s="178">
        <f t="shared" si="64"/>
        <v>0</v>
      </c>
      <c r="AY103" s="178">
        <f t="shared" si="65"/>
        <v>0</v>
      </c>
      <c r="AZ103" s="179">
        <f t="shared" si="66"/>
        <v>0</v>
      </c>
      <c r="BA103" s="184">
        <f t="shared" si="67"/>
        <v>64.948245999999997</v>
      </c>
      <c r="BB103" s="178">
        <f t="shared" si="68"/>
        <v>132.67750000000001</v>
      </c>
      <c r="BC103" s="184">
        <f t="shared" si="69"/>
        <v>0</v>
      </c>
      <c r="BD103" s="178">
        <f t="shared" si="70"/>
        <v>0</v>
      </c>
      <c r="BE103" s="244">
        <f t="shared" si="73"/>
        <v>1</v>
      </c>
      <c r="BF103" s="245">
        <f t="shared" si="74"/>
        <v>24300</v>
      </c>
      <c r="BH103" s="255">
        <f t="shared" si="81"/>
        <v>108.691014</v>
      </c>
      <c r="BI103" s="255">
        <f t="shared" si="82"/>
        <v>104.49</v>
      </c>
      <c r="BJ103" s="255">
        <f t="shared" si="83"/>
        <v>0</v>
      </c>
      <c r="BK103" s="256">
        <f t="shared" si="84"/>
        <v>197.62574599999999</v>
      </c>
      <c r="BL103" s="262">
        <f t="shared" si="85"/>
        <v>0</v>
      </c>
      <c r="BM103" s="257">
        <f t="shared" si="75"/>
        <v>410.80676</v>
      </c>
      <c r="BO103" s="714">
        <f t="shared" si="76"/>
        <v>16.905627983539095</v>
      </c>
    </row>
    <row r="104" spans="2:67"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72"/>
        <v>0</v>
      </c>
      <c r="AP104" s="184">
        <f t="shared" si="89"/>
        <v>0</v>
      </c>
      <c r="AQ104" s="178">
        <f t="shared" si="89"/>
        <v>0</v>
      </c>
      <c r="AR104" s="178">
        <f t="shared" si="89"/>
        <v>0</v>
      </c>
      <c r="AS104" s="179">
        <f t="shared" si="89"/>
        <v>0</v>
      </c>
      <c r="AT104" s="178">
        <f t="shared" si="89"/>
        <v>0</v>
      </c>
      <c r="AU104" s="178">
        <f t="shared" si="89"/>
        <v>0</v>
      </c>
      <c r="AV104" s="178">
        <f t="shared" si="89"/>
        <v>0</v>
      </c>
      <c r="AW104" s="179">
        <f t="shared" si="89"/>
        <v>0</v>
      </c>
      <c r="AX104" s="178">
        <f t="shared" si="64"/>
        <v>0</v>
      </c>
      <c r="AY104" s="178">
        <f t="shared" si="65"/>
        <v>0</v>
      </c>
      <c r="AZ104" s="179">
        <f t="shared" si="66"/>
        <v>0</v>
      </c>
      <c r="BA104" s="184">
        <f t="shared" si="67"/>
        <v>0</v>
      </c>
      <c r="BB104" s="178">
        <f t="shared" si="68"/>
        <v>0</v>
      </c>
      <c r="BC104" s="184">
        <f t="shared" si="69"/>
        <v>0</v>
      </c>
      <c r="BD104" s="178">
        <f t="shared" si="70"/>
        <v>0</v>
      </c>
      <c r="BE104" s="244">
        <f t="shared" si="73"/>
        <v>0</v>
      </c>
      <c r="BF104" s="245">
        <f t="shared" si="74"/>
        <v>0</v>
      </c>
      <c r="BH104" s="252">
        <f>SUBTOTAL(9,BH105:BH114)</f>
        <v>30.939005999999999</v>
      </c>
      <c r="BI104" s="252">
        <f>SUBTOTAL(9,BI105:BI114)</f>
        <v>1712.1309999999999</v>
      </c>
      <c r="BJ104" s="252">
        <f>SUBTOTAL(9,BJ105:BJ114)</f>
        <v>0</v>
      </c>
      <c r="BK104" s="252">
        <f>SUBTOTAL(9,BK105:BK114)</f>
        <v>3442.3949349999998</v>
      </c>
      <c r="BL104" s="252">
        <f>SUBTOTAL(9,BL105:BL114)</f>
        <v>0</v>
      </c>
      <c r="BM104" s="257">
        <f t="shared" si="75"/>
        <v>5185.4649410000002</v>
      </c>
      <c r="BO104" s="714" t="str">
        <f t="shared" si="76"/>
        <v/>
      </c>
    </row>
    <row r="105" spans="2:67" ht="15" customHeight="1" x14ac:dyDescent="0.25">
      <c r="B105" s="19">
        <f>B103+1</f>
        <v>9</v>
      </c>
      <c r="C105" s="44" t="s">
        <v>125</v>
      </c>
      <c r="D105" s="45"/>
      <c r="E105" s="105" t="s">
        <v>126</v>
      </c>
      <c r="G105" s="864">
        <f>'Cust Specific'!R263</f>
        <v>0</v>
      </c>
      <c r="H105" s="865">
        <f>'Cust Specific'!R266</f>
        <v>4.3E-3</v>
      </c>
      <c r="I105" s="461"/>
      <c r="J105" s="461"/>
      <c r="K105" s="462"/>
      <c r="L105" s="461"/>
      <c r="M105" s="461"/>
      <c r="N105" s="461"/>
      <c r="O105" s="462"/>
      <c r="P105" s="461"/>
      <c r="Q105" s="461"/>
      <c r="R105" s="462"/>
      <c r="S105" s="865">
        <f>'Cust Specific'!R264</f>
        <v>4.07E-2</v>
      </c>
      <c r="T105" s="866">
        <f>'Cust Specific'!R265</f>
        <v>7.2700000000000001E-2</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72"/>
        <v>0</v>
      </c>
      <c r="AP105" s="184">
        <f t="shared" si="89"/>
        <v>303.14999999999998</v>
      </c>
      <c r="AQ105" s="178">
        <f t="shared" si="89"/>
        <v>0</v>
      </c>
      <c r="AR105" s="178">
        <f t="shared" si="89"/>
        <v>0</v>
      </c>
      <c r="AS105" s="179">
        <f t="shared" si="89"/>
        <v>0</v>
      </c>
      <c r="AT105" s="178">
        <f t="shared" si="89"/>
        <v>0</v>
      </c>
      <c r="AU105" s="178">
        <f t="shared" si="89"/>
        <v>0</v>
      </c>
      <c r="AV105" s="178">
        <f t="shared" si="89"/>
        <v>0</v>
      </c>
      <c r="AW105" s="179">
        <f t="shared" si="89"/>
        <v>0</v>
      </c>
      <c r="AX105" s="178">
        <f t="shared" si="64"/>
        <v>0</v>
      </c>
      <c r="AY105" s="178">
        <f t="shared" si="65"/>
        <v>0</v>
      </c>
      <c r="AZ105" s="179">
        <f t="shared" si="66"/>
        <v>0</v>
      </c>
      <c r="BA105" s="184">
        <f t="shared" si="67"/>
        <v>154.02182399999998</v>
      </c>
      <c r="BB105" s="178">
        <f t="shared" si="68"/>
        <v>302.10666749999996</v>
      </c>
      <c r="BC105" s="184">
        <f t="shared" si="69"/>
        <v>0</v>
      </c>
      <c r="BD105" s="178">
        <f t="shared" si="70"/>
        <v>0</v>
      </c>
      <c r="BE105" s="244">
        <f t="shared" si="73"/>
        <v>1</v>
      </c>
      <c r="BF105" s="245">
        <f t="shared" si="74"/>
        <v>70500</v>
      </c>
      <c r="BH105" s="255">
        <f t="shared" ref="BH105:BH114" si="91">SUM(AO105)</f>
        <v>0</v>
      </c>
      <c r="BI105" s="255">
        <f t="shared" ref="BI105:BI114" si="92">SUM(AP105:AS105)</f>
        <v>303.14999999999998</v>
      </c>
      <c r="BJ105" s="255">
        <f t="shared" ref="BJ105:BJ114" si="93">SUM(AT105:AW105)</f>
        <v>0</v>
      </c>
      <c r="BK105" s="256">
        <f t="shared" ref="BK105:BK114" si="94">SUM(AX105:BB105)</f>
        <v>456.12849149999994</v>
      </c>
      <c r="BL105" s="262">
        <f t="shared" ref="BL105:BL114" si="95">SUM(BC105:BD105)</f>
        <v>0</v>
      </c>
      <c r="BM105" s="257">
        <f t="shared" si="75"/>
        <v>759.27849149999997</v>
      </c>
      <c r="BO105" s="714">
        <f t="shared" si="76"/>
        <v>10.769907680851064</v>
      </c>
    </row>
    <row r="106" spans="2:67" ht="15" customHeight="1" x14ac:dyDescent="0.25">
      <c r="B106" s="19">
        <f t="shared" si="87"/>
        <v>10</v>
      </c>
      <c r="C106" s="44" t="s">
        <v>127</v>
      </c>
      <c r="D106" s="45"/>
      <c r="E106" s="105" t="s">
        <v>126</v>
      </c>
      <c r="G106" s="864">
        <f>'Cust Specific'!R270</f>
        <v>0</v>
      </c>
      <c r="H106" s="865">
        <f>'Cust Specific'!R273</f>
        <v>4.3E-3</v>
      </c>
      <c r="I106" s="461"/>
      <c r="J106" s="461"/>
      <c r="K106" s="462"/>
      <c r="L106" s="461"/>
      <c r="M106" s="461"/>
      <c r="N106" s="461"/>
      <c r="O106" s="462"/>
      <c r="P106" s="461"/>
      <c r="Q106" s="461"/>
      <c r="R106" s="462"/>
      <c r="S106" s="865">
        <f>'Cust Specific'!R271</f>
        <v>4.07E-2</v>
      </c>
      <c r="T106" s="866">
        <f>'Cust Specific'!R272</f>
        <v>7.2700000000000001E-2</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72"/>
        <v>0</v>
      </c>
      <c r="AP106" s="184">
        <f t="shared" ref="AP106:AP114" si="96">H106*Y106</f>
        <v>733.15</v>
      </c>
      <c r="AQ106" s="178">
        <f t="shared" ref="AQ106:AQ114" si="97">I106*Z106</f>
        <v>0</v>
      </c>
      <c r="AR106" s="178">
        <f t="shared" ref="AR106:AR114" si="98">J106*AA106</f>
        <v>0</v>
      </c>
      <c r="AS106" s="179">
        <f t="shared" ref="AS106:AS114" si="99">K106*AB106</f>
        <v>0</v>
      </c>
      <c r="AT106" s="178">
        <f t="shared" ref="AT106:AT114" si="100">L106*AC106</f>
        <v>0</v>
      </c>
      <c r="AU106" s="178">
        <f t="shared" ref="AU106:AU114" si="101">M106*AD106</f>
        <v>0</v>
      </c>
      <c r="AV106" s="178">
        <f t="shared" ref="AV106:AV114" si="102">N106*AE106</f>
        <v>0</v>
      </c>
      <c r="AW106" s="179">
        <f t="shared" ref="AW106:AW114" si="103">O106*AF106</f>
        <v>0</v>
      </c>
      <c r="AX106" s="178">
        <f t="shared" si="64"/>
        <v>0</v>
      </c>
      <c r="AY106" s="178">
        <f t="shared" si="65"/>
        <v>0</v>
      </c>
      <c r="AZ106" s="179">
        <f t="shared" si="66"/>
        <v>0</v>
      </c>
      <c r="BA106" s="184">
        <f t="shared" si="67"/>
        <v>359.13171250000005</v>
      </c>
      <c r="BB106" s="178">
        <f t="shared" si="68"/>
        <v>701.81090399999994</v>
      </c>
      <c r="BC106" s="184">
        <f t="shared" si="69"/>
        <v>0</v>
      </c>
      <c r="BD106" s="178">
        <f t="shared" si="70"/>
        <v>0</v>
      </c>
      <c r="BE106" s="244">
        <f t="shared" ref="BE106:BE114" si="104">X106/$BE$7</f>
        <v>1</v>
      </c>
      <c r="BF106" s="245">
        <f t="shared" si="74"/>
        <v>170500</v>
      </c>
      <c r="BH106" s="255">
        <f t="shared" si="91"/>
        <v>0</v>
      </c>
      <c r="BI106" s="255">
        <f t="shared" si="92"/>
        <v>733.15</v>
      </c>
      <c r="BJ106" s="255">
        <f t="shared" si="93"/>
        <v>0</v>
      </c>
      <c r="BK106" s="256">
        <f t="shared" si="94"/>
        <v>1060.9426165</v>
      </c>
      <c r="BL106" s="262">
        <f t="shared" si="95"/>
        <v>0</v>
      </c>
      <c r="BM106" s="257">
        <f t="shared" ref="BM106:BM114" si="105">SUM(BH106:BL106)</f>
        <v>1794.0926165000001</v>
      </c>
      <c r="BO106" s="714">
        <f t="shared" si="76"/>
        <v>10.522537340175953</v>
      </c>
    </row>
    <row r="107" spans="2:67" ht="15" customHeight="1" x14ac:dyDescent="0.25">
      <c r="B107" s="19">
        <f t="shared" si="87"/>
        <v>11</v>
      </c>
      <c r="C107" s="44" t="s">
        <v>128</v>
      </c>
      <c r="D107" s="45"/>
      <c r="E107" s="105" t="s">
        <v>126</v>
      </c>
      <c r="G107" s="864">
        <f>'Cust Specific'!R277</f>
        <v>0</v>
      </c>
      <c r="H107" s="865">
        <f>'Cust Specific'!R280</f>
        <v>4.3E-3</v>
      </c>
      <c r="I107" s="461"/>
      <c r="J107" s="461"/>
      <c r="K107" s="462"/>
      <c r="L107" s="461"/>
      <c r="M107" s="461"/>
      <c r="N107" s="461"/>
      <c r="O107" s="462"/>
      <c r="P107" s="461"/>
      <c r="Q107" s="461"/>
      <c r="R107" s="462"/>
      <c r="S107" s="865">
        <f>'Cust Specific'!R278</f>
        <v>4.07E-2</v>
      </c>
      <c r="T107" s="866">
        <f>'Cust Specific'!R279</f>
        <v>7.2700000000000001E-2</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72"/>
        <v>0</v>
      </c>
      <c r="AP107" s="184">
        <f t="shared" si="96"/>
        <v>107.07</v>
      </c>
      <c r="AQ107" s="178">
        <f t="shared" si="97"/>
        <v>0</v>
      </c>
      <c r="AR107" s="178">
        <f t="shared" si="98"/>
        <v>0</v>
      </c>
      <c r="AS107" s="179">
        <f t="shared" si="99"/>
        <v>0</v>
      </c>
      <c r="AT107" s="178">
        <f t="shared" si="100"/>
        <v>0</v>
      </c>
      <c r="AU107" s="178">
        <f t="shared" si="101"/>
        <v>0</v>
      </c>
      <c r="AV107" s="178">
        <f t="shared" si="102"/>
        <v>0</v>
      </c>
      <c r="AW107" s="179">
        <f t="shared" si="103"/>
        <v>0</v>
      </c>
      <c r="AX107" s="178">
        <f t="shared" si="64"/>
        <v>0</v>
      </c>
      <c r="AY107" s="178">
        <f t="shared" si="65"/>
        <v>0</v>
      </c>
      <c r="AZ107" s="179">
        <f t="shared" si="66"/>
        <v>0</v>
      </c>
      <c r="BA107" s="184">
        <f t="shared" si="67"/>
        <v>60.461885000000002</v>
      </c>
      <c r="BB107" s="178">
        <f t="shared" si="68"/>
        <v>132.67750000000001</v>
      </c>
      <c r="BC107" s="184">
        <f t="shared" si="69"/>
        <v>0</v>
      </c>
      <c r="BD107" s="178">
        <f t="shared" si="70"/>
        <v>0</v>
      </c>
      <c r="BE107" s="244">
        <f t="shared" si="104"/>
        <v>1</v>
      </c>
      <c r="BF107" s="245">
        <f t="shared" si="74"/>
        <v>24900</v>
      </c>
      <c r="BH107" s="255">
        <f t="shared" si="91"/>
        <v>0</v>
      </c>
      <c r="BI107" s="255">
        <f t="shared" si="92"/>
        <v>107.07</v>
      </c>
      <c r="BJ107" s="255">
        <f t="shared" si="93"/>
        <v>0</v>
      </c>
      <c r="BK107" s="256">
        <f t="shared" si="94"/>
        <v>193.139385</v>
      </c>
      <c r="BL107" s="262">
        <f t="shared" si="95"/>
        <v>0</v>
      </c>
      <c r="BM107" s="257">
        <f t="shared" si="105"/>
        <v>300.209385</v>
      </c>
      <c r="BO107" s="714">
        <f t="shared" si="76"/>
        <v>12.056601807228915</v>
      </c>
    </row>
    <row r="108" spans="2:67" ht="15" customHeight="1" x14ac:dyDescent="0.25">
      <c r="B108" s="19">
        <f t="shared" si="87"/>
        <v>12</v>
      </c>
      <c r="C108" s="44"/>
      <c r="D108" s="45" t="s">
        <v>129</v>
      </c>
      <c r="E108" s="105" t="s">
        <v>126</v>
      </c>
      <c r="G108" s="864">
        <f>'Cust Specific'!R284</f>
        <v>0</v>
      </c>
      <c r="H108" s="865">
        <f>'Cust Specific'!R287</f>
        <v>4.3E-3</v>
      </c>
      <c r="I108" s="461"/>
      <c r="J108" s="461"/>
      <c r="K108" s="462"/>
      <c r="L108" s="461"/>
      <c r="M108" s="461"/>
      <c r="N108" s="461"/>
      <c r="O108" s="462"/>
      <c r="P108" s="461"/>
      <c r="Q108" s="461"/>
      <c r="R108" s="462"/>
      <c r="S108" s="865">
        <f>'Cust Specific'!R285</f>
        <v>4.07E-2</v>
      </c>
      <c r="T108" s="866">
        <f>'Cust Specific'!R286</f>
        <v>7.2700000000000001E-2</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72"/>
        <v>0</v>
      </c>
      <c r="AP108" s="184">
        <f t="shared" si="96"/>
        <v>109.22</v>
      </c>
      <c r="AQ108" s="178">
        <f t="shared" si="97"/>
        <v>0</v>
      </c>
      <c r="AR108" s="178">
        <f t="shared" si="98"/>
        <v>0</v>
      </c>
      <c r="AS108" s="179">
        <f t="shared" si="99"/>
        <v>0</v>
      </c>
      <c r="AT108" s="178">
        <f t="shared" si="100"/>
        <v>0</v>
      </c>
      <c r="AU108" s="178">
        <f t="shared" si="101"/>
        <v>0</v>
      </c>
      <c r="AV108" s="178">
        <f t="shared" si="102"/>
        <v>0</v>
      </c>
      <c r="AW108" s="179">
        <f t="shared" si="103"/>
        <v>0</v>
      </c>
      <c r="AX108" s="178">
        <f t="shared" si="64"/>
        <v>0</v>
      </c>
      <c r="AY108" s="178">
        <f t="shared" si="65"/>
        <v>0</v>
      </c>
      <c r="AZ108" s="179">
        <f t="shared" si="66"/>
        <v>0</v>
      </c>
      <c r="BA108" s="184">
        <f t="shared" si="67"/>
        <v>111.3419725</v>
      </c>
      <c r="BB108" s="178">
        <f t="shared" si="68"/>
        <v>214.51298199999999</v>
      </c>
      <c r="BC108" s="184">
        <f t="shared" si="69"/>
        <v>0</v>
      </c>
      <c r="BD108" s="178">
        <f t="shared" si="70"/>
        <v>0</v>
      </c>
      <c r="BE108" s="244">
        <f t="shared" si="104"/>
        <v>1</v>
      </c>
      <c r="BF108" s="245">
        <f t="shared" si="74"/>
        <v>25400</v>
      </c>
      <c r="BH108" s="255">
        <f t="shared" si="91"/>
        <v>0</v>
      </c>
      <c r="BI108" s="255">
        <f t="shared" si="92"/>
        <v>109.22</v>
      </c>
      <c r="BJ108" s="255">
        <f t="shared" si="93"/>
        <v>0</v>
      </c>
      <c r="BK108" s="256">
        <f t="shared" si="94"/>
        <v>325.85495449999996</v>
      </c>
      <c r="BL108" s="262">
        <f t="shared" si="95"/>
        <v>0</v>
      </c>
      <c r="BM108" s="257">
        <f t="shared" si="105"/>
        <v>435.07495449999999</v>
      </c>
      <c r="BO108" s="714">
        <f t="shared" si="76"/>
        <v>17.128935216535432</v>
      </c>
    </row>
    <row r="109" spans="2:67" ht="15" customHeight="1" x14ac:dyDescent="0.25">
      <c r="B109" s="19">
        <f t="shared" si="87"/>
        <v>13</v>
      </c>
      <c r="C109" s="44" t="s">
        <v>564</v>
      </c>
      <c r="D109" s="45"/>
      <c r="E109" s="105" t="s">
        <v>126</v>
      </c>
      <c r="G109" s="864">
        <f>'Cust Specific'!R291</f>
        <v>0</v>
      </c>
      <c r="H109" s="865">
        <f>'Cust Specific'!R294</f>
        <v>4.3E-3</v>
      </c>
      <c r="I109" s="461"/>
      <c r="J109" s="461"/>
      <c r="K109" s="462"/>
      <c r="L109" s="461"/>
      <c r="M109" s="461"/>
      <c r="N109" s="461"/>
      <c r="O109" s="462"/>
      <c r="P109" s="461"/>
      <c r="Q109" s="461"/>
      <c r="R109" s="462"/>
      <c r="S109" s="865">
        <f>'Cust Specific'!R292</f>
        <v>4.07E-2</v>
      </c>
      <c r="T109" s="866">
        <f>'Cust Specific'!R293</f>
        <v>7.2700000000000001E-2</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72"/>
        <v>0</v>
      </c>
      <c r="AP109" s="184">
        <f t="shared" si="96"/>
        <v>47.945</v>
      </c>
      <c r="AQ109" s="178">
        <f t="shared" si="97"/>
        <v>0</v>
      </c>
      <c r="AR109" s="178">
        <f t="shared" si="98"/>
        <v>0</v>
      </c>
      <c r="AS109" s="179">
        <f t="shared" si="99"/>
        <v>0</v>
      </c>
      <c r="AT109" s="178">
        <f t="shared" si="100"/>
        <v>0</v>
      </c>
      <c r="AU109" s="178">
        <f t="shared" si="101"/>
        <v>0</v>
      </c>
      <c r="AV109" s="178">
        <f t="shared" si="102"/>
        <v>0</v>
      </c>
      <c r="AW109" s="179">
        <f t="shared" si="103"/>
        <v>0</v>
      </c>
      <c r="AX109" s="178">
        <f t="shared" si="64"/>
        <v>0</v>
      </c>
      <c r="AY109" s="178">
        <f t="shared" si="65"/>
        <v>0</v>
      </c>
      <c r="AZ109" s="179">
        <f t="shared" si="66"/>
        <v>0</v>
      </c>
      <c r="BA109" s="184">
        <f t="shared" si="67"/>
        <v>40.793202999999998</v>
      </c>
      <c r="BB109" s="178">
        <f t="shared" si="68"/>
        <v>132.67750000000001</v>
      </c>
      <c r="BC109" s="184">
        <f t="shared" si="69"/>
        <v>0</v>
      </c>
      <c r="BD109" s="178">
        <f t="shared" si="70"/>
        <v>0</v>
      </c>
      <c r="BE109" s="244">
        <f t="shared" si="104"/>
        <v>1</v>
      </c>
      <c r="BF109" s="245">
        <f t="shared" si="74"/>
        <v>11150</v>
      </c>
      <c r="BH109" s="255">
        <f t="shared" si="91"/>
        <v>0</v>
      </c>
      <c r="BI109" s="255">
        <f t="shared" si="92"/>
        <v>47.945</v>
      </c>
      <c r="BJ109" s="255">
        <f t="shared" si="93"/>
        <v>0</v>
      </c>
      <c r="BK109" s="256">
        <f t="shared" si="94"/>
        <v>173.47070300000001</v>
      </c>
      <c r="BL109" s="262">
        <f t="shared" si="95"/>
        <v>0</v>
      </c>
      <c r="BM109" s="257">
        <f t="shared" si="105"/>
        <v>221.41570300000001</v>
      </c>
      <c r="BO109" s="714">
        <f t="shared" si="76"/>
        <v>19.857910582959644</v>
      </c>
    </row>
    <row r="110" spans="2:67" ht="15" customHeight="1" x14ac:dyDescent="0.25">
      <c r="B110" s="19">
        <f t="shared" si="87"/>
        <v>14</v>
      </c>
      <c r="C110" s="44" t="s">
        <v>565</v>
      </c>
      <c r="D110" s="45"/>
      <c r="E110" s="105" t="s">
        <v>126</v>
      </c>
      <c r="G110" s="864">
        <f>'Cust Specific'!R298</f>
        <v>0</v>
      </c>
      <c r="H110" s="865">
        <f>'Cust Specific'!R301</f>
        <v>4.3E-3</v>
      </c>
      <c r="I110" s="461"/>
      <c r="J110" s="461"/>
      <c r="K110" s="462"/>
      <c r="L110" s="461"/>
      <c r="M110" s="461"/>
      <c r="N110" s="461"/>
      <c r="O110" s="462"/>
      <c r="P110" s="461"/>
      <c r="Q110" s="461"/>
      <c r="R110" s="462"/>
      <c r="S110" s="865">
        <f>'Cust Specific'!R299</f>
        <v>4.07E-2</v>
      </c>
      <c r="T110" s="866">
        <f>'Cust Specific'!R300</f>
        <v>7.2700000000000001E-2</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72"/>
        <v>0</v>
      </c>
      <c r="AP110" s="184">
        <f t="shared" si="96"/>
        <v>45.709000000000003</v>
      </c>
      <c r="AQ110" s="178">
        <f t="shared" si="97"/>
        <v>0</v>
      </c>
      <c r="AR110" s="178">
        <f t="shared" si="98"/>
        <v>0</v>
      </c>
      <c r="AS110" s="179">
        <f t="shared" si="99"/>
        <v>0</v>
      </c>
      <c r="AT110" s="178">
        <f t="shared" si="100"/>
        <v>0</v>
      </c>
      <c r="AU110" s="178">
        <f t="shared" si="101"/>
        <v>0</v>
      </c>
      <c r="AV110" s="178">
        <f t="shared" si="102"/>
        <v>0</v>
      </c>
      <c r="AW110" s="179">
        <f t="shared" si="103"/>
        <v>0</v>
      </c>
      <c r="AX110" s="178">
        <f t="shared" si="64"/>
        <v>0</v>
      </c>
      <c r="AY110" s="178">
        <f t="shared" si="65"/>
        <v>0</v>
      </c>
      <c r="AZ110" s="179">
        <f t="shared" si="66"/>
        <v>0</v>
      </c>
      <c r="BA110" s="184">
        <f t="shared" si="67"/>
        <v>24.6155635</v>
      </c>
      <c r="BB110" s="178">
        <f t="shared" si="68"/>
        <v>132.67750000000001</v>
      </c>
      <c r="BC110" s="184">
        <f t="shared" si="69"/>
        <v>0</v>
      </c>
      <c r="BD110" s="178">
        <f t="shared" si="70"/>
        <v>0</v>
      </c>
      <c r="BE110" s="244">
        <f t="shared" si="104"/>
        <v>1</v>
      </c>
      <c r="BF110" s="245">
        <f t="shared" si="74"/>
        <v>10630</v>
      </c>
      <c r="BH110" s="255">
        <f t="shared" si="91"/>
        <v>0</v>
      </c>
      <c r="BI110" s="255">
        <f t="shared" si="92"/>
        <v>45.709000000000003</v>
      </c>
      <c r="BJ110" s="255">
        <f t="shared" si="93"/>
        <v>0</v>
      </c>
      <c r="BK110" s="256">
        <f t="shared" si="94"/>
        <v>157.29306350000002</v>
      </c>
      <c r="BL110" s="262">
        <f t="shared" si="95"/>
        <v>0</v>
      </c>
      <c r="BM110" s="257">
        <f t="shared" si="105"/>
        <v>203.00206350000002</v>
      </c>
      <c r="BO110" s="714">
        <f t="shared" si="76"/>
        <v>19.097089698965195</v>
      </c>
    </row>
    <row r="111" spans="2:67" ht="15" customHeight="1" x14ac:dyDescent="0.25">
      <c r="B111" s="19">
        <f t="shared" si="87"/>
        <v>15</v>
      </c>
      <c r="C111" s="44" t="s">
        <v>560</v>
      </c>
      <c r="D111" s="45"/>
      <c r="E111" s="105" t="s">
        <v>126</v>
      </c>
      <c r="G111" s="864">
        <f>'Cust Specific'!R305</f>
        <v>0</v>
      </c>
      <c r="H111" s="865">
        <f>'Cust Specific'!R308</f>
        <v>4.3E-3</v>
      </c>
      <c r="I111" s="461"/>
      <c r="J111" s="461"/>
      <c r="K111" s="462"/>
      <c r="L111" s="461"/>
      <c r="M111" s="461"/>
      <c r="N111" s="461"/>
      <c r="O111" s="462"/>
      <c r="P111" s="461"/>
      <c r="Q111" s="461"/>
      <c r="R111" s="462"/>
      <c r="S111" s="865">
        <f>'Cust Specific'!R306</f>
        <v>4.07E-2</v>
      </c>
      <c r="T111" s="866">
        <f>'Cust Specific'!R307</f>
        <v>7.2700000000000001E-2</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72"/>
        <v>0</v>
      </c>
      <c r="AP111" s="184">
        <f t="shared" si="96"/>
        <v>17.759</v>
      </c>
      <c r="AQ111" s="178">
        <f t="shared" si="97"/>
        <v>0</v>
      </c>
      <c r="AR111" s="178">
        <f t="shared" si="98"/>
        <v>0</v>
      </c>
      <c r="AS111" s="179">
        <f t="shared" si="99"/>
        <v>0</v>
      </c>
      <c r="AT111" s="178">
        <f t="shared" si="100"/>
        <v>0</v>
      </c>
      <c r="AU111" s="178">
        <f t="shared" si="101"/>
        <v>0</v>
      </c>
      <c r="AV111" s="178">
        <f t="shared" si="102"/>
        <v>0</v>
      </c>
      <c r="AW111" s="179">
        <f t="shared" si="103"/>
        <v>0</v>
      </c>
      <c r="AX111" s="178">
        <f t="shared" si="64"/>
        <v>0</v>
      </c>
      <c r="AY111" s="178">
        <f t="shared" si="65"/>
        <v>0</v>
      </c>
      <c r="AZ111" s="179">
        <f t="shared" si="66"/>
        <v>0</v>
      </c>
      <c r="BA111" s="184">
        <f t="shared" si="67"/>
        <v>8.7201784999999994</v>
      </c>
      <c r="BB111" s="178">
        <f t="shared" si="68"/>
        <v>132.67750000000001</v>
      </c>
      <c r="BC111" s="184">
        <f t="shared" si="69"/>
        <v>0</v>
      </c>
      <c r="BD111" s="178">
        <f t="shared" si="70"/>
        <v>0</v>
      </c>
      <c r="BE111" s="244">
        <f t="shared" si="104"/>
        <v>1</v>
      </c>
      <c r="BF111" s="245">
        <f t="shared" si="74"/>
        <v>4130</v>
      </c>
      <c r="BH111" s="255">
        <f t="shared" si="91"/>
        <v>0</v>
      </c>
      <c r="BI111" s="255">
        <f t="shared" si="92"/>
        <v>17.759</v>
      </c>
      <c r="BJ111" s="255">
        <f t="shared" si="93"/>
        <v>0</v>
      </c>
      <c r="BK111" s="256">
        <f t="shared" si="94"/>
        <v>141.39767850000001</v>
      </c>
      <c r="BL111" s="262">
        <f t="shared" si="95"/>
        <v>0</v>
      </c>
      <c r="BM111" s="257">
        <f t="shared" si="105"/>
        <v>159.1566785</v>
      </c>
      <c r="BO111" s="714">
        <f t="shared" si="76"/>
        <v>38.536726029055693</v>
      </c>
    </row>
    <row r="112" spans="2:67" ht="15" customHeight="1" x14ac:dyDescent="0.25">
      <c r="B112" s="19">
        <f t="shared" si="87"/>
        <v>16</v>
      </c>
      <c r="C112" s="44" t="s">
        <v>130</v>
      </c>
      <c r="D112" s="45"/>
      <c r="E112" s="105" t="s">
        <v>126</v>
      </c>
      <c r="G112" s="864">
        <f>'Cust Specific'!R312</f>
        <v>0</v>
      </c>
      <c r="H112" s="865">
        <f>'Cust Specific'!R315</f>
        <v>4.3E-3</v>
      </c>
      <c r="I112" s="461"/>
      <c r="J112" s="461"/>
      <c r="K112" s="462"/>
      <c r="L112" s="461"/>
      <c r="M112" s="461"/>
      <c r="N112" s="461"/>
      <c r="O112" s="462"/>
      <c r="P112" s="461"/>
      <c r="Q112" s="461"/>
      <c r="R112" s="462"/>
      <c r="S112" s="865">
        <f>'Cust Specific'!R313</f>
        <v>4.07E-2</v>
      </c>
      <c r="T112" s="866">
        <f>'Cust Specific'!R314</f>
        <v>7.2700000000000001E-2</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72"/>
        <v>0</v>
      </c>
      <c r="AP112" s="184">
        <f t="shared" si="96"/>
        <v>130.29</v>
      </c>
      <c r="AQ112" s="178">
        <f t="shared" si="97"/>
        <v>0</v>
      </c>
      <c r="AR112" s="178">
        <f t="shared" si="98"/>
        <v>0</v>
      </c>
      <c r="AS112" s="179">
        <f t="shared" si="99"/>
        <v>0</v>
      </c>
      <c r="AT112" s="178">
        <f t="shared" si="100"/>
        <v>0</v>
      </c>
      <c r="AU112" s="178">
        <f t="shared" si="101"/>
        <v>0</v>
      </c>
      <c r="AV112" s="178">
        <f t="shared" si="102"/>
        <v>0</v>
      </c>
      <c r="AW112" s="179">
        <f t="shared" si="103"/>
        <v>0</v>
      </c>
      <c r="AX112" s="178">
        <f t="shared" si="64"/>
        <v>0</v>
      </c>
      <c r="AY112" s="178">
        <f t="shared" si="65"/>
        <v>0</v>
      </c>
      <c r="AZ112" s="179">
        <f t="shared" si="66"/>
        <v>0</v>
      </c>
      <c r="BA112" s="184">
        <f t="shared" si="67"/>
        <v>147.02488349999999</v>
      </c>
      <c r="BB112" s="178">
        <f t="shared" si="68"/>
        <v>345.51874550000002</v>
      </c>
      <c r="BC112" s="184">
        <f t="shared" si="69"/>
        <v>0</v>
      </c>
      <c r="BD112" s="178">
        <f t="shared" si="70"/>
        <v>0</v>
      </c>
      <c r="BE112" s="244">
        <f t="shared" si="104"/>
        <v>1</v>
      </c>
      <c r="BF112" s="245">
        <f t="shared" ref="BF112:BF129" si="106">SUM(Y112:AF112)</f>
        <v>30300</v>
      </c>
      <c r="BH112" s="255">
        <f t="shared" si="91"/>
        <v>0</v>
      </c>
      <c r="BI112" s="255">
        <f t="shared" si="92"/>
        <v>130.29</v>
      </c>
      <c r="BJ112" s="255">
        <f t="shared" si="93"/>
        <v>0</v>
      </c>
      <c r="BK112" s="256">
        <f t="shared" si="94"/>
        <v>492.54362900000001</v>
      </c>
      <c r="BL112" s="262">
        <f t="shared" si="95"/>
        <v>0</v>
      </c>
      <c r="BM112" s="257">
        <f t="shared" si="105"/>
        <v>622.83362899999997</v>
      </c>
      <c r="BO112" s="714">
        <f t="shared" si="76"/>
        <v>20.555565313531353</v>
      </c>
    </row>
    <row r="113" spans="2:67" ht="15" customHeight="1" x14ac:dyDescent="0.25">
      <c r="B113" s="19">
        <f t="shared" si="87"/>
        <v>17</v>
      </c>
      <c r="C113" s="44" t="s">
        <v>131</v>
      </c>
      <c r="D113" s="45"/>
      <c r="E113" s="105" t="s">
        <v>126</v>
      </c>
      <c r="G113" s="864">
        <f>'Cust Specific'!R319</f>
        <v>84.764399999999995</v>
      </c>
      <c r="H113" s="865">
        <f>'Cust Specific'!R322</f>
        <v>4.3E-3</v>
      </c>
      <c r="I113" s="461"/>
      <c r="J113" s="461"/>
      <c r="K113" s="462"/>
      <c r="L113" s="461"/>
      <c r="M113" s="461"/>
      <c r="N113" s="461"/>
      <c r="O113" s="462"/>
      <c r="P113" s="461"/>
      <c r="Q113" s="461"/>
      <c r="R113" s="462"/>
      <c r="S113" s="865">
        <f>'Cust Specific'!R320</f>
        <v>4.07E-2</v>
      </c>
      <c r="T113" s="866">
        <f>'Cust Specific'!R321</f>
        <v>7.2700000000000001E-2</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72"/>
        <v>30.939005999999999</v>
      </c>
      <c r="AP113" s="184">
        <f t="shared" si="96"/>
        <v>205.54</v>
      </c>
      <c r="AQ113" s="178">
        <f t="shared" si="97"/>
        <v>0</v>
      </c>
      <c r="AR113" s="178">
        <f t="shared" si="98"/>
        <v>0</v>
      </c>
      <c r="AS113" s="179">
        <f t="shared" si="99"/>
        <v>0</v>
      </c>
      <c r="AT113" s="178">
        <f t="shared" si="100"/>
        <v>0</v>
      </c>
      <c r="AU113" s="178">
        <f t="shared" si="101"/>
        <v>0</v>
      </c>
      <c r="AV113" s="178">
        <f t="shared" si="102"/>
        <v>0</v>
      </c>
      <c r="AW113" s="179">
        <f t="shared" si="103"/>
        <v>0</v>
      </c>
      <c r="AX113" s="178">
        <f t="shared" si="64"/>
        <v>0</v>
      </c>
      <c r="AY113" s="178">
        <f t="shared" si="65"/>
        <v>0</v>
      </c>
      <c r="AZ113" s="179">
        <f t="shared" si="66"/>
        <v>0</v>
      </c>
      <c r="BA113" s="184">
        <f t="shared" si="67"/>
        <v>98.239421499999992</v>
      </c>
      <c r="BB113" s="178">
        <f t="shared" si="68"/>
        <v>191.692452</v>
      </c>
      <c r="BC113" s="184">
        <f t="shared" si="69"/>
        <v>0</v>
      </c>
      <c r="BD113" s="178">
        <f t="shared" si="70"/>
        <v>0</v>
      </c>
      <c r="BE113" s="244">
        <f t="shared" si="104"/>
        <v>1</v>
      </c>
      <c r="BF113" s="245">
        <f t="shared" si="106"/>
        <v>47800</v>
      </c>
      <c r="BH113" s="255">
        <f t="shared" si="91"/>
        <v>30.939005999999999</v>
      </c>
      <c r="BI113" s="255">
        <f t="shared" si="92"/>
        <v>205.54</v>
      </c>
      <c r="BJ113" s="255">
        <f t="shared" si="93"/>
        <v>0</v>
      </c>
      <c r="BK113" s="256">
        <f t="shared" si="94"/>
        <v>289.93187349999999</v>
      </c>
      <c r="BL113" s="262">
        <f t="shared" si="95"/>
        <v>0</v>
      </c>
      <c r="BM113" s="257">
        <f t="shared" si="105"/>
        <v>526.41087949999996</v>
      </c>
      <c r="BO113" s="714">
        <f t="shared" si="76"/>
        <v>11.012779905857739</v>
      </c>
    </row>
    <row r="114" spans="2:67" ht="15" customHeight="1" x14ac:dyDescent="0.25">
      <c r="B114" s="19">
        <f t="shared" si="87"/>
        <v>18</v>
      </c>
      <c r="C114" s="44" t="s">
        <v>561</v>
      </c>
      <c r="D114" s="45"/>
      <c r="E114" s="105" t="s">
        <v>126</v>
      </c>
      <c r="G114" s="864">
        <f>'Cust Specific'!R326</f>
        <v>0</v>
      </c>
      <c r="H114" s="865">
        <f>'Cust Specific'!R329</f>
        <v>4.3E-3</v>
      </c>
      <c r="I114" s="461"/>
      <c r="J114" s="461"/>
      <c r="K114" s="462"/>
      <c r="L114" s="461"/>
      <c r="M114" s="461"/>
      <c r="N114" s="461"/>
      <c r="O114" s="462"/>
      <c r="P114" s="461"/>
      <c r="Q114" s="461"/>
      <c r="R114" s="462"/>
      <c r="S114" s="865">
        <f>'Cust Specific'!R327</f>
        <v>4.07E-2</v>
      </c>
      <c r="T114" s="866">
        <f>'Cust Specific'!R328</f>
        <v>7.2700000000000001E-2</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72"/>
        <v>0</v>
      </c>
      <c r="AP114" s="184">
        <f t="shared" si="96"/>
        <v>12.298</v>
      </c>
      <c r="AQ114" s="178">
        <f t="shared" si="97"/>
        <v>0</v>
      </c>
      <c r="AR114" s="178">
        <f t="shared" si="98"/>
        <v>0</v>
      </c>
      <c r="AS114" s="179">
        <f t="shared" si="99"/>
        <v>0</v>
      </c>
      <c r="AT114" s="178">
        <f t="shared" si="100"/>
        <v>0</v>
      </c>
      <c r="AU114" s="178">
        <f t="shared" si="101"/>
        <v>0</v>
      </c>
      <c r="AV114" s="178">
        <f t="shared" si="102"/>
        <v>0</v>
      </c>
      <c r="AW114" s="179">
        <f t="shared" si="103"/>
        <v>0</v>
      </c>
      <c r="AX114" s="178">
        <f t="shared" si="64"/>
        <v>0</v>
      </c>
      <c r="AY114" s="178">
        <f t="shared" si="65"/>
        <v>0</v>
      </c>
      <c r="AZ114" s="179">
        <f t="shared" si="66"/>
        <v>0</v>
      </c>
      <c r="BA114" s="184">
        <f t="shared" si="67"/>
        <v>19.015040000000003</v>
      </c>
      <c r="BB114" s="178">
        <f t="shared" si="68"/>
        <v>132.67750000000001</v>
      </c>
      <c r="BC114" s="184">
        <f t="shared" si="69"/>
        <v>0</v>
      </c>
      <c r="BD114" s="178">
        <f t="shared" si="70"/>
        <v>0</v>
      </c>
      <c r="BE114" s="244">
        <f t="shared" si="104"/>
        <v>1</v>
      </c>
      <c r="BF114" s="245">
        <f t="shared" si="106"/>
        <v>2860</v>
      </c>
      <c r="BH114" s="255">
        <f t="shared" si="91"/>
        <v>0</v>
      </c>
      <c r="BI114" s="255">
        <f t="shared" si="92"/>
        <v>12.298</v>
      </c>
      <c r="BJ114" s="255">
        <f t="shared" si="93"/>
        <v>0</v>
      </c>
      <c r="BK114" s="256">
        <f t="shared" si="94"/>
        <v>151.69254000000001</v>
      </c>
      <c r="BL114" s="262">
        <f t="shared" si="95"/>
        <v>0</v>
      </c>
      <c r="BM114" s="257">
        <f t="shared" si="105"/>
        <v>163.99054000000001</v>
      </c>
      <c r="BO114" s="714">
        <f t="shared" si="76"/>
        <v>57.339349650349654</v>
      </c>
    </row>
    <row r="115" spans="2:67"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72"/>
        <v>0</v>
      </c>
      <c r="AP115" s="184">
        <f t="shared" ref="AP115:AW117" si="107">H115*Y115</f>
        <v>0</v>
      </c>
      <c r="AQ115" s="178">
        <f t="shared" si="107"/>
        <v>0</v>
      </c>
      <c r="AR115" s="178">
        <f t="shared" si="107"/>
        <v>0</v>
      </c>
      <c r="AS115" s="179">
        <f t="shared" si="107"/>
        <v>0</v>
      </c>
      <c r="AT115" s="178">
        <f t="shared" si="107"/>
        <v>0</v>
      </c>
      <c r="AU115" s="178">
        <f t="shared" si="107"/>
        <v>0</v>
      </c>
      <c r="AV115" s="178">
        <f t="shared" si="107"/>
        <v>0</v>
      </c>
      <c r="AW115" s="179">
        <f t="shared" si="107"/>
        <v>0</v>
      </c>
      <c r="AX115" s="178">
        <f t="shared" si="64"/>
        <v>0</v>
      </c>
      <c r="AY115" s="178">
        <f t="shared" si="65"/>
        <v>0</v>
      </c>
      <c r="AZ115" s="179">
        <f t="shared" si="66"/>
        <v>0</v>
      </c>
      <c r="BA115" s="184">
        <f t="shared" si="67"/>
        <v>0</v>
      </c>
      <c r="BB115" s="178">
        <f t="shared" si="68"/>
        <v>0</v>
      </c>
      <c r="BC115" s="184">
        <f t="shared" si="69"/>
        <v>0</v>
      </c>
      <c r="BD115" s="178">
        <f t="shared" si="70"/>
        <v>0</v>
      </c>
      <c r="BE115" s="244">
        <f t="shared" si="73"/>
        <v>0</v>
      </c>
      <c r="BF115" s="245">
        <f t="shared" si="106"/>
        <v>0</v>
      </c>
      <c r="BH115" s="252">
        <f>SUBTOTAL(9,BH116:BH119)</f>
        <v>242.36</v>
      </c>
      <c r="BI115" s="252">
        <f>SUBTOTAL(9,BI116:BI119)</f>
        <v>28.608000000000001</v>
      </c>
      <c r="BJ115" s="252">
        <f>SUBTOTAL(9,BJ116:BJ119)</f>
        <v>0</v>
      </c>
      <c r="BK115" s="252">
        <f>SUBTOTAL(9,BK116:BK119)</f>
        <v>222.83250000000001</v>
      </c>
      <c r="BL115" s="252">
        <f>SUBTOTAL(9,BL116:BL119)</f>
        <v>0</v>
      </c>
      <c r="BM115" s="257">
        <f t="shared" si="75"/>
        <v>493.80050000000006</v>
      </c>
      <c r="BO115" s="714" t="str">
        <f t="shared" si="76"/>
        <v/>
      </c>
    </row>
    <row r="116" spans="2:67" ht="15" customHeight="1" x14ac:dyDescent="0.25">
      <c r="B116" s="19">
        <f>B114+1</f>
        <v>19</v>
      </c>
      <c r="C116" s="44" t="s">
        <v>133</v>
      </c>
      <c r="D116" s="45"/>
      <c r="E116" s="105" t="s">
        <v>134</v>
      </c>
      <c r="G116" s="477">
        <f>ROUND('[15]DUoS (t)'!G113*$BT$135,4)</f>
        <v>0</v>
      </c>
      <c r="H116" s="478">
        <f>ROUND('[15]DUoS (t)'!H113*$BT$135,4)</f>
        <v>1.6000000000000001E-3</v>
      </c>
      <c r="I116" s="461"/>
      <c r="J116" s="461"/>
      <c r="K116" s="462"/>
      <c r="L116" s="461"/>
      <c r="M116" s="461"/>
      <c r="N116" s="461"/>
      <c r="O116" s="462"/>
      <c r="P116" s="461"/>
      <c r="Q116" s="461"/>
      <c r="R116" s="462"/>
      <c r="S116" s="478">
        <f>ROUND('[15]DUoS (t)'!S113*$BT$135,4)</f>
        <v>0</v>
      </c>
      <c r="T116" s="483">
        <f>ROUND('[15]DUoS (t)'!T113*$BT$135,4)</f>
        <v>4.07E-2</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72"/>
        <v>0</v>
      </c>
      <c r="AP116" s="184">
        <f t="shared" si="107"/>
        <v>0</v>
      </c>
      <c r="AQ116" s="178">
        <f t="shared" si="107"/>
        <v>0</v>
      </c>
      <c r="AR116" s="178">
        <f t="shared" si="107"/>
        <v>0</v>
      </c>
      <c r="AS116" s="179">
        <f t="shared" si="107"/>
        <v>0</v>
      </c>
      <c r="AT116" s="178">
        <f t="shared" si="107"/>
        <v>0</v>
      </c>
      <c r="AU116" s="178">
        <f t="shared" si="107"/>
        <v>0</v>
      </c>
      <c r="AV116" s="178">
        <f t="shared" si="107"/>
        <v>0</v>
      </c>
      <c r="AW116" s="179">
        <f t="shared" si="107"/>
        <v>0</v>
      </c>
      <c r="AX116" s="178">
        <f t="shared" si="64"/>
        <v>0</v>
      </c>
      <c r="AY116" s="178">
        <f t="shared" si="65"/>
        <v>0</v>
      </c>
      <c r="AZ116" s="179">
        <f t="shared" si="66"/>
        <v>0</v>
      </c>
      <c r="BA116" s="184">
        <f t="shared" si="67"/>
        <v>0</v>
      </c>
      <c r="BB116" s="178">
        <f t="shared" si="68"/>
        <v>0</v>
      </c>
      <c r="BC116" s="184">
        <f t="shared" si="69"/>
        <v>0</v>
      </c>
      <c r="BD116" s="178">
        <f t="shared" si="70"/>
        <v>0</v>
      </c>
      <c r="BE116" s="244">
        <f t="shared" si="73"/>
        <v>0</v>
      </c>
      <c r="BF116" s="245">
        <f t="shared" si="106"/>
        <v>0</v>
      </c>
      <c r="BH116" s="255">
        <f>SUM(AO116)</f>
        <v>0</v>
      </c>
      <c r="BI116" s="255">
        <f>SUM(AP116:AS116)</f>
        <v>0</v>
      </c>
      <c r="BJ116" s="255">
        <f>SUM(AT116:AW116)</f>
        <v>0</v>
      </c>
      <c r="BK116" s="256">
        <f>SUM(AX116:BB116)</f>
        <v>0</v>
      </c>
      <c r="BL116" s="262">
        <f>SUM(BC116:BD116)</f>
        <v>0</v>
      </c>
      <c r="BM116" s="257">
        <f t="shared" si="75"/>
        <v>0</v>
      </c>
      <c r="BO116" s="714" t="str">
        <f t="shared" si="76"/>
        <v/>
      </c>
    </row>
    <row r="117" spans="2:67" ht="15" customHeight="1" x14ac:dyDescent="0.25">
      <c r="B117" s="19">
        <f>B116+1</f>
        <v>20</v>
      </c>
      <c r="C117" s="44" t="s">
        <v>135</v>
      </c>
      <c r="D117" s="45"/>
      <c r="E117" s="105" t="s">
        <v>136</v>
      </c>
      <c r="G117" s="864">
        <f>'Cust Specific'!R337</f>
        <v>0</v>
      </c>
      <c r="H117" s="865">
        <f>'Cust Specific'!R340</f>
        <v>1.6000000000000001E-3</v>
      </c>
      <c r="I117" s="461"/>
      <c r="J117" s="461"/>
      <c r="K117" s="462"/>
      <c r="L117" s="461"/>
      <c r="M117" s="461"/>
      <c r="N117" s="461"/>
      <c r="O117" s="462"/>
      <c r="P117" s="461"/>
      <c r="Q117" s="461"/>
      <c r="R117" s="462"/>
      <c r="S117" s="865">
        <f>'Cust Specific'!R338</f>
        <v>0</v>
      </c>
      <c r="T117" s="866">
        <f>'Cust Specific'!R339</f>
        <v>4.07E-2</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72"/>
        <v>0</v>
      </c>
      <c r="AP117" s="184">
        <f t="shared" si="107"/>
        <v>12</v>
      </c>
      <c r="AQ117" s="178">
        <f t="shared" si="107"/>
        <v>0</v>
      </c>
      <c r="AR117" s="178">
        <f t="shared" si="107"/>
        <v>0</v>
      </c>
      <c r="AS117" s="179">
        <f t="shared" si="107"/>
        <v>0</v>
      </c>
      <c r="AT117" s="178">
        <f t="shared" si="107"/>
        <v>0</v>
      </c>
      <c r="AU117" s="178">
        <f t="shared" si="107"/>
        <v>0</v>
      </c>
      <c r="AV117" s="178">
        <f t="shared" si="107"/>
        <v>0</v>
      </c>
      <c r="AW117" s="179">
        <f t="shared" si="107"/>
        <v>0</v>
      </c>
      <c r="AX117" s="178">
        <f t="shared" si="64"/>
        <v>0</v>
      </c>
      <c r="AY117" s="178">
        <f t="shared" si="65"/>
        <v>0</v>
      </c>
      <c r="AZ117" s="179">
        <f t="shared" si="66"/>
        <v>0</v>
      </c>
      <c r="BA117" s="184">
        <f t="shared" si="67"/>
        <v>0</v>
      </c>
      <c r="BB117" s="178">
        <f t="shared" si="68"/>
        <v>74.277500000000003</v>
      </c>
      <c r="BC117" s="184">
        <f t="shared" si="69"/>
        <v>0</v>
      </c>
      <c r="BD117" s="178">
        <f t="shared" si="70"/>
        <v>0</v>
      </c>
      <c r="BE117" s="244">
        <f t="shared" si="73"/>
        <v>1</v>
      </c>
      <c r="BF117" s="245">
        <f t="shared" si="106"/>
        <v>7500</v>
      </c>
      <c r="BH117" s="255">
        <f>SUM(AO117)</f>
        <v>0</v>
      </c>
      <c r="BI117" s="255">
        <f>SUM(AP117:AS117)</f>
        <v>12</v>
      </c>
      <c r="BJ117" s="255">
        <f>SUM(AT117:AW117)</f>
        <v>0</v>
      </c>
      <c r="BK117" s="256">
        <f>SUM(AX117:BB117)</f>
        <v>74.277500000000003</v>
      </c>
      <c r="BL117" s="262">
        <f>SUM(BC117:BD117)</f>
        <v>0</v>
      </c>
      <c r="BM117" s="257">
        <f t="shared" si="75"/>
        <v>86.277500000000003</v>
      </c>
      <c r="BO117" s="714">
        <f t="shared" si="76"/>
        <v>11.503666666666666</v>
      </c>
    </row>
    <row r="118" spans="2:67" ht="15" customHeight="1" x14ac:dyDescent="0.25">
      <c r="B118" s="19">
        <f t="shared" si="87"/>
        <v>21</v>
      </c>
      <c r="C118" s="44" t="s">
        <v>137</v>
      </c>
      <c r="D118" s="45"/>
      <c r="E118" s="105" t="s">
        <v>136</v>
      </c>
      <c r="G118" s="864">
        <f>'Cust Specific'!R344</f>
        <v>207</v>
      </c>
      <c r="H118" s="865">
        <f>'Cust Specific'!R347</f>
        <v>1.6000000000000001E-3</v>
      </c>
      <c r="I118" s="461"/>
      <c r="J118" s="461"/>
      <c r="K118" s="462"/>
      <c r="L118" s="461"/>
      <c r="M118" s="461"/>
      <c r="N118" s="461"/>
      <c r="O118" s="462"/>
      <c r="P118" s="461"/>
      <c r="Q118" s="461"/>
      <c r="R118" s="462"/>
      <c r="S118" s="865">
        <f>'Cust Specific'!R345</f>
        <v>0</v>
      </c>
      <c r="T118" s="866">
        <f>'Cust Specific'!R346</f>
        <v>4.07E-2</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72"/>
        <v>75.555000000000007</v>
      </c>
      <c r="AP118" s="184">
        <f t="shared" ref="AP118:AW129" si="108">H118*Y118</f>
        <v>3.52</v>
      </c>
      <c r="AQ118" s="178">
        <f t="shared" si="108"/>
        <v>0</v>
      </c>
      <c r="AR118" s="178">
        <f t="shared" si="108"/>
        <v>0</v>
      </c>
      <c r="AS118" s="179">
        <f t="shared" si="108"/>
        <v>0</v>
      </c>
      <c r="AT118" s="178">
        <f t="shared" si="108"/>
        <v>0</v>
      </c>
      <c r="AU118" s="178">
        <f t="shared" si="108"/>
        <v>0</v>
      </c>
      <c r="AV118" s="178">
        <f t="shared" si="108"/>
        <v>0</v>
      </c>
      <c r="AW118" s="179">
        <f t="shared" si="108"/>
        <v>0</v>
      </c>
      <c r="AX118" s="178">
        <f t="shared" si="64"/>
        <v>0</v>
      </c>
      <c r="AY118" s="178">
        <f t="shared" si="65"/>
        <v>0</v>
      </c>
      <c r="AZ118" s="179">
        <f t="shared" si="66"/>
        <v>0</v>
      </c>
      <c r="BA118" s="184">
        <f t="shared" si="67"/>
        <v>0</v>
      </c>
      <c r="BB118" s="178">
        <f t="shared" si="68"/>
        <v>74.277500000000003</v>
      </c>
      <c r="BC118" s="184">
        <f t="shared" si="69"/>
        <v>0</v>
      </c>
      <c r="BD118" s="178">
        <f t="shared" si="70"/>
        <v>0</v>
      </c>
      <c r="BE118" s="244">
        <f t="shared" si="73"/>
        <v>1</v>
      </c>
      <c r="BF118" s="245">
        <f t="shared" si="106"/>
        <v>2200</v>
      </c>
      <c r="BH118" s="255">
        <f>SUM(AO118)</f>
        <v>75.555000000000007</v>
      </c>
      <c r="BI118" s="255">
        <f>SUM(AP118:AS118)</f>
        <v>3.52</v>
      </c>
      <c r="BJ118" s="255">
        <f>SUM(AT118:AW118)</f>
        <v>0</v>
      </c>
      <c r="BK118" s="256">
        <f>SUM(AX118:BB118)</f>
        <v>74.277500000000003</v>
      </c>
      <c r="BL118" s="262">
        <f>SUM(BC118:BD118)</f>
        <v>0</v>
      </c>
      <c r="BM118" s="257">
        <f t="shared" si="75"/>
        <v>153.35250000000002</v>
      </c>
      <c r="BO118" s="714">
        <f t="shared" si="76"/>
        <v>69.70568181818183</v>
      </c>
    </row>
    <row r="119" spans="2:67" ht="15" customHeight="1" x14ac:dyDescent="0.25">
      <c r="B119" s="19">
        <f t="shared" si="87"/>
        <v>22</v>
      </c>
      <c r="C119" s="44" t="s">
        <v>138</v>
      </c>
      <c r="D119" s="45"/>
      <c r="E119" s="105" t="s">
        <v>136</v>
      </c>
      <c r="G119" s="864">
        <f>'Cust Specific'!R351</f>
        <v>457</v>
      </c>
      <c r="H119" s="865">
        <f>'Cust Specific'!R354</f>
        <v>1.6000000000000001E-3</v>
      </c>
      <c r="I119" s="461"/>
      <c r="J119" s="461"/>
      <c r="K119" s="462"/>
      <c r="L119" s="461"/>
      <c r="M119" s="461"/>
      <c r="N119" s="461"/>
      <c r="O119" s="462"/>
      <c r="P119" s="461"/>
      <c r="Q119" s="461"/>
      <c r="R119" s="462"/>
      <c r="S119" s="865">
        <f>'Cust Specific'!R352</f>
        <v>0</v>
      </c>
      <c r="T119" s="866">
        <f>'Cust Specific'!R353</f>
        <v>4.07E-2</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72"/>
        <v>166.80500000000001</v>
      </c>
      <c r="AP119" s="184">
        <f t="shared" si="108"/>
        <v>13.088000000000001</v>
      </c>
      <c r="AQ119" s="178">
        <f t="shared" si="108"/>
        <v>0</v>
      </c>
      <c r="AR119" s="178">
        <f t="shared" si="108"/>
        <v>0</v>
      </c>
      <c r="AS119" s="179">
        <f t="shared" si="108"/>
        <v>0</v>
      </c>
      <c r="AT119" s="178">
        <f t="shared" si="108"/>
        <v>0</v>
      </c>
      <c r="AU119" s="178">
        <f t="shared" si="108"/>
        <v>0</v>
      </c>
      <c r="AV119" s="178">
        <f t="shared" si="108"/>
        <v>0</v>
      </c>
      <c r="AW119" s="179">
        <f t="shared" si="108"/>
        <v>0</v>
      </c>
      <c r="AX119" s="178">
        <f t="shared" si="64"/>
        <v>0</v>
      </c>
      <c r="AY119" s="178">
        <f t="shared" si="65"/>
        <v>0</v>
      </c>
      <c r="AZ119" s="179">
        <f t="shared" si="66"/>
        <v>0</v>
      </c>
      <c r="BA119" s="184">
        <f t="shared" si="67"/>
        <v>0</v>
      </c>
      <c r="BB119" s="178">
        <f t="shared" si="68"/>
        <v>74.277500000000003</v>
      </c>
      <c r="BC119" s="184">
        <f t="shared" si="69"/>
        <v>0</v>
      </c>
      <c r="BD119" s="178">
        <f t="shared" si="70"/>
        <v>0</v>
      </c>
      <c r="BE119" s="244">
        <f t="shared" si="73"/>
        <v>1</v>
      </c>
      <c r="BF119" s="245">
        <f t="shared" si="106"/>
        <v>8180</v>
      </c>
      <c r="BH119" s="255">
        <f>SUM(AO119)</f>
        <v>166.80500000000001</v>
      </c>
      <c r="BI119" s="255">
        <f>SUM(AP119:AS119)</f>
        <v>13.088000000000001</v>
      </c>
      <c r="BJ119" s="255">
        <f>SUM(AT119:AW119)</f>
        <v>0</v>
      </c>
      <c r="BK119" s="256">
        <f>SUM(AX119:BB119)</f>
        <v>74.277500000000003</v>
      </c>
      <c r="BL119" s="262">
        <f>SUM(BC119:BD119)</f>
        <v>0</v>
      </c>
      <c r="BM119" s="257">
        <f t="shared" si="75"/>
        <v>254.1705</v>
      </c>
      <c r="BO119" s="714">
        <f t="shared" si="76"/>
        <v>31.072188264058681</v>
      </c>
    </row>
    <row r="120" spans="2:67"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72"/>
        <v>0</v>
      </c>
      <c r="AP120" s="184">
        <f t="shared" si="108"/>
        <v>0</v>
      </c>
      <c r="AQ120" s="178">
        <f t="shared" si="108"/>
        <v>0</v>
      </c>
      <c r="AR120" s="178">
        <f t="shared" si="108"/>
        <v>0</v>
      </c>
      <c r="AS120" s="179">
        <f t="shared" si="108"/>
        <v>0</v>
      </c>
      <c r="AT120" s="178">
        <f t="shared" si="108"/>
        <v>0</v>
      </c>
      <c r="AU120" s="178">
        <f t="shared" si="108"/>
        <v>0</v>
      </c>
      <c r="AV120" s="178">
        <f t="shared" si="108"/>
        <v>0</v>
      </c>
      <c r="AW120" s="179">
        <f t="shared" si="108"/>
        <v>0</v>
      </c>
      <c r="AX120" s="178">
        <f t="shared" si="64"/>
        <v>0</v>
      </c>
      <c r="AY120" s="178">
        <f t="shared" si="65"/>
        <v>0</v>
      </c>
      <c r="AZ120" s="179">
        <f t="shared" si="66"/>
        <v>0</v>
      </c>
      <c r="BA120" s="184">
        <f t="shared" si="67"/>
        <v>0</v>
      </c>
      <c r="BB120" s="178">
        <f t="shared" si="68"/>
        <v>0</v>
      </c>
      <c r="BC120" s="184">
        <f t="shared" si="69"/>
        <v>0</v>
      </c>
      <c r="BD120" s="178">
        <f t="shared" si="70"/>
        <v>0</v>
      </c>
      <c r="BE120" s="244">
        <f t="shared" si="73"/>
        <v>0</v>
      </c>
      <c r="BF120" s="245">
        <f t="shared" si="106"/>
        <v>0</v>
      </c>
      <c r="BH120" s="252">
        <f>SUBTOTAL(9,BH121:BH129)</f>
        <v>0</v>
      </c>
      <c r="BI120" s="252">
        <f>SUBTOTAL(9,BI121:BI129)</f>
        <v>1036.9600000000003</v>
      </c>
      <c r="BJ120" s="252">
        <f>SUBTOTAL(9,BJ121:BJ129)</f>
        <v>0</v>
      </c>
      <c r="BK120" s="252">
        <f>SUBTOTAL(9,BK121:BK129)</f>
        <v>2973.447169</v>
      </c>
      <c r="BL120" s="252">
        <f>SUBTOTAL(9,BL121:BL129)</f>
        <v>0</v>
      </c>
      <c r="BM120" s="257">
        <f t="shared" si="75"/>
        <v>4010.4071690000001</v>
      </c>
      <c r="BO120" s="714" t="str">
        <f t="shared" si="76"/>
        <v/>
      </c>
    </row>
    <row r="121" spans="2:67" ht="15" customHeight="1" x14ac:dyDescent="0.25">
      <c r="B121" s="19">
        <f>B119+1</f>
        <v>23</v>
      </c>
      <c r="C121" s="44" t="s">
        <v>140</v>
      </c>
      <c r="D121" s="45"/>
      <c r="E121" s="105" t="s">
        <v>141</v>
      </c>
      <c r="G121" s="864">
        <f>'Cust Specific'!R362</f>
        <v>0</v>
      </c>
      <c r="H121" s="865">
        <f>'Cust Specific'!R365</f>
        <v>1.6000000000000001E-3</v>
      </c>
      <c r="I121" s="461"/>
      <c r="J121" s="461"/>
      <c r="K121" s="462"/>
      <c r="L121" s="461"/>
      <c r="M121" s="461"/>
      <c r="N121" s="461"/>
      <c r="O121" s="462"/>
      <c r="P121" s="461"/>
      <c r="Q121" s="461"/>
      <c r="R121" s="462"/>
      <c r="S121" s="865">
        <f>'Cust Specific'!R363</f>
        <v>0</v>
      </c>
      <c r="T121" s="866">
        <f>'Cust Specific'!R364</f>
        <v>4.07E-2</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72"/>
        <v>0</v>
      </c>
      <c r="AP121" s="184">
        <f t="shared" si="108"/>
        <v>226.4</v>
      </c>
      <c r="AQ121" s="178">
        <f t="shared" si="108"/>
        <v>0</v>
      </c>
      <c r="AR121" s="178">
        <f t="shared" si="108"/>
        <v>0</v>
      </c>
      <c r="AS121" s="179">
        <f t="shared" si="108"/>
        <v>0</v>
      </c>
      <c r="AT121" s="178">
        <f t="shared" si="108"/>
        <v>0</v>
      </c>
      <c r="AU121" s="178">
        <f t="shared" si="108"/>
        <v>0</v>
      </c>
      <c r="AV121" s="178">
        <f t="shared" si="108"/>
        <v>0</v>
      </c>
      <c r="AW121" s="179">
        <f t="shared" si="108"/>
        <v>0</v>
      </c>
      <c r="AX121" s="178">
        <f t="shared" si="64"/>
        <v>0</v>
      </c>
      <c r="AY121" s="178">
        <f t="shared" si="65"/>
        <v>0</v>
      </c>
      <c r="AZ121" s="179">
        <f t="shared" si="66"/>
        <v>0</v>
      </c>
      <c r="BA121" s="184">
        <f t="shared" si="67"/>
        <v>0</v>
      </c>
      <c r="BB121" s="178">
        <f t="shared" si="68"/>
        <v>317.62544549999996</v>
      </c>
      <c r="BC121" s="184">
        <f t="shared" si="69"/>
        <v>0</v>
      </c>
      <c r="BD121" s="178">
        <f t="shared" si="70"/>
        <v>0</v>
      </c>
      <c r="BE121" s="244">
        <f t="shared" si="73"/>
        <v>1</v>
      </c>
      <c r="BF121" s="245">
        <f t="shared" si="106"/>
        <v>141500</v>
      </c>
      <c r="BH121" s="255">
        <f t="shared" ref="BH121:BH129" si="109">SUM(AO121)</f>
        <v>0</v>
      </c>
      <c r="BI121" s="255">
        <f t="shared" ref="BI121:BI129" si="110">SUM(AP121:AS121)</f>
        <v>226.4</v>
      </c>
      <c r="BJ121" s="255">
        <f t="shared" ref="BJ121:BJ129" si="111">SUM(AT121:AW121)</f>
        <v>0</v>
      </c>
      <c r="BK121" s="256">
        <f t="shared" ref="BK121:BK129" si="112">SUM(AX121:BB121)</f>
        <v>317.62544549999996</v>
      </c>
      <c r="BL121" s="262">
        <f t="shared" ref="BL121:BL129" si="113">SUM(BC121:BD121)</f>
        <v>0</v>
      </c>
      <c r="BM121" s="257">
        <f t="shared" si="75"/>
        <v>544.02544549999993</v>
      </c>
      <c r="BO121" s="714">
        <f t="shared" si="76"/>
        <v>3.8447027950530028</v>
      </c>
    </row>
    <row r="122" spans="2:67" ht="15" customHeight="1" x14ac:dyDescent="0.25">
      <c r="B122" s="19">
        <f t="shared" si="87"/>
        <v>24</v>
      </c>
      <c r="C122" s="44" t="s">
        <v>142</v>
      </c>
      <c r="D122" s="45"/>
      <c r="E122" s="105" t="s">
        <v>141</v>
      </c>
      <c r="G122" s="864">
        <f>'Cust Specific'!R369</f>
        <v>0</v>
      </c>
      <c r="H122" s="865">
        <f>'Cust Specific'!R372</f>
        <v>1.6000000000000001E-3</v>
      </c>
      <c r="I122" s="461"/>
      <c r="J122" s="461"/>
      <c r="K122" s="462"/>
      <c r="L122" s="461"/>
      <c r="M122" s="461"/>
      <c r="N122" s="461"/>
      <c r="O122" s="462"/>
      <c r="P122" s="461"/>
      <c r="Q122" s="461"/>
      <c r="R122" s="462"/>
      <c r="S122" s="865">
        <f>'Cust Specific'!R370</f>
        <v>0</v>
      </c>
      <c r="T122" s="866">
        <f>'Cust Specific'!R371</f>
        <v>4.07E-2</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72"/>
        <v>0</v>
      </c>
      <c r="AP122" s="184">
        <f t="shared" si="108"/>
        <v>432.16</v>
      </c>
      <c r="AQ122" s="178">
        <f t="shared" si="108"/>
        <v>0</v>
      </c>
      <c r="AR122" s="178">
        <f t="shared" si="108"/>
        <v>0</v>
      </c>
      <c r="AS122" s="179">
        <f t="shared" si="108"/>
        <v>0</v>
      </c>
      <c r="AT122" s="178">
        <f t="shared" si="108"/>
        <v>0</v>
      </c>
      <c r="AU122" s="178">
        <f t="shared" si="108"/>
        <v>0</v>
      </c>
      <c r="AV122" s="178">
        <f t="shared" si="108"/>
        <v>0</v>
      </c>
      <c r="AW122" s="179">
        <f t="shared" si="108"/>
        <v>0</v>
      </c>
      <c r="AX122" s="178">
        <f t="shared" si="64"/>
        <v>0</v>
      </c>
      <c r="AY122" s="178">
        <f t="shared" si="65"/>
        <v>0</v>
      </c>
      <c r="AZ122" s="179">
        <f t="shared" si="66"/>
        <v>0</v>
      </c>
      <c r="BA122" s="184">
        <f t="shared" si="67"/>
        <v>0</v>
      </c>
      <c r="BB122" s="178">
        <f t="shared" si="68"/>
        <v>765.325649</v>
      </c>
      <c r="BC122" s="184">
        <f t="shared" si="69"/>
        <v>0</v>
      </c>
      <c r="BD122" s="178">
        <f t="shared" si="70"/>
        <v>0</v>
      </c>
      <c r="BE122" s="244">
        <f t="shared" si="73"/>
        <v>1</v>
      </c>
      <c r="BF122" s="245">
        <f t="shared" si="106"/>
        <v>270100</v>
      </c>
      <c r="BH122" s="255">
        <f t="shared" si="109"/>
        <v>0</v>
      </c>
      <c r="BI122" s="255">
        <f t="shared" si="110"/>
        <v>432.16</v>
      </c>
      <c r="BJ122" s="255">
        <f t="shared" si="111"/>
        <v>0</v>
      </c>
      <c r="BK122" s="256">
        <f t="shared" si="112"/>
        <v>765.325649</v>
      </c>
      <c r="BL122" s="262">
        <f t="shared" si="113"/>
        <v>0</v>
      </c>
      <c r="BM122" s="257">
        <f t="shared" si="75"/>
        <v>1197.485649</v>
      </c>
      <c r="BO122" s="714">
        <f t="shared" si="76"/>
        <v>4.4334899999999999</v>
      </c>
    </row>
    <row r="123" spans="2:67" ht="15" customHeight="1" x14ac:dyDescent="0.25">
      <c r="B123" s="19">
        <f t="shared" si="87"/>
        <v>25</v>
      </c>
      <c r="C123" s="44" t="s">
        <v>143</v>
      </c>
      <c r="D123" s="45"/>
      <c r="E123" s="105" t="s">
        <v>141</v>
      </c>
      <c r="G123" s="864">
        <f>'Cust Specific'!R376</f>
        <v>0</v>
      </c>
      <c r="H123" s="865">
        <f>'Cust Specific'!R379</f>
        <v>1.6000000000000001E-3</v>
      </c>
      <c r="I123" s="461"/>
      <c r="J123" s="461"/>
      <c r="K123" s="462"/>
      <c r="L123" s="461"/>
      <c r="M123" s="461"/>
      <c r="N123" s="461"/>
      <c r="O123" s="462"/>
      <c r="P123" s="461"/>
      <c r="Q123" s="461"/>
      <c r="R123" s="462"/>
      <c r="S123" s="865">
        <f>'Cust Specific'!R377</f>
        <v>0</v>
      </c>
      <c r="T123" s="866">
        <f>'Cust Specific'!R378</f>
        <v>4.07E-2</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72"/>
        <v>0</v>
      </c>
      <c r="AP123" s="184">
        <f t="shared" si="108"/>
        <v>33.6</v>
      </c>
      <c r="AQ123" s="178">
        <f t="shared" si="108"/>
        <v>0</v>
      </c>
      <c r="AR123" s="178">
        <f t="shared" si="108"/>
        <v>0</v>
      </c>
      <c r="AS123" s="179">
        <f t="shared" si="108"/>
        <v>0</v>
      </c>
      <c r="AT123" s="178">
        <f t="shared" si="108"/>
        <v>0</v>
      </c>
      <c r="AU123" s="178">
        <f t="shared" si="108"/>
        <v>0</v>
      </c>
      <c r="AV123" s="178">
        <f t="shared" si="108"/>
        <v>0</v>
      </c>
      <c r="AW123" s="179">
        <f t="shared" si="108"/>
        <v>0</v>
      </c>
      <c r="AX123" s="178">
        <f t="shared" si="64"/>
        <v>0</v>
      </c>
      <c r="AY123" s="178">
        <f t="shared" si="65"/>
        <v>0</v>
      </c>
      <c r="AZ123" s="179">
        <f t="shared" si="66"/>
        <v>0</v>
      </c>
      <c r="BA123" s="184">
        <f t="shared" si="67"/>
        <v>0</v>
      </c>
      <c r="BB123" s="178">
        <f t="shared" si="68"/>
        <v>685.77444649999995</v>
      </c>
      <c r="BC123" s="184">
        <f t="shared" si="69"/>
        <v>0</v>
      </c>
      <c r="BD123" s="178">
        <f t="shared" si="70"/>
        <v>0</v>
      </c>
      <c r="BE123" s="244">
        <f t="shared" si="73"/>
        <v>1</v>
      </c>
      <c r="BF123" s="245">
        <f t="shared" si="106"/>
        <v>21000</v>
      </c>
      <c r="BH123" s="255">
        <f t="shared" si="109"/>
        <v>0</v>
      </c>
      <c r="BI123" s="255">
        <f t="shared" si="110"/>
        <v>33.6</v>
      </c>
      <c r="BJ123" s="255">
        <f t="shared" si="111"/>
        <v>0</v>
      </c>
      <c r="BK123" s="256">
        <f t="shared" si="112"/>
        <v>685.77444649999995</v>
      </c>
      <c r="BL123" s="262">
        <f t="shared" si="113"/>
        <v>0</v>
      </c>
      <c r="BM123" s="257">
        <f t="shared" si="75"/>
        <v>719.37444649999998</v>
      </c>
      <c r="BO123" s="714">
        <f t="shared" si="76"/>
        <v>34.255926023809522</v>
      </c>
    </row>
    <row r="124" spans="2:67" ht="15" customHeight="1" x14ac:dyDescent="0.25">
      <c r="B124" s="19">
        <f t="shared" si="87"/>
        <v>26</v>
      </c>
      <c r="C124" s="44" t="s">
        <v>144</v>
      </c>
      <c r="D124" s="45"/>
      <c r="E124" s="105" t="s">
        <v>141</v>
      </c>
      <c r="G124" s="864">
        <f>'Cust Specific'!R383</f>
        <v>0</v>
      </c>
      <c r="H124" s="865">
        <f>'Cust Specific'!R386</f>
        <v>1.6000000000000001E-3</v>
      </c>
      <c r="I124" s="461"/>
      <c r="J124" s="461"/>
      <c r="K124" s="462"/>
      <c r="L124" s="461"/>
      <c r="M124" s="461"/>
      <c r="N124" s="461"/>
      <c r="O124" s="462"/>
      <c r="P124" s="461"/>
      <c r="Q124" s="461"/>
      <c r="R124" s="462"/>
      <c r="S124" s="865">
        <f>'Cust Specific'!R384</f>
        <v>0</v>
      </c>
      <c r="T124" s="866">
        <f>'Cust Specific'!R385</f>
        <v>4.07E-2</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72"/>
        <v>0</v>
      </c>
      <c r="AP124" s="184">
        <f t="shared" si="108"/>
        <v>24.32</v>
      </c>
      <c r="AQ124" s="178">
        <f t="shared" si="108"/>
        <v>0</v>
      </c>
      <c r="AR124" s="178">
        <f t="shared" si="108"/>
        <v>0</v>
      </c>
      <c r="AS124" s="179">
        <f t="shared" si="108"/>
        <v>0</v>
      </c>
      <c r="AT124" s="178">
        <f t="shared" si="108"/>
        <v>0</v>
      </c>
      <c r="AU124" s="178">
        <f t="shared" si="108"/>
        <v>0</v>
      </c>
      <c r="AV124" s="178">
        <f t="shared" si="108"/>
        <v>0</v>
      </c>
      <c r="AW124" s="179">
        <f t="shared" si="108"/>
        <v>0</v>
      </c>
      <c r="AX124" s="178">
        <f t="shared" si="64"/>
        <v>0</v>
      </c>
      <c r="AY124" s="178">
        <f t="shared" si="65"/>
        <v>0</v>
      </c>
      <c r="AZ124" s="179">
        <f t="shared" si="66"/>
        <v>0</v>
      </c>
      <c r="BA124" s="184">
        <f t="shared" si="67"/>
        <v>0</v>
      </c>
      <c r="BB124" s="178">
        <f t="shared" si="68"/>
        <v>148.55500000000001</v>
      </c>
      <c r="BC124" s="184">
        <f t="shared" si="69"/>
        <v>0</v>
      </c>
      <c r="BD124" s="178">
        <f t="shared" si="70"/>
        <v>0</v>
      </c>
      <c r="BE124" s="244">
        <f t="shared" si="73"/>
        <v>1</v>
      </c>
      <c r="BF124" s="245">
        <f t="shared" si="106"/>
        <v>15200</v>
      </c>
      <c r="BH124" s="255">
        <f t="shared" si="109"/>
        <v>0</v>
      </c>
      <c r="BI124" s="255">
        <f t="shared" si="110"/>
        <v>24.32</v>
      </c>
      <c r="BJ124" s="255">
        <f t="shared" si="111"/>
        <v>0</v>
      </c>
      <c r="BK124" s="256">
        <f t="shared" si="112"/>
        <v>148.55500000000001</v>
      </c>
      <c r="BL124" s="262">
        <f t="shared" si="113"/>
        <v>0</v>
      </c>
      <c r="BM124" s="257">
        <f t="shared" si="75"/>
        <v>172.875</v>
      </c>
      <c r="BO124" s="714">
        <f t="shared" si="76"/>
        <v>11.373355263157896</v>
      </c>
    </row>
    <row r="125" spans="2:67" ht="15" customHeight="1" x14ac:dyDescent="0.25">
      <c r="B125" s="19">
        <f t="shared" si="87"/>
        <v>27</v>
      </c>
      <c r="C125" s="44" t="s">
        <v>145</v>
      </c>
      <c r="D125" s="45"/>
      <c r="E125" s="105" t="s">
        <v>141</v>
      </c>
      <c r="G125" s="864">
        <f>'Cust Specific'!R390</f>
        <v>0</v>
      </c>
      <c r="H125" s="865">
        <f>'Cust Specific'!R393</f>
        <v>1.6000000000000001E-3</v>
      </c>
      <c r="I125" s="461"/>
      <c r="J125" s="461"/>
      <c r="K125" s="462"/>
      <c r="L125" s="461"/>
      <c r="M125" s="461"/>
      <c r="N125" s="461"/>
      <c r="O125" s="462"/>
      <c r="P125" s="461"/>
      <c r="Q125" s="461"/>
      <c r="R125" s="462"/>
      <c r="S125" s="865">
        <f>'Cust Specific'!R391</f>
        <v>0</v>
      </c>
      <c r="T125" s="866">
        <f>'Cust Specific'!R392</f>
        <v>4.07E-2</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72"/>
        <v>0</v>
      </c>
      <c r="AP125" s="184">
        <f t="shared" si="108"/>
        <v>137.6</v>
      </c>
      <c r="AQ125" s="178">
        <f t="shared" si="108"/>
        <v>0</v>
      </c>
      <c r="AR125" s="178">
        <f t="shared" si="108"/>
        <v>0</v>
      </c>
      <c r="AS125" s="179">
        <f t="shared" si="108"/>
        <v>0</v>
      </c>
      <c r="AT125" s="178">
        <f t="shared" si="108"/>
        <v>0</v>
      </c>
      <c r="AU125" s="178">
        <f t="shared" si="108"/>
        <v>0</v>
      </c>
      <c r="AV125" s="178">
        <f t="shared" si="108"/>
        <v>0</v>
      </c>
      <c r="AW125" s="179">
        <f t="shared" si="108"/>
        <v>0</v>
      </c>
      <c r="AX125" s="178">
        <f t="shared" si="64"/>
        <v>0</v>
      </c>
      <c r="AY125" s="178">
        <f t="shared" si="65"/>
        <v>0</v>
      </c>
      <c r="AZ125" s="179">
        <f t="shared" si="66"/>
        <v>0</v>
      </c>
      <c r="BA125" s="184">
        <f t="shared" si="67"/>
        <v>0</v>
      </c>
      <c r="BB125" s="178">
        <f t="shared" si="68"/>
        <v>235.68250750000001</v>
      </c>
      <c r="BC125" s="184">
        <f t="shared" si="69"/>
        <v>0</v>
      </c>
      <c r="BD125" s="178">
        <f t="shared" si="70"/>
        <v>0</v>
      </c>
      <c r="BE125" s="244">
        <f t="shared" si="73"/>
        <v>1</v>
      </c>
      <c r="BF125" s="245">
        <f t="shared" si="106"/>
        <v>86000</v>
      </c>
      <c r="BH125" s="255">
        <f t="shared" si="109"/>
        <v>0</v>
      </c>
      <c r="BI125" s="255">
        <f t="shared" si="110"/>
        <v>137.6</v>
      </c>
      <c r="BJ125" s="255">
        <f t="shared" si="111"/>
        <v>0</v>
      </c>
      <c r="BK125" s="256">
        <f t="shared" si="112"/>
        <v>235.68250750000001</v>
      </c>
      <c r="BL125" s="262">
        <f t="shared" si="113"/>
        <v>0</v>
      </c>
      <c r="BM125" s="257">
        <f t="shared" si="75"/>
        <v>373.28250750000001</v>
      </c>
      <c r="BO125" s="714">
        <f t="shared" si="76"/>
        <v>4.3404942732558141</v>
      </c>
    </row>
    <row r="126" spans="2:67" ht="15" customHeight="1" x14ac:dyDescent="0.25">
      <c r="B126" s="19">
        <f t="shared" si="87"/>
        <v>28</v>
      </c>
      <c r="C126" s="44" t="s">
        <v>146</v>
      </c>
      <c r="D126" s="45"/>
      <c r="E126" s="105" t="s">
        <v>141</v>
      </c>
      <c r="G126" s="864">
        <f>'Cust Specific'!R397</f>
        <v>0</v>
      </c>
      <c r="H126" s="865">
        <f>'Cust Specific'!R400</f>
        <v>1.6000000000000001E-3</v>
      </c>
      <c r="I126" s="461"/>
      <c r="J126" s="461"/>
      <c r="K126" s="462"/>
      <c r="L126" s="461"/>
      <c r="M126" s="461"/>
      <c r="N126" s="461"/>
      <c r="O126" s="462"/>
      <c r="P126" s="461"/>
      <c r="Q126" s="461"/>
      <c r="R126" s="462"/>
      <c r="S126" s="865">
        <f>'Cust Specific'!R398</f>
        <v>0</v>
      </c>
      <c r="T126" s="866">
        <f>'Cust Specific'!R399</f>
        <v>4.07E-2</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72"/>
        <v>0</v>
      </c>
      <c r="AP126" s="184">
        <f t="shared" si="108"/>
        <v>44.64</v>
      </c>
      <c r="AQ126" s="178">
        <f t="shared" si="108"/>
        <v>0</v>
      </c>
      <c r="AR126" s="178">
        <f t="shared" si="108"/>
        <v>0</v>
      </c>
      <c r="AS126" s="179">
        <f t="shared" si="108"/>
        <v>0</v>
      </c>
      <c r="AT126" s="178">
        <f t="shared" si="108"/>
        <v>0</v>
      </c>
      <c r="AU126" s="178">
        <f t="shared" si="108"/>
        <v>0</v>
      </c>
      <c r="AV126" s="178">
        <f t="shared" si="108"/>
        <v>0</v>
      </c>
      <c r="AW126" s="179">
        <f t="shared" si="108"/>
        <v>0</v>
      </c>
      <c r="AX126" s="178">
        <f t="shared" si="64"/>
        <v>0</v>
      </c>
      <c r="AY126" s="178">
        <f t="shared" si="65"/>
        <v>0</v>
      </c>
      <c r="AZ126" s="179">
        <f t="shared" si="66"/>
        <v>0</v>
      </c>
      <c r="BA126" s="184">
        <f t="shared" si="67"/>
        <v>0</v>
      </c>
      <c r="BB126" s="178">
        <f t="shared" si="68"/>
        <v>191.56167249999999</v>
      </c>
      <c r="BC126" s="184">
        <f t="shared" si="69"/>
        <v>0</v>
      </c>
      <c r="BD126" s="178">
        <f t="shared" si="70"/>
        <v>0</v>
      </c>
      <c r="BE126" s="244">
        <f t="shared" si="73"/>
        <v>1</v>
      </c>
      <c r="BF126" s="245">
        <f t="shared" si="106"/>
        <v>27900</v>
      </c>
      <c r="BH126" s="255">
        <f t="shared" si="109"/>
        <v>0</v>
      </c>
      <c r="BI126" s="255">
        <f t="shared" si="110"/>
        <v>44.64</v>
      </c>
      <c r="BJ126" s="255">
        <f t="shared" si="111"/>
        <v>0</v>
      </c>
      <c r="BK126" s="256">
        <f t="shared" si="112"/>
        <v>191.56167249999999</v>
      </c>
      <c r="BL126" s="262">
        <f t="shared" si="113"/>
        <v>0</v>
      </c>
      <c r="BM126" s="257">
        <f t="shared" si="75"/>
        <v>236.20167249999997</v>
      </c>
      <c r="BO126" s="714">
        <f t="shared" si="76"/>
        <v>8.4660097670250885</v>
      </c>
    </row>
    <row r="127" spans="2:67" ht="15" customHeight="1" x14ac:dyDescent="0.25">
      <c r="B127" s="19">
        <f t="shared" si="87"/>
        <v>29</v>
      </c>
      <c r="C127" s="44" t="s">
        <v>147</v>
      </c>
      <c r="D127" s="45"/>
      <c r="E127" s="105" t="s">
        <v>141</v>
      </c>
      <c r="G127" s="864">
        <f>'Cust Specific'!R404</f>
        <v>0</v>
      </c>
      <c r="H127" s="865">
        <f>'Cust Specific'!R407</f>
        <v>1.6000000000000001E-3</v>
      </c>
      <c r="I127" s="461"/>
      <c r="J127" s="461"/>
      <c r="K127" s="462"/>
      <c r="L127" s="461"/>
      <c r="M127" s="461"/>
      <c r="N127" s="461"/>
      <c r="O127" s="462"/>
      <c r="P127" s="461"/>
      <c r="Q127" s="461"/>
      <c r="R127" s="462"/>
      <c r="S127" s="865">
        <f>'Cust Specific'!R405</f>
        <v>0</v>
      </c>
      <c r="T127" s="866">
        <f>'Cust Specific'!R406</f>
        <v>4.07E-2</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72"/>
        <v>0</v>
      </c>
      <c r="AP127" s="184">
        <f t="shared" si="108"/>
        <v>43.84</v>
      </c>
      <c r="AQ127" s="178">
        <f t="shared" si="108"/>
        <v>0</v>
      </c>
      <c r="AR127" s="178">
        <f t="shared" si="108"/>
        <v>0</v>
      </c>
      <c r="AS127" s="179">
        <f t="shared" si="108"/>
        <v>0</v>
      </c>
      <c r="AT127" s="178">
        <f t="shared" si="108"/>
        <v>0</v>
      </c>
      <c r="AU127" s="178">
        <f t="shared" si="108"/>
        <v>0</v>
      </c>
      <c r="AV127" s="178">
        <f t="shared" si="108"/>
        <v>0</v>
      </c>
      <c r="AW127" s="179">
        <f t="shared" si="108"/>
        <v>0</v>
      </c>
      <c r="AX127" s="178">
        <f t="shared" si="64"/>
        <v>0</v>
      </c>
      <c r="AY127" s="178">
        <f t="shared" si="65"/>
        <v>0</v>
      </c>
      <c r="AZ127" s="179">
        <f t="shared" si="66"/>
        <v>0</v>
      </c>
      <c r="BA127" s="184">
        <f t="shared" si="67"/>
        <v>0</v>
      </c>
      <c r="BB127" s="178">
        <f t="shared" si="68"/>
        <v>377.70108750000003</v>
      </c>
      <c r="BC127" s="184">
        <f t="shared" si="69"/>
        <v>0</v>
      </c>
      <c r="BD127" s="178">
        <f t="shared" si="70"/>
        <v>0</v>
      </c>
      <c r="BE127" s="244">
        <f t="shared" si="73"/>
        <v>1</v>
      </c>
      <c r="BF127" s="245">
        <f t="shared" si="106"/>
        <v>27400</v>
      </c>
      <c r="BH127" s="255">
        <f t="shared" si="109"/>
        <v>0</v>
      </c>
      <c r="BI127" s="255">
        <f t="shared" si="110"/>
        <v>43.84</v>
      </c>
      <c r="BJ127" s="255">
        <f t="shared" si="111"/>
        <v>0</v>
      </c>
      <c r="BK127" s="256">
        <f t="shared" si="112"/>
        <v>377.70108750000003</v>
      </c>
      <c r="BL127" s="262">
        <f t="shared" si="113"/>
        <v>0</v>
      </c>
      <c r="BM127" s="257">
        <f t="shared" si="75"/>
        <v>421.5410875</v>
      </c>
      <c r="BO127" s="714">
        <f t="shared" si="76"/>
        <v>15.384711222627738</v>
      </c>
    </row>
    <row r="128" spans="2:67" ht="15" customHeight="1" x14ac:dyDescent="0.25">
      <c r="B128" s="19">
        <f t="shared" si="87"/>
        <v>30</v>
      </c>
      <c r="C128" s="44" t="s">
        <v>148</v>
      </c>
      <c r="D128" s="45"/>
      <c r="E128" s="105" t="s">
        <v>141</v>
      </c>
      <c r="G128" s="864">
        <f>'Cust Specific'!R411</f>
        <v>0</v>
      </c>
      <c r="H128" s="865">
        <f>'Cust Specific'!R414</f>
        <v>1.6000000000000001E-3</v>
      </c>
      <c r="I128" s="461"/>
      <c r="J128" s="461"/>
      <c r="K128" s="462"/>
      <c r="L128" s="461"/>
      <c r="M128" s="461"/>
      <c r="N128" s="461"/>
      <c r="O128" s="462"/>
      <c r="P128" s="461"/>
      <c r="Q128" s="461"/>
      <c r="R128" s="462"/>
      <c r="S128" s="865">
        <f>'Cust Specific'!R412</f>
        <v>0</v>
      </c>
      <c r="T128" s="866">
        <f>'Cust Specific'!R413</f>
        <v>4.07E-2</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72"/>
        <v>0</v>
      </c>
      <c r="AP128" s="184">
        <f t="shared" si="108"/>
        <v>94.4</v>
      </c>
      <c r="AQ128" s="178">
        <f t="shared" si="108"/>
        <v>0</v>
      </c>
      <c r="AR128" s="178">
        <f t="shared" si="108"/>
        <v>0</v>
      </c>
      <c r="AS128" s="179">
        <f t="shared" si="108"/>
        <v>0</v>
      </c>
      <c r="AT128" s="178">
        <f t="shared" si="108"/>
        <v>0</v>
      </c>
      <c r="AU128" s="178">
        <f t="shared" si="108"/>
        <v>0</v>
      </c>
      <c r="AV128" s="178">
        <f t="shared" si="108"/>
        <v>0</v>
      </c>
      <c r="AW128" s="179">
        <f t="shared" si="108"/>
        <v>0</v>
      </c>
      <c r="AX128" s="178">
        <f t="shared" si="64"/>
        <v>0</v>
      </c>
      <c r="AY128" s="178">
        <f t="shared" si="65"/>
        <v>0</v>
      </c>
      <c r="AZ128" s="179">
        <f t="shared" si="66"/>
        <v>0</v>
      </c>
      <c r="BA128" s="184">
        <f t="shared" si="67"/>
        <v>0</v>
      </c>
      <c r="BB128" s="178">
        <f t="shared" si="68"/>
        <v>251.2213605</v>
      </c>
      <c r="BC128" s="184">
        <f t="shared" si="69"/>
        <v>0</v>
      </c>
      <c r="BD128" s="178">
        <f t="shared" si="70"/>
        <v>0</v>
      </c>
      <c r="BE128" s="244">
        <f t="shared" si="73"/>
        <v>1</v>
      </c>
      <c r="BF128" s="245">
        <f t="shared" si="106"/>
        <v>59000</v>
      </c>
      <c r="BH128" s="255">
        <f t="shared" si="109"/>
        <v>0</v>
      </c>
      <c r="BI128" s="255">
        <f t="shared" si="110"/>
        <v>94.4</v>
      </c>
      <c r="BJ128" s="255">
        <f t="shared" si="111"/>
        <v>0</v>
      </c>
      <c r="BK128" s="256">
        <f t="shared" si="112"/>
        <v>251.2213605</v>
      </c>
      <c r="BL128" s="262">
        <f t="shared" si="113"/>
        <v>0</v>
      </c>
      <c r="BM128" s="257">
        <f t="shared" si="75"/>
        <v>345.62136050000004</v>
      </c>
      <c r="BO128" s="714">
        <f t="shared" si="76"/>
        <v>5.857989161016949</v>
      </c>
    </row>
    <row r="129" spans="1:72" ht="15" customHeight="1" x14ac:dyDescent="0.25">
      <c r="A129" s="214"/>
      <c r="B129" s="26">
        <f t="shared" si="87"/>
        <v>31</v>
      </c>
      <c r="C129" s="839" t="s">
        <v>149</v>
      </c>
      <c r="D129" s="56"/>
      <c r="E129" s="840" t="s">
        <v>141</v>
      </c>
      <c r="G129" s="498"/>
      <c r="H129" s="491"/>
      <c r="I129" s="487"/>
      <c r="J129" s="487"/>
      <c r="K129" s="488"/>
      <c r="L129" s="487"/>
      <c r="M129" s="487"/>
      <c r="N129" s="487"/>
      <c r="O129" s="488"/>
      <c r="P129" s="487"/>
      <c r="Q129" s="487"/>
      <c r="R129" s="488"/>
      <c r="S129" s="491"/>
      <c r="T129" s="487"/>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72"/>
        <v>0</v>
      </c>
      <c r="AP129" s="197">
        <f t="shared" si="108"/>
        <v>0</v>
      </c>
      <c r="AQ129" s="192">
        <f t="shared" si="108"/>
        <v>0</v>
      </c>
      <c r="AR129" s="192">
        <f t="shared" si="108"/>
        <v>0</v>
      </c>
      <c r="AS129" s="193">
        <f t="shared" si="108"/>
        <v>0</v>
      </c>
      <c r="AT129" s="192">
        <f t="shared" si="108"/>
        <v>0</v>
      </c>
      <c r="AU129" s="192">
        <f t="shared" si="108"/>
        <v>0</v>
      </c>
      <c r="AV129" s="192">
        <f t="shared" si="108"/>
        <v>0</v>
      </c>
      <c r="AW129" s="193">
        <f t="shared" si="108"/>
        <v>0</v>
      </c>
      <c r="AX129" s="192">
        <f t="shared" si="64"/>
        <v>0</v>
      </c>
      <c r="AY129" s="192">
        <f t="shared" si="65"/>
        <v>0</v>
      </c>
      <c r="AZ129" s="193">
        <f t="shared" si="66"/>
        <v>0</v>
      </c>
      <c r="BA129" s="197">
        <f t="shared" si="67"/>
        <v>0</v>
      </c>
      <c r="BB129" s="192">
        <f t="shared" si="68"/>
        <v>0</v>
      </c>
      <c r="BC129" s="197">
        <f t="shared" si="69"/>
        <v>0</v>
      </c>
      <c r="BD129" s="193">
        <f t="shared" si="70"/>
        <v>0</v>
      </c>
      <c r="BE129" s="246">
        <f t="shared" si="73"/>
        <v>0</v>
      </c>
      <c r="BF129" s="247">
        <f t="shared" si="106"/>
        <v>0</v>
      </c>
      <c r="BH129" s="258">
        <f t="shared" si="109"/>
        <v>0</v>
      </c>
      <c r="BI129" s="258">
        <f t="shared" si="110"/>
        <v>0</v>
      </c>
      <c r="BJ129" s="258">
        <f t="shared" si="111"/>
        <v>0</v>
      </c>
      <c r="BK129" s="259">
        <f t="shared" si="112"/>
        <v>0</v>
      </c>
      <c r="BL129" s="263">
        <f t="shared" si="113"/>
        <v>0</v>
      </c>
      <c r="BM129" s="264">
        <f t="shared" si="75"/>
        <v>0</v>
      </c>
      <c r="BO129" s="714" t="str">
        <f t="shared" si="76"/>
        <v/>
      </c>
    </row>
    <row r="130" spans="1:72" x14ac:dyDescent="0.25">
      <c r="BE130" s="248"/>
      <c r="BF130" s="249"/>
    </row>
    <row r="131" spans="1:72"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114">SUM(X16:X25)</f>
        <v>293618410</v>
      </c>
      <c r="Y131" s="218">
        <f t="shared" si="114"/>
        <v>2400100</v>
      </c>
      <c r="Z131" s="218">
        <f t="shared" si="114"/>
        <v>570050</v>
      </c>
      <c r="AA131" s="218">
        <f t="shared" si="114"/>
        <v>114350</v>
      </c>
      <c r="AB131" s="218">
        <f t="shared" si="114"/>
        <v>126950</v>
      </c>
      <c r="AC131" s="218">
        <f t="shared" si="114"/>
        <v>361300</v>
      </c>
      <c r="AD131" s="218">
        <f t="shared" si="114"/>
        <v>0</v>
      </c>
      <c r="AE131" s="218">
        <f t="shared" si="114"/>
        <v>92600</v>
      </c>
      <c r="AF131" s="218">
        <f t="shared" si="114"/>
        <v>23100</v>
      </c>
      <c r="AG131" s="218">
        <f t="shared" si="114"/>
        <v>0</v>
      </c>
      <c r="AH131" s="218">
        <f t="shared" si="114"/>
        <v>0</v>
      </c>
      <c r="AI131" s="218">
        <f t="shared" si="114"/>
        <v>0</v>
      </c>
      <c r="AJ131" s="218">
        <f t="shared" si="114"/>
        <v>0</v>
      </c>
      <c r="AK131" s="218">
        <f t="shared" si="114"/>
        <v>0</v>
      </c>
      <c r="AL131" s="218">
        <f t="shared" si="114"/>
        <v>446395</v>
      </c>
      <c r="AM131" s="218">
        <f t="shared" si="114"/>
        <v>0</v>
      </c>
      <c r="AO131" s="218">
        <f t="shared" ref="AO131:BD131" si="115">SUM(AO16:AO25)</f>
        <v>132744.88316100001</v>
      </c>
      <c r="AP131" s="218">
        <f t="shared" si="115"/>
        <v>210968.79</v>
      </c>
      <c r="AQ131" s="218">
        <f t="shared" si="115"/>
        <v>62685.654999999999</v>
      </c>
      <c r="AR131" s="218">
        <f t="shared" si="115"/>
        <v>5023.4799999999996</v>
      </c>
      <c r="AS131" s="218">
        <f t="shared" si="115"/>
        <v>2790.6749999999997</v>
      </c>
      <c r="AT131" s="218">
        <f t="shared" si="115"/>
        <v>15897.199999999999</v>
      </c>
      <c r="AU131" s="218">
        <f t="shared" si="115"/>
        <v>0</v>
      </c>
      <c r="AV131" s="218">
        <f t="shared" si="115"/>
        <v>4074.3999999999996</v>
      </c>
      <c r="AW131" s="218">
        <f t="shared" si="115"/>
        <v>508.2</v>
      </c>
      <c r="AX131" s="218">
        <f t="shared" si="115"/>
        <v>0</v>
      </c>
      <c r="AY131" s="218">
        <f t="shared" si="115"/>
        <v>0</v>
      </c>
      <c r="AZ131" s="218">
        <f t="shared" si="115"/>
        <v>0</v>
      </c>
      <c r="BA131" s="218">
        <f t="shared" si="115"/>
        <v>0</v>
      </c>
      <c r="BB131" s="218">
        <f t="shared" si="115"/>
        <v>0</v>
      </c>
      <c r="BC131" s="218">
        <f t="shared" si="115"/>
        <v>218.28715500000001</v>
      </c>
      <c r="BD131" s="218">
        <f t="shared" si="115"/>
        <v>0</v>
      </c>
      <c r="BE131" s="244">
        <f>SUM(BE17:BE25)</f>
        <v>804434</v>
      </c>
      <c r="BF131" s="245">
        <f>SUM(BF17:BF25)</f>
        <v>3688450</v>
      </c>
      <c r="BH131" s="218">
        <f t="shared" ref="BH131:BM131" si="116">BH16</f>
        <v>132913.03497450001</v>
      </c>
      <c r="BI131" s="218">
        <f t="shared" si="116"/>
        <v>281569.60680000001</v>
      </c>
      <c r="BJ131" s="218">
        <f t="shared" si="116"/>
        <v>20479.8</v>
      </c>
      <c r="BK131" s="218">
        <f t="shared" si="116"/>
        <v>0</v>
      </c>
      <c r="BL131" s="218">
        <f t="shared" si="116"/>
        <v>218.28715500000001</v>
      </c>
      <c r="BM131" s="218">
        <f t="shared" si="116"/>
        <v>435180.72892950004</v>
      </c>
      <c r="BN131" s="718">
        <f>BM131/$BM$136</f>
        <v>0.54967769669036737</v>
      </c>
      <c r="BO131" s="714">
        <f t="shared" ref="BO131:BO136" si="117">BM131*1000/BF131</f>
        <v>117.98471686738333</v>
      </c>
      <c r="BQ131" s="659">
        <f>'[15]DUoS (t)'!BO128</f>
        <v>119.64173914324768</v>
      </c>
      <c r="BR131" s="718">
        <f>BO131/BQ131-1</f>
        <v>-1.3849867844869634E-2</v>
      </c>
      <c r="BS131" s="128">
        <v>0.97</v>
      </c>
      <c r="BT131" s="870">
        <f>$BT$136*BS131</f>
        <v>0.95277765000000003</v>
      </c>
    </row>
    <row r="132" spans="1:72"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118">SUM(X28:X41)</f>
        <v>34229335</v>
      </c>
      <c r="Y132" s="218">
        <f t="shared" si="118"/>
        <v>447400</v>
      </c>
      <c r="Z132" s="218">
        <f t="shared" si="118"/>
        <v>200600</v>
      </c>
      <c r="AA132" s="218">
        <f t="shared" si="118"/>
        <v>272300</v>
      </c>
      <c r="AB132" s="218">
        <f t="shared" si="118"/>
        <v>379200</v>
      </c>
      <c r="AC132" s="218">
        <f t="shared" si="118"/>
        <v>6000</v>
      </c>
      <c r="AD132" s="218">
        <f t="shared" si="118"/>
        <v>0</v>
      </c>
      <c r="AE132" s="218">
        <f t="shared" si="118"/>
        <v>0</v>
      </c>
      <c r="AF132" s="218">
        <f t="shared" si="118"/>
        <v>0</v>
      </c>
      <c r="AG132" s="218">
        <f t="shared" si="118"/>
        <v>0</v>
      </c>
      <c r="AH132" s="218">
        <f t="shared" si="118"/>
        <v>1070741</v>
      </c>
      <c r="AI132" s="218">
        <f t="shared" si="118"/>
        <v>2717425</v>
      </c>
      <c r="AJ132" s="218">
        <f t="shared" si="118"/>
        <v>0</v>
      </c>
      <c r="AK132" s="218">
        <f t="shared" si="118"/>
        <v>27963015</v>
      </c>
      <c r="AL132" s="218">
        <f t="shared" si="118"/>
        <v>0</v>
      </c>
      <c r="AM132" s="218">
        <f t="shared" si="118"/>
        <v>0</v>
      </c>
      <c r="AO132" s="218">
        <f t="shared" ref="AO132:BF132" si="119">SUM(AO28:AO41)</f>
        <v>19061.647835499996</v>
      </c>
      <c r="AP132" s="218">
        <f t="shared" si="119"/>
        <v>40916.36</v>
      </c>
      <c r="AQ132" s="218">
        <f t="shared" si="119"/>
        <v>24251.5</v>
      </c>
      <c r="AR132" s="218">
        <f t="shared" si="119"/>
        <v>28026.07</v>
      </c>
      <c r="AS132" s="218">
        <f t="shared" si="119"/>
        <v>21410.760000000002</v>
      </c>
      <c r="AT132" s="218">
        <f t="shared" si="119"/>
        <v>264</v>
      </c>
      <c r="AU132" s="218">
        <f t="shared" si="119"/>
        <v>0</v>
      </c>
      <c r="AV132" s="218">
        <f t="shared" si="119"/>
        <v>0</v>
      </c>
      <c r="AW132" s="218">
        <f t="shared" si="119"/>
        <v>0</v>
      </c>
      <c r="AX132" s="218">
        <f t="shared" si="119"/>
        <v>0</v>
      </c>
      <c r="AY132" s="218">
        <f t="shared" si="119"/>
        <v>331.28726540000002</v>
      </c>
      <c r="AZ132" s="218">
        <f t="shared" si="119"/>
        <v>416.03776750000003</v>
      </c>
      <c r="BA132" s="218">
        <f t="shared" si="119"/>
        <v>0</v>
      </c>
      <c r="BB132" s="218">
        <f t="shared" si="119"/>
        <v>2214.6707880000004</v>
      </c>
      <c r="BC132" s="218">
        <f t="shared" si="119"/>
        <v>0</v>
      </c>
      <c r="BD132" s="218">
        <f t="shared" si="119"/>
        <v>0</v>
      </c>
      <c r="BE132" s="244">
        <f t="shared" si="119"/>
        <v>93779</v>
      </c>
      <c r="BF132" s="245">
        <f t="shared" si="119"/>
        <v>1305500</v>
      </c>
      <c r="BH132" s="218">
        <f t="shared" ref="BH132:BM132" si="120">BH28</f>
        <v>19061.647835499996</v>
      </c>
      <c r="BI132" s="218">
        <f t="shared" si="120"/>
        <v>114604.69</v>
      </c>
      <c r="BJ132" s="218">
        <f t="shared" si="120"/>
        <v>264</v>
      </c>
      <c r="BK132" s="218">
        <f t="shared" si="120"/>
        <v>2961.9958209000006</v>
      </c>
      <c r="BL132" s="218">
        <f t="shared" si="120"/>
        <v>0</v>
      </c>
      <c r="BM132" s="218">
        <f t="shared" si="120"/>
        <v>136892.33365639998</v>
      </c>
      <c r="BN132" s="718">
        <f t="shared" ref="BN132:BN139" si="121">BM132/$BM$136</f>
        <v>0.17290899540500854</v>
      </c>
      <c r="BO132" s="714">
        <f t="shared" si="117"/>
        <v>104.85816442466485</v>
      </c>
      <c r="BQ132" s="659">
        <f>'[15]DUoS (t)'!BO129</f>
        <v>105.09505714573277</v>
      </c>
      <c r="BR132" s="718">
        <f t="shared" ref="BR132:BR139" si="122">BO132/BQ132-1</f>
        <v>-2.2540805200707004E-3</v>
      </c>
      <c r="BS132" s="128">
        <v>0.99</v>
      </c>
      <c r="BT132" s="870">
        <f>$BT$136*BS132</f>
        <v>0.97242255</v>
      </c>
    </row>
    <row r="133" spans="1:72"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123">SUM(X42:X69)</f>
        <v>1953845</v>
      </c>
      <c r="Y133" s="218">
        <f t="shared" si="123"/>
        <v>10000</v>
      </c>
      <c r="Z133" s="218">
        <f t="shared" si="123"/>
        <v>1383994</v>
      </c>
      <c r="AA133" s="218">
        <f t="shared" si="123"/>
        <v>0</v>
      </c>
      <c r="AB133" s="218">
        <f t="shared" si="123"/>
        <v>1232955</v>
      </c>
      <c r="AC133" s="218">
        <f t="shared" si="123"/>
        <v>0</v>
      </c>
      <c r="AD133" s="218">
        <f t="shared" si="123"/>
        <v>0</v>
      </c>
      <c r="AE133" s="218">
        <f t="shared" si="123"/>
        <v>0</v>
      </c>
      <c r="AF133" s="218">
        <f t="shared" si="123"/>
        <v>0</v>
      </c>
      <c r="AG133" s="218">
        <f t="shared" si="123"/>
        <v>3555144</v>
      </c>
      <c r="AH133" s="218">
        <f t="shared" si="123"/>
        <v>757869</v>
      </c>
      <c r="AI133" s="218">
        <f t="shared" si="123"/>
        <v>1631915</v>
      </c>
      <c r="AJ133" s="218">
        <f t="shared" si="123"/>
        <v>232218475</v>
      </c>
      <c r="AK133" s="218">
        <f t="shared" si="123"/>
        <v>345057495</v>
      </c>
      <c r="AL133" s="218">
        <f t="shared" si="123"/>
        <v>0</v>
      </c>
      <c r="AM133" s="218">
        <f t="shared" si="123"/>
        <v>0</v>
      </c>
      <c r="AO133" s="218">
        <f t="shared" ref="AO133:BF133" si="124">SUM(AO42:AO69)</f>
        <v>14201.704554000002</v>
      </c>
      <c r="AP133" s="218">
        <f t="shared" si="124"/>
        <v>587</v>
      </c>
      <c r="AQ133" s="218">
        <f t="shared" si="124"/>
        <v>57821.689200000008</v>
      </c>
      <c r="AR133" s="218">
        <f t="shared" si="124"/>
        <v>0</v>
      </c>
      <c r="AS133" s="218">
        <f t="shared" si="124"/>
        <v>32164.465500000002</v>
      </c>
      <c r="AT133" s="218">
        <f t="shared" si="124"/>
        <v>0</v>
      </c>
      <c r="AU133" s="218">
        <f t="shared" si="124"/>
        <v>0</v>
      </c>
      <c r="AV133" s="218">
        <f t="shared" si="124"/>
        <v>0</v>
      </c>
      <c r="AW133" s="218">
        <f t="shared" si="124"/>
        <v>0</v>
      </c>
      <c r="AX133" s="218">
        <f t="shared" si="124"/>
        <v>1854.0075959999999</v>
      </c>
      <c r="AY133" s="218">
        <f t="shared" si="124"/>
        <v>234.48466859999999</v>
      </c>
      <c r="AZ133" s="218">
        <f t="shared" si="124"/>
        <v>249.84618650000002</v>
      </c>
      <c r="BA133" s="218">
        <f t="shared" si="124"/>
        <v>33393.016704999995</v>
      </c>
      <c r="BB133" s="218">
        <f t="shared" si="124"/>
        <v>34814.975310000002</v>
      </c>
      <c r="BC133" s="218">
        <f t="shared" si="124"/>
        <v>0</v>
      </c>
      <c r="BD133" s="218">
        <f t="shared" si="124"/>
        <v>0</v>
      </c>
      <c r="BE133" s="244">
        <f t="shared" si="124"/>
        <v>5353</v>
      </c>
      <c r="BF133" s="245">
        <f t="shared" si="124"/>
        <v>2626949</v>
      </c>
      <c r="BH133" s="218">
        <f t="shared" ref="BH133:BM133" si="125">BH42</f>
        <v>14201.704554000002</v>
      </c>
      <c r="BI133" s="218">
        <f t="shared" si="125"/>
        <v>90573.15469999997</v>
      </c>
      <c r="BJ133" s="218">
        <f t="shared" si="125"/>
        <v>0</v>
      </c>
      <c r="BK133" s="218">
        <f t="shared" si="125"/>
        <v>70546.330466099986</v>
      </c>
      <c r="BL133" s="218">
        <f t="shared" si="125"/>
        <v>0</v>
      </c>
      <c r="BM133" s="218">
        <f t="shared" si="125"/>
        <v>175321.18972009997</v>
      </c>
      <c r="BN133" s="718">
        <f t="shared" si="121"/>
        <v>0.22144856456171699</v>
      </c>
      <c r="BO133" s="714">
        <f t="shared" si="117"/>
        <v>66.739472186212964</v>
      </c>
      <c r="BQ133" s="659">
        <f>'[15]DUoS (t)'!BO130</f>
        <v>66.726238013595065</v>
      </c>
      <c r="BR133" s="718">
        <f t="shared" si="122"/>
        <v>1.9833536269797669E-4</v>
      </c>
      <c r="BS133" s="128">
        <v>1.01</v>
      </c>
      <c r="BT133" s="870">
        <f>$BT$136*BS133</f>
        <v>0.99206745000000007</v>
      </c>
    </row>
    <row r="134" spans="1:72"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126">SUM(X70:X93)</f>
        <v>72635</v>
      </c>
      <c r="Y134" s="218">
        <f t="shared" si="126"/>
        <v>0</v>
      </c>
      <c r="Z134" s="218">
        <f t="shared" si="126"/>
        <v>364504</v>
      </c>
      <c r="AA134" s="218">
        <f t="shared" si="126"/>
        <v>0</v>
      </c>
      <c r="AB134" s="218">
        <f t="shared" si="126"/>
        <v>350404</v>
      </c>
      <c r="AC134" s="218">
        <f t="shared" si="126"/>
        <v>0</v>
      </c>
      <c r="AD134" s="218">
        <f t="shared" si="126"/>
        <v>0</v>
      </c>
      <c r="AE134" s="218">
        <f t="shared" si="126"/>
        <v>0</v>
      </c>
      <c r="AF134" s="218">
        <f t="shared" si="126"/>
        <v>0</v>
      </c>
      <c r="AG134" s="218">
        <f t="shared" si="126"/>
        <v>1488105</v>
      </c>
      <c r="AH134" s="218">
        <f t="shared" si="126"/>
        <v>0</v>
      </c>
      <c r="AI134" s="218">
        <f t="shared" si="126"/>
        <v>0</v>
      </c>
      <c r="AJ134" s="218">
        <f t="shared" si="126"/>
        <v>59423825</v>
      </c>
      <c r="AK134" s="218">
        <f t="shared" si="126"/>
        <v>87282815</v>
      </c>
      <c r="AL134" s="218">
        <f t="shared" si="126"/>
        <v>0</v>
      </c>
      <c r="AM134" s="218">
        <f t="shared" si="126"/>
        <v>0</v>
      </c>
      <c r="AO134" s="218">
        <f t="shared" ref="AO134:BF134" si="127">SUM(AO70:AO93)</f>
        <v>2852.2212520000003</v>
      </c>
      <c r="AP134" s="218">
        <f t="shared" si="127"/>
        <v>0</v>
      </c>
      <c r="AQ134" s="218">
        <f t="shared" si="127"/>
        <v>8537.4727999999996</v>
      </c>
      <c r="AR134" s="218">
        <f t="shared" si="127"/>
        <v>0</v>
      </c>
      <c r="AS134" s="218">
        <f t="shared" si="127"/>
        <v>5117.6880000000001</v>
      </c>
      <c r="AT134" s="218">
        <f t="shared" si="127"/>
        <v>0</v>
      </c>
      <c r="AU134" s="218">
        <f t="shared" si="127"/>
        <v>0</v>
      </c>
      <c r="AV134" s="218">
        <f t="shared" si="127"/>
        <v>0</v>
      </c>
      <c r="AW134" s="218">
        <f t="shared" si="127"/>
        <v>0</v>
      </c>
      <c r="AX134" s="218">
        <f t="shared" si="127"/>
        <v>558.78342750000002</v>
      </c>
      <c r="AY134" s="218">
        <f t="shared" si="127"/>
        <v>0</v>
      </c>
      <c r="AZ134" s="218">
        <f t="shared" si="127"/>
        <v>0</v>
      </c>
      <c r="BA134" s="218">
        <f t="shared" si="127"/>
        <v>6188.4568129999998</v>
      </c>
      <c r="BB134" s="218">
        <f t="shared" si="127"/>
        <v>8583.5196895000008</v>
      </c>
      <c r="BC134" s="218">
        <f t="shared" si="127"/>
        <v>0</v>
      </c>
      <c r="BD134" s="218">
        <f t="shared" si="127"/>
        <v>0</v>
      </c>
      <c r="BE134" s="244">
        <f t="shared" si="127"/>
        <v>199</v>
      </c>
      <c r="BF134" s="245">
        <f t="shared" si="127"/>
        <v>714908</v>
      </c>
      <c r="BH134" s="218">
        <f t="shared" ref="BH134:BM134" si="128">BH70</f>
        <v>2852.2212520000003</v>
      </c>
      <c r="BI134" s="218">
        <f t="shared" si="128"/>
        <v>13655.1608</v>
      </c>
      <c r="BJ134" s="218">
        <f t="shared" si="128"/>
        <v>0</v>
      </c>
      <c r="BK134" s="218">
        <f t="shared" si="128"/>
        <v>15330.75993</v>
      </c>
      <c r="BL134" s="218">
        <f t="shared" si="128"/>
        <v>0</v>
      </c>
      <c r="BM134" s="218">
        <f t="shared" si="128"/>
        <v>31838.141982000001</v>
      </c>
      <c r="BN134" s="718">
        <f t="shared" si="121"/>
        <v>4.0214824297520282E-2</v>
      </c>
      <c r="BO134" s="714">
        <f t="shared" si="117"/>
        <v>44.534600231078684</v>
      </c>
      <c r="BQ134" s="659">
        <f>'[15]DUoS (t)'!BO131</f>
        <v>45.059485465375815</v>
      </c>
      <c r="BR134" s="718">
        <f t="shared" si="122"/>
        <v>-1.164871788650268E-2</v>
      </c>
      <c r="BS134" s="128">
        <v>0.99</v>
      </c>
      <c r="BT134" s="870">
        <f>$BT$136*BS134</f>
        <v>0.97242255</v>
      </c>
    </row>
    <row r="135" spans="1:72"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29">SUM(X94:X129)</f>
        <v>10220</v>
      </c>
      <c r="Y135" s="218">
        <f t="shared" si="129"/>
        <v>1181592</v>
      </c>
      <c r="Z135" s="218">
        <f t="shared" si="129"/>
        <v>0</v>
      </c>
      <c r="AA135" s="218">
        <f t="shared" si="129"/>
        <v>0</v>
      </c>
      <c r="AB135" s="218">
        <f t="shared" si="129"/>
        <v>0</v>
      </c>
      <c r="AC135" s="218">
        <f t="shared" si="129"/>
        <v>0</v>
      </c>
      <c r="AD135" s="218">
        <f t="shared" si="129"/>
        <v>0</v>
      </c>
      <c r="AE135" s="218">
        <f t="shared" si="129"/>
        <v>0</v>
      </c>
      <c r="AF135" s="218">
        <f t="shared" si="129"/>
        <v>0</v>
      </c>
      <c r="AG135" s="218">
        <f t="shared" si="129"/>
        <v>0</v>
      </c>
      <c r="AH135" s="218">
        <f t="shared" si="129"/>
        <v>0</v>
      </c>
      <c r="AI135" s="218">
        <f t="shared" si="129"/>
        <v>0</v>
      </c>
      <c r="AJ135" s="218">
        <f t="shared" si="129"/>
        <v>82932745</v>
      </c>
      <c r="AK135" s="218">
        <f t="shared" si="129"/>
        <v>125423125</v>
      </c>
      <c r="AL135" s="218">
        <f t="shared" si="129"/>
        <v>0</v>
      </c>
      <c r="AM135" s="218">
        <f t="shared" si="129"/>
        <v>0</v>
      </c>
      <c r="AO135" s="218">
        <f t="shared" ref="AO135:BF135" si="130">SUM(AO94:AO129)</f>
        <v>1148.1220289999999</v>
      </c>
      <c r="AP135" s="218">
        <f t="shared" si="130"/>
        <v>3282.6995999999999</v>
      </c>
      <c r="AQ135" s="218">
        <f t="shared" si="130"/>
        <v>0</v>
      </c>
      <c r="AR135" s="218">
        <f t="shared" si="130"/>
        <v>0</v>
      </c>
      <c r="AS135" s="218">
        <f t="shared" si="130"/>
        <v>0</v>
      </c>
      <c r="AT135" s="218">
        <f t="shared" si="130"/>
        <v>0</v>
      </c>
      <c r="AU135" s="218">
        <f t="shared" si="130"/>
        <v>0</v>
      </c>
      <c r="AV135" s="218">
        <f t="shared" si="130"/>
        <v>0</v>
      </c>
      <c r="AW135" s="218">
        <f t="shared" si="130"/>
        <v>0</v>
      </c>
      <c r="AX135" s="218">
        <f t="shared" si="130"/>
        <v>0</v>
      </c>
      <c r="AY135" s="218">
        <f t="shared" si="130"/>
        <v>0</v>
      </c>
      <c r="AZ135" s="218">
        <f t="shared" si="130"/>
        <v>0</v>
      </c>
      <c r="BA135" s="218">
        <f t="shared" si="130"/>
        <v>1433.199218</v>
      </c>
      <c r="BB135" s="218">
        <f t="shared" si="130"/>
        <v>6605.2157474999985</v>
      </c>
      <c r="BC135" s="218">
        <f t="shared" si="130"/>
        <v>0</v>
      </c>
      <c r="BD135" s="218">
        <f t="shared" si="130"/>
        <v>0</v>
      </c>
      <c r="BE135" s="244">
        <f t="shared" si="130"/>
        <v>28</v>
      </c>
      <c r="BF135" s="245">
        <f t="shared" si="130"/>
        <v>1181592</v>
      </c>
      <c r="BH135" s="218">
        <f t="shared" ref="BH135:BM135" si="131">BH94</f>
        <v>1148.1220289999999</v>
      </c>
      <c r="BI135" s="218">
        <f t="shared" si="131"/>
        <v>3282.6995999999999</v>
      </c>
      <c r="BJ135" s="218">
        <f t="shared" si="131"/>
        <v>0</v>
      </c>
      <c r="BK135" s="218">
        <f t="shared" si="131"/>
        <v>8038.4149654999992</v>
      </c>
      <c r="BL135" s="218">
        <f t="shared" si="131"/>
        <v>0</v>
      </c>
      <c r="BM135" s="218">
        <f t="shared" si="131"/>
        <v>12469.236594499998</v>
      </c>
      <c r="BN135" s="718">
        <f t="shared" si="121"/>
        <v>1.5749919045386699E-2</v>
      </c>
      <c r="BO135" s="714">
        <f t="shared" si="117"/>
        <v>10.552912168074934</v>
      </c>
      <c r="BQ135" s="659">
        <f>'[15]DUoS (t)'!BO132</f>
        <v>10.396608051851015</v>
      </c>
      <c r="BR135" s="718">
        <f t="shared" si="122"/>
        <v>1.5034145313970182E-2</v>
      </c>
      <c r="BS135" s="128">
        <v>1</v>
      </c>
      <c r="BT135" s="870">
        <f>$BT$136*BS135</f>
        <v>0.98224500000000003</v>
      </c>
    </row>
    <row r="136" spans="1:72"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32">SUM(X131:X135)</f>
        <v>329884445</v>
      </c>
      <c r="Y136" s="221">
        <f t="shared" si="132"/>
        <v>4039092</v>
      </c>
      <c r="Z136" s="221">
        <f t="shared" si="132"/>
        <v>2519148</v>
      </c>
      <c r="AA136" s="221">
        <f t="shared" si="132"/>
        <v>386650</v>
      </c>
      <c r="AB136" s="221">
        <f t="shared" si="132"/>
        <v>2089509</v>
      </c>
      <c r="AC136" s="221">
        <f t="shared" si="132"/>
        <v>367300</v>
      </c>
      <c r="AD136" s="221">
        <f t="shared" si="132"/>
        <v>0</v>
      </c>
      <c r="AE136" s="221">
        <f t="shared" si="132"/>
        <v>92600</v>
      </c>
      <c r="AF136" s="221">
        <f t="shared" si="132"/>
        <v>23100</v>
      </c>
      <c r="AG136" s="221">
        <f t="shared" si="132"/>
        <v>5043249</v>
      </c>
      <c r="AH136" s="221">
        <f t="shared" si="132"/>
        <v>1828610</v>
      </c>
      <c r="AI136" s="221">
        <f t="shared" si="132"/>
        <v>4349340</v>
      </c>
      <c r="AJ136" s="221">
        <f t="shared" si="132"/>
        <v>374575045</v>
      </c>
      <c r="AK136" s="221">
        <f t="shared" si="132"/>
        <v>585726450</v>
      </c>
      <c r="AL136" s="221">
        <f t="shared" si="132"/>
        <v>446395</v>
      </c>
      <c r="AM136" s="221">
        <f>SUM(AM131:AM135)</f>
        <v>0</v>
      </c>
      <c r="AO136" s="221">
        <f>SUM(AO131:AO135)</f>
        <v>170008.57883149997</v>
      </c>
      <c r="AP136" s="221">
        <f t="shared" ref="AP136:BD136" si="133">SUM(AP131:AP135)</f>
        <v>255754.84960000002</v>
      </c>
      <c r="AQ136" s="221">
        <f t="shared" si="133"/>
        <v>153296.31699999998</v>
      </c>
      <c r="AR136" s="221">
        <f t="shared" si="133"/>
        <v>33049.550000000003</v>
      </c>
      <c r="AS136" s="221">
        <f t="shared" si="133"/>
        <v>61483.588500000005</v>
      </c>
      <c r="AT136" s="221">
        <f t="shared" si="133"/>
        <v>16161.199999999999</v>
      </c>
      <c r="AU136" s="221">
        <f t="shared" si="133"/>
        <v>0</v>
      </c>
      <c r="AV136" s="221">
        <f t="shared" si="133"/>
        <v>4074.3999999999996</v>
      </c>
      <c r="AW136" s="221">
        <f t="shared" si="133"/>
        <v>508.2</v>
      </c>
      <c r="AX136" s="221">
        <f t="shared" si="133"/>
        <v>2412.7910234999999</v>
      </c>
      <c r="AY136" s="221">
        <f t="shared" si="133"/>
        <v>565.77193399999999</v>
      </c>
      <c r="AZ136" s="221">
        <f t="shared" si="133"/>
        <v>665.88395400000002</v>
      </c>
      <c r="BA136" s="221">
        <f t="shared" si="133"/>
        <v>41014.672735999993</v>
      </c>
      <c r="BB136" s="221">
        <f t="shared" si="133"/>
        <v>52218.381535000008</v>
      </c>
      <c r="BC136" s="221">
        <f t="shared" si="133"/>
        <v>218.28715500000001</v>
      </c>
      <c r="BD136" s="221">
        <f t="shared" si="133"/>
        <v>0</v>
      </c>
      <c r="BE136" s="238">
        <f>SUM(BE131:BE135)</f>
        <v>903793</v>
      </c>
      <c r="BF136" s="239">
        <f>SUM(BF131:BF135)</f>
        <v>9517399</v>
      </c>
      <c r="BH136" s="221">
        <f t="shared" ref="BH136:BM136" si="134">SUM(BH131:BH135)</f>
        <v>170176.73064499997</v>
      </c>
      <c r="BI136" s="221">
        <f t="shared" si="134"/>
        <v>503685.31189999997</v>
      </c>
      <c r="BJ136" s="221">
        <f t="shared" si="134"/>
        <v>20743.8</v>
      </c>
      <c r="BK136" s="221">
        <f t="shared" si="134"/>
        <v>96877.501182499982</v>
      </c>
      <c r="BL136" s="221">
        <f t="shared" si="134"/>
        <v>218.28715500000001</v>
      </c>
      <c r="BM136" s="221">
        <f t="shared" si="134"/>
        <v>791701.63088250009</v>
      </c>
      <c r="BN136" s="718">
        <f t="shared" si="121"/>
        <v>1</v>
      </c>
      <c r="BO136" s="715">
        <f t="shared" si="117"/>
        <v>83.184663255423047</v>
      </c>
      <c r="BQ136" s="867">
        <f>'[15]DUoS (t)'!BO133</f>
        <v>83.422562169387788</v>
      </c>
      <c r="BR136" s="868">
        <f t="shared" si="122"/>
        <v>-2.8517334852613541E-3</v>
      </c>
      <c r="BT136" s="869">
        <v>0.98224500000000003</v>
      </c>
    </row>
    <row r="137" spans="1:72"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Q137" s="659"/>
      <c r="BR137" s="718"/>
      <c r="BT137" s="801">
        <f>'Outcome - DUoS'!J31</f>
        <v>-8.6718880910257212</v>
      </c>
    </row>
    <row r="138" spans="1:72"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132913.03497450001</v>
      </c>
      <c r="BI138" s="218">
        <f>BI131</f>
        <v>281569.60680000001</v>
      </c>
      <c r="BJ138" s="218"/>
      <c r="BK138" s="218">
        <f>BK131</f>
        <v>0</v>
      </c>
      <c r="BL138" s="218">
        <f>BL131</f>
        <v>218.28715500000001</v>
      </c>
      <c r="BM138" s="218">
        <f>SUM(BH138:BL138)</f>
        <v>414700.92892950005</v>
      </c>
      <c r="BN138" s="718">
        <f t="shared" si="121"/>
        <v>0.52380961810984017</v>
      </c>
      <c r="BO138" s="714">
        <f>BM138*1000/BF138</f>
        <v>129.13198988914667</v>
      </c>
      <c r="BQ138" s="659">
        <f>'[15]DUoS (t)'!BO135</f>
        <v>130.65427417194854</v>
      </c>
      <c r="BR138" s="718">
        <f t="shared" si="122"/>
        <v>-1.1651239827014437E-2</v>
      </c>
    </row>
    <row r="139" spans="1:72"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20479.8</v>
      </c>
      <c r="BK139" s="218"/>
      <c r="BL139" s="218"/>
      <c r="BM139" s="218">
        <f>SUM(BH139:BL139)</f>
        <v>20479.8</v>
      </c>
      <c r="BN139" s="718">
        <f t="shared" si="121"/>
        <v>2.5868078580527133E-2</v>
      </c>
      <c r="BO139" s="714">
        <f>BM139*1000/BF139</f>
        <v>42.934591194968554</v>
      </c>
      <c r="BQ139" s="659">
        <f>'[15]DUoS (t)'!BO136</f>
        <v>45.125923566878974</v>
      </c>
      <c r="BR139" s="718">
        <f t="shared" si="122"/>
        <v>-4.8560388324523696E-2</v>
      </c>
    </row>
    <row r="140" spans="1:72"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row>
    <row r="141" spans="1:72"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c r="BM141" s="718"/>
    </row>
    <row r="142" spans="1:72" x14ac:dyDescent="0.25">
      <c r="C142" s="128" t="s">
        <v>721</v>
      </c>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(t)'!BM131</f>
        <v>0.715805692547269</v>
      </c>
    </row>
    <row r="143" spans="1:72" x14ac:dyDescent="0.25">
      <c r="C143" s="128" t="s">
        <v>722</v>
      </c>
      <c r="E143" s="222"/>
      <c r="F143" s="222"/>
      <c r="G143" s="223"/>
      <c r="H143" s="223"/>
      <c r="I143" s="223"/>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(t)'!BM132</f>
        <v>0.70753108299833356</v>
      </c>
    </row>
    <row r="144" spans="1:72" x14ac:dyDescent="0.25">
      <c r="E144" s="224" t="s">
        <v>45</v>
      </c>
      <c r="F144" s="224"/>
      <c r="G144" s="225">
        <f>SUM(AO18:AO19,AX18:BD19)</f>
        <v>104871.28608000001</v>
      </c>
      <c r="H144" s="225">
        <f>SUM(AP18:AS19)</f>
        <v>210968.79</v>
      </c>
      <c r="I144" s="225">
        <f>SUM(G144:H144)</f>
        <v>315840.07608000003</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c r="BM144" s="718">
        <f>BM133/'NUoS (t)'!BM133</f>
        <v>0.67674596913594798</v>
      </c>
    </row>
    <row r="145" spans="3:65" x14ac:dyDescent="0.25">
      <c r="E145" s="224" t="s">
        <v>158</v>
      </c>
      <c r="F145" s="224"/>
      <c r="G145" s="225">
        <f>SUM(AO22:AO23,AX22:BD23)</f>
        <v>27705.445267500003</v>
      </c>
      <c r="H145" s="225">
        <f>SUM(AP22:AS23)</f>
        <v>70455</v>
      </c>
      <c r="I145" s="225">
        <f t="shared" ref="I145:I164" si="135">SUM(G145:H145)</f>
        <v>98160.445267500007</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c r="BM145" s="718">
        <f>BM134/'NUoS (t)'!BM134</f>
        <v>0.63617184533468685</v>
      </c>
    </row>
    <row r="146" spans="3:65" x14ac:dyDescent="0.25">
      <c r="E146" s="224" t="s">
        <v>54</v>
      </c>
      <c r="F146" s="224"/>
      <c r="G146" s="225">
        <f>SUM(AO24:AO25,AX24:BD25)</f>
        <v>386.43896849999999</v>
      </c>
      <c r="H146" s="225">
        <f>SUM(AP24:AS25)</f>
        <v>44.81</v>
      </c>
      <c r="I146" s="225">
        <f t="shared" si="135"/>
        <v>431.24896849999999</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c r="BM146" s="718">
        <f>BM135/'NUoS (t)'!BM135</f>
        <v>0.39144401330679485</v>
      </c>
    </row>
    <row r="147" spans="3:65" ht="15.75" thickBot="1" x14ac:dyDescent="0.3">
      <c r="E147" s="224" t="s">
        <v>704</v>
      </c>
      <c r="F147" s="224"/>
      <c r="G147" s="225">
        <f>SUM(AO26:AO27,AX26:BD27)</f>
        <v>168.1518135</v>
      </c>
      <c r="H147" s="225">
        <f>SUM(AP26:AS27)</f>
        <v>101.0068</v>
      </c>
      <c r="I147" s="225">
        <f>SUM(G147:H147)</f>
        <v>269.1586135</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c r="BM147" s="868">
        <f>BM136/'NUoS (t)'!BM136</f>
        <v>0.69301364734662652</v>
      </c>
    </row>
    <row r="148" spans="3:65" x14ac:dyDescent="0.25">
      <c r="E148" s="224" t="s">
        <v>159</v>
      </c>
      <c r="F148" s="224"/>
      <c r="G148" s="225"/>
      <c r="H148" s="225">
        <f>SUM(AT16:AW129)-H149</f>
        <v>16161.2</v>
      </c>
      <c r="I148" s="225">
        <f t="shared" si="135"/>
        <v>16161.2</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3:65" x14ac:dyDescent="0.25">
      <c r="E149" s="224" t="s">
        <v>160</v>
      </c>
      <c r="F149" s="224"/>
      <c r="G149" s="225"/>
      <c r="H149" s="225">
        <f>SUM(AT22:AW25,AT39:AW40,AT49:AW53)</f>
        <v>4582.5999999999995</v>
      </c>
      <c r="I149" s="225">
        <f t="shared" si="135"/>
        <v>4582.5999999999995</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3:65" x14ac:dyDescent="0.25">
      <c r="E150" s="224" t="s">
        <v>161</v>
      </c>
      <c r="F150" s="224"/>
      <c r="G150" s="225">
        <f>SUM(AO30:AO31,AX30:BD31)</f>
        <v>0</v>
      </c>
      <c r="H150" s="225">
        <f>SUM(AP30:AS31)</f>
        <v>7171.2</v>
      </c>
      <c r="I150" s="225">
        <f t="shared" si="135"/>
        <v>7171.2</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3:65" x14ac:dyDescent="0.25">
      <c r="E151" s="224" t="s">
        <v>162</v>
      </c>
      <c r="F151" s="224"/>
      <c r="G151" s="225">
        <f>SUM(AO33:AO37,AO44:AO47,AX33:BD37,AX44:BD47)</f>
        <v>13124.371064999999</v>
      </c>
      <c r="H151" s="225">
        <f>SUM(AP33:AS37,AP44:AS47)</f>
        <v>59907.179999999993</v>
      </c>
      <c r="I151" s="225">
        <f t="shared" si="135"/>
        <v>73031.551064999992</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3:65" x14ac:dyDescent="0.25">
      <c r="E152" s="224" t="s">
        <v>163</v>
      </c>
      <c r="F152" s="224"/>
      <c r="G152" s="225">
        <f>SUM(AO39:AO39,AX39:BD39)</f>
        <v>4265.4870899999996</v>
      </c>
      <c r="H152" s="225">
        <f>SUM(AP39:AS39)</f>
        <v>41215.270000000004</v>
      </c>
      <c r="I152" s="225">
        <f t="shared" si="135"/>
        <v>45480.757090000006</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3:65" x14ac:dyDescent="0.25">
      <c r="E153" s="224" t="s">
        <v>164</v>
      </c>
      <c r="F153" s="224"/>
      <c r="G153" s="225">
        <f>SUM(AO40:AO40,AX40:BD40)</f>
        <v>2510.4735405000001</v>
      </c>
      <c r="H153" s="225">
        <f>SUM(AP40:AS40)</f>
        <v>5301.4</v>
      </c>
      <c r="I153" s="225">
        <f t="shared" si="135"/>
        <v>7811.8735404999998</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3:65" x14ac:dyDescent="0.25">
      <c r="E154" s="224" t="s">
        <v>165</v>
      </c>
      <c r="F154" s="224"/>
      <c r="G154" s="225">
        <f>SUM(AO41:AO41,AX41:BD41)</f>
        <v>2123.3119609</v>
      </c>
      <c r="H154" s="225">
        <f>SUM(AP41:AS41)</f>
        <v>1009.6399999999999</v>
      </c>
      <c r="I154" s="225">
        <f t="shared" si="135"/>
        <v>3132.9519608999999</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3:65" x14ac:dyDescent="0.25">
      <c r="E155" s="224" t="s">
        <v>166</v>
      </c>
      <c r="F155" s="224"/>
      <c r="G155" s="225">
        <f>SUM(AO49:AO49,AO55:AO68,AX49:BD49,AX55:BD68)</f>
        <v>78731.207370000004</v>
      </c>
      <c r="H155" s="225">
        <f>SUM(AP49:AS49,AP55:AS68)</f>
        <v>85507.064700000017</v>
      </c>
      <c r="I155" s="225">
        <f t="shared" si="135"/>
        <v>164238.27207000001</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3:65" x14ac:dyDescent="0.25">
      <c r="E156" s="224" t="s">
        <v>167</v>
      </c>
      <c r="F156" s="224"/>
      <c r="G156" s="225">
        <f>SUM(AO50:AO51,AO69,AX50:BD51,AX69:BD69)</f>
        <v>5437.8044070000005</v>
      </c>
      <c r="H156" s="225">
        <f>SUM(AP50:AS51,AP69:AS69)</f>
        <v>4479.0900000000011</v>
      </c>
      <c r="I156" s="225">
        <f t="shared" si="135"/>
        <v>9916.8944070000016</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3:65" x14ac:dyDescent="0.25">
      <c r="E157" s="224" t="s">
        <v>168</v>
      </c>
      <c r="F157" s="224"/>
      <c r="G157" s="225">
        <f>SUM(AO52:AO53,AX52:BD53)</f>
        <v>579.02324310000006</v>
      </c>
      <c r="H157" s="225">
        <f>SUM(AP52:AS53)</f>
        <v>587</v>
      </c>
      <c r="I157" s="225">
        <f t="shared" si="135"/>
        <v>1166.0232430999999</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3:65" x14ac:dyDescent="0.25">
      <c r="E158" s="224" t="s">
        <v>169</v>
      </c>
      <c r="F158" s="224"/>
      <c r="G158" s="225">
        <f>SUM(AO72:AO72,AO76,AO79:AO87,AX72:BD72,AX76:BD76,AX79:BD87)</f>
        <v>16425.274772000001</v>
      </c>
      <c r="H158" s="225">
        <f>SUM(AP72:AS72,AP76:AS76,AP79:AS87)</f>
        <v>12691.7808</v>
      </c>
      <c r="I158" s="225">
        <f t="shared" si="135"/>
        <v>29117.055572000001</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3:65" x14ac:dyDescent="0.25">
      <c r="E159" s="224" t="s">
        <v>170</v>
      </c>
      <c r="F159" s="224"/>
      <c r="G159" s="225">
        <f>SUM(AO73:AO74,AX73:BD74)</f>
        <v>1725.36157</v>
      </c>
      <c r="H159" s="225">
        <f>SUM(AP73:AS74)</f>
        <v>963.38</v>
      </c>
      <c r="I159" s="225">
        <f t="shared" si="135"/>
        <v>2688.7415700000001</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3:65" x14ac:dyDescent="0.25">
      <c r="C160" s="215"/>
      <c r="D160" s="215"/>
      <c r="E160" s="224" t="s">
        <v>171</v>
      </c>
      <c r="F160" s="224"/>
      <c r="G160" s="225">
        <f>SUM(AO75,AO77:AO77,AX75:BD75,AX77:BD77)</f>
        <v>32.344839999999998</v>
      </c>
      <c r="H160" s="225">
        <f>SUM(AP75:AS75,AP77:AS77)</f>
        <v>0</v>
      </c>
      <c r="I160" s="225">
        <f t="shared" si="135"/>
        <v>32.344839999999998</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C161" s="215"/>
      <c r="D161" s="215"/>
      <c r="E161" s="224" t="s">
        <v>172</v>
      </c>
      <c r="F161" s="224"/>
      <c r="G161" s="225">
        <f>SUM(AO96:AO103,AX96:BD103)</f>
        <v>2274.5633845000002</v>
      </c>
      <c r="H161" s="225">
        <f>SUM(AP96:AS103)</f>
        <v>505.00060000000002</v>
      </c>
      <c r="I161" s="225">
        <f t="shared" si="135"/>
        <v>2779.5639845000001</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3473.3339410000017</v>
      </c>
      <c r="H162" s="225">
        <f>SUM(AP105:AS114)</f>
        <v>1712.1309999999999</v>
      </c>
      <c r="I162" s="225">
        <f t="shared" si="135"/>
        <v>5185.464941000002</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E163" s="224" t="s">
        <v>174</v>
      </c>
      <c r="F163" s="224"/>
      <c r="G163" s="225">
        <f>SUM(AO116:AO119,AX116:BD119)</f>
        <v>465.19250000000011</v>
      </c>
      <c r="H163" s="225">
        <f>SUM(AP116:AS119)</f>
        <v>28.608000000000001</v>
      </c>
      <c r="I163" s="225">
        <f t="shared" si="135"/>
        <v>493.80050000000011</v>
      </c>
    </row>
    <row r="164" spans="3:57" x14ac:dyDescent="0.25">
      <c r="E164" s="224" t="s">
        <v>175</v>
      </c>
      <c r="F164" s="224"/>
      <c r="G164" s="225">
        <f>SUM(AO121:AO129,AX121:BD129)</f>
        <v>2973.447169</v>
      </c>
      <c r="H164" s="225">
        <f>SUM(AP121:AS129)</f>
        <v>1036.9600000000003</v>
      </c>
      <c r="I164" s="225">
        <f t="shared" si="135"/>
        <v>4010.4071690000001</v>
      </c>
    </row>
    <row r="165" spans="3:57" ht="15.75" thickBot="1" x14ac:dyDescent="0.3">
      <c r="E165" s="224"/>
      <c r="F165" s="224"/>
      <c r="G165" s="226">
        <f>SUM(G144:G164)</f>
        <v>267272.51898250007</v>
      </c>
      <c r="H165" s="226">
        <f>SUM(H144:H164)</f>
        <v>524429.11190000013</v>
      </c>
      <c r="I165" s="226">
        <f>SUM(I144:I164)</f>
        <v>791701.63088250009</v>
      </c>
    </row>
    <row r="166" spans="3:57" x14ac:dyDescent="0.25">
      <c r="E166" s="222" t="s">
        <v>176</v>
      </c>
      <c r="F166" s="222"/>
      <c r="G166" s="227"/>
      <c r="H166" s="227"/>
      <c r="I166" s="228">
        <f>SUM(BM136)</f>
        <v>791701.63088250009</v>
      </c>
      <c r="Y166" s="137"/>
      <c r="AP166" s="137"/>
    </row>
    <row r="167" spans="3:57" x14ac:dyDescent="0.25">
      <c r="E167" s="222" t="s">
        <v>177</v>
      </c>
      <c r="F167" s="222"/>
      <c r="G167" s="228"/>
      <c r="H167" s="228"/>
      <c r="I167" s="228">
        <f>I166-I165</f>
        <v>0</v>
      </c>
      <c r="Y167" s="137"/>
      <c r="AP167" s="137"/>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C185" s="135"/>
      <c r="D185" s="135"/>
      <c r="H185" s="137"/>
      <c r="Y185" s="137"/>
      <c r="AP185" s="137"/>
    </row>
    <row r="186" spans="3:45" x14ac:dyDescent="0.25">
      <c r="C186" s="135"/>
      <c r="D186" s="135"/>
      <c r="H186" s="137"/>
      <c r="Y186" s="137"/>
      <c r="AP186" s="137"/>
    </row>
    <row r="187" spans="3:45" x14ac:dyDescent="0.25">
      <c r="C187" s="135"/>
      <c r="D187" s="135"/>
      <c r="H187" s="137"/>
      <c r="Y187" s="137"/>
      <c r="Z187" s="137"/>
      <c r="AP187" s="137"/>
      <c r="AQ187" s="137"/>
    </row>
    <row r="188" spans="3:45" x14ac:dyDescent="0.25">
      <c r="C188" s="135"/>
      <c r="D188" s="135"/>
      <c r="H188" s="137"/>
      <c r="K188" s="137"/>
      <c r="Y188" s="137"/>
      <c r="Z188" s="137"/>
      <c r="AB188" s="137"/>
      <c r="AP188" s="137"/>
      <c r="AQ188" s="137"/>
      <c r="AS188" s="137"/>
    </row>
    <row r="189" spans="3:45" x14ac:dyDescent="0.25">
      <c r="C189" s="135"/>
      <c r="D189" s="135"/>
      <c r="H189" s="137"/>
      <c r="K189" s="137"/>
      <c r="Y189" s="137"/>
      <c r="Z189" s="137"/>
      <c r="AB189" s="137"/>
      <c r="AP189" s="137"/>
      <c r="AQ189" s="137"/>
      <c r="AS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Y196" s="137"/>
      <c r="AP196" s="137"/>
    </row>
    <row r="197" spans="3:45" x14ac:dyDescent="0.25">
      <c r="C197" s="135"/>
      <c r="D197" s="135"/>
      <c r="H197" s="137"/>
      <c r="I197" s="137"/>
      <c r="Y197" s="137"/>
      <c r="AP197" s="137"/>
    </row>
    <row r="198" spans="3:45" x14ac:dyDescent="0.25">
      <c r="C198" s="135"/>
      <c r="D198" s="135"/>
      <c r="H198" s="137"/>
      <c r="I198" s="137"/>
      <c r="Y198" s="137"/>
      <c r="Z198" s="137"/>
      <c r="AP198" s="137"/>
      <c r="AQ198" s="137"/>
    </row>
    <row r="199" spans="3:45" x14ac:dyDescent="0.25">
      <c r="C199" s="135"/>
      <c r="D199" s="135"/>
      <c r="H199" s="137"/>
      <c r="I199" s="137"/>
      <c r="K199" s="137"/>
      <c r="Y199" s="137"/>
      <c r="Z199" s="137"/>
      <c r="AB199" s="137"/>
      <c r="AP199" s="137"/>
      <c r="AQ199" s="137"/>
      <c r="AS199" s="137"/>
    </row>
    <row r="200" spans="3:45" x14ac:dyDescent="0.25">
      <c r="C200" s="135"/>
      <c r="D200" s="135"/>
      <c r="H200" s="137"/>
      <c r="I200" s="137"/>
      <c r="K200" s="137"/>
      <c r="Y200" s="137"/>
      <c r="AB200" s="137"/>
      <c r="AP200" s="137"/>
      <c r="AS200" s="137"/>
    </row>
    <row r="201" spans="3:45" x14ac:dyDescent="0.25">
      <c r="C201" s="135"/>
      <c r="D201" s="135"/>
      <c r="H201" s="137"/>
      <c r="Y201" s="137"/>
      <c r="AP201" s="137"/>
    </row>
    <row r="202" spans="3:45" x14ac:dyDescent="0.25">
      <c r="C202" s="135"/>
      <c r="D202" s="135"/>
      <c r="H202" s="137"/>
      <c r="Y202" s="137"/>
      <c r="AP202" s="137"/>
    </row>
    <row r="203" spans="3:45" x14ac:dyDescent="0.25">
      <c r="C203" s="135"/>
      <c r="D203" s="135"/>
      <c r="H203" s="137"/>
      <c r="I203" s="137"/>
      <c r="Y203" s="137"/>
      <c r="Z203" s="137"/>
      <c r="AP203" s="137"/>
      <c r="AQ203" s="137"/>
    </row>
    <row r="204" spans="3:45" x14ac:dyDescent="0.25">
      <c r="C204" s="135"/>
      <c r="D204" s="135"/>
      <c r="H204" s="137"/>
      <c r="I204" s="137"/>
      <c r="K204" s="137"/>
      <c r="Y204" s="137"/>
      <c r="Z204" s="137"/>
      <c r="AB204" s="137"/>
      <c r="AP204" s="137"/>
      <c r="AQ204" s="137"/>
      <c r="AS204" s="137"/>
    </row>
    <row r="205" spans="3:45" x14ac:dyDescent="0.25">
      <c r="C205" s="135"/>
      <c r="D205" s="135"/>
      <c r="H205" s="137"/>
      <c r="K205" s="137"/>
      <c r="Y205" s="137"/>
      <c r="Z205" s="137"/>
      <c r="AB205" s="137"/>
      <c r="AP205" s="137"/>
      <c r="AQ205" s="137"/>
      <c r="AS205" s="137"/>
    </row>
    <row r="206" spans="3:45" x14ac:dyDescent="0.25">
      <c r="C206" s="135"/>
      <c r="D206" s="135"/>
      <c r="H206" s="137"/>
      <c r="K206" s="137"/>
      <c r="Y206" s="137"/>
      <c r="AB206" s="137"/>
      <c r="AP206" s="137"/>
      <c r="AS206" s="137"/>
    </row>
    <row r="207" spans="3:45" x14ac:dyDescent="0.25">
      <c r="C207" s="135"/>
      <c r="D207" s="135"/>
      <c r="H207" s="137"/>
      <c r="Y207" s="137"/>
      <c r="Z207" s="137"/>
      <c r="AP207" s="137"/>
      <c r="AQ207" s="137"/>
    </row>
    <row r="208" spans="3:45" x14ac:dyDescent="0.25">
      <c r="C208" s="135"/>
      <c r="D208" s="135"/>
      <c r="H208" s="137"/>
      <c r="I208" s="137"/>
      <c r="K208" s="137"/>
      <c r="Y208" s="137"/>
      <c r="Z208" s="137"/>
      <c r="AB208" s="137"/>
      <c r="AP208" s="137"/>
      <c r="AQ208" s="137"/>
      <c r="AS208" s="137"/>
    </row>
    <row r="209" spans="3:45" x14ac:dyDescent="0.25">
      <c r="C209" s="135"/>
      <c r="D209" s="135"/>
      <c r="H209" s="137"/>
      <c r="I209" s="137"/>
      <c r="K209" s="137"/>
      <c r="Y209" s="137"/>
      <c r="Z209" s="137"/>
      <c r="AB209" s="137"/>
      <c r="AP209" s="137"/>
      <c r="AQ209" s="137"/>
      <c r="AS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AB211" s="137"/>
      <c r="AP211" s="137"/>
      <c r="AS211" s="137"/>
    </row>
    <row r="212" spans="3:45" x14ac:dyDescent="0.25">
      <c r="C212" s="135"/>
      <c r="D212" s="135"/>
      <c r="H212" s="137"/>
      <c r="I212" s="137"/>
      <c r="Y212" s="137"/>
      <c r="AP212" s="137"/>
    </row>
    <row r="213" spans="3:45" x14ac:dyDescent="0.25">
      <c r="C213" s="135"/>
      <c r="D213" s="135"/>
      <c r="H213" s="137"/>
      <c r="I213" s="137"/>
      <c r="Y213" s="137"/>
      <c r="Z213" s="137"/>
      <c r="AP213" s="137"/>
      <c r="AQ213" s="137"/>
    </row>
    <row r="214" spans="3:45" x14ac:dyDescent="0.25">
      <c r="C214" s="135"/>
      <c r="D214" s="135"/>
      <c r="H214" s="137"/>
      <c r="I214" s="137"/>
      <c r="K214" s="137"/>
      <c r="Y214" s="137"/>
      <c r="Z214" s="137"/>
      <c r="AB214" s="137"/>
      <c r="AP214" s="137"/>
      <c r="AQ214" s="137"/>
      <c r="AS214" s="137"/>
    </row>
    <row r="215" spans="3:45" x14ac:dyDescent="0.25">
      <c r="H215" s="137"/>
      <c r="I215" s="137"/>
      <c r="K215" s="137"/>
      <c r="Y215" s="137"/>
      <c r="AB215" s="137"/>
      <c r="AP215" s="137"/>
      <c r="AS215" s="137"/>
    </row>
    <row r="216" spans="3:45" x14ac:dyDescent="0.25">
      <c r="H216" s="137"/>
      <c r="Y216" s="137"/>
      <c r="AP216" s="137"/>
    </row>
    <row r="217" spans="3:45" x14ac:dyDescent="0.25">
      <c r="H217" s="137"/>
      <c r="Y217" s="137"/>
      <c r="AP217" s="137"/>
    </row>
    <row r="218" spans="3:45" x14ac:dyDescent="0.25">
      <c r="H218" s="137"/>
      <c r="I218" s="137"/>
      <c r="Y218" s="137"/>
      <c r="AP218" s="137"/>
    </row>
    <row r="219" spans="3:45" x14ac:dyDescent="0.25">
      <c r="C219" s="229"/>
      <c r="D219" s="229"/>
      <c r="H219" s="137"/>
      <c r="I219" s="137"/>
      <c r="Y219" s="137"/>
      <c r="AP219" s="137"/>
    </row>
    <row r="220" spans="3:45" x14ac:dyDescent="0.25">
      <c r="H220" s="137"/>
      <c r="Y220" s="137"/>
      <c r="AP220" s="137"/>
    </row>
    <row r="221" spans="3:45" x14ac:dyDescent="0.25">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row>
    <row r="451" spans="8:42" x14ac:dyDescent="0.25">
      <c r="H451" s="137"/>
    </row>
    <row r="452" spans="8:42" x14ac:dyDescent="0.25">
      <c r="H452" s="137"/>
    </row>
    <row r="453" spans="8:42" x14ac:dyDescent="0.25">
      <c r="H453" s="137"/>
    </row>
    <row r="454" spans="8:42" x14ac:dyDescent="0.25">
      <c r="H454" s="137"/>
    </row>
  </sheetData>
  <mergeCells count="14">
    <mergeCell ref="AO9:BF9"/>
    <mergeCell ref="BE11:BF11"/>
    <mergeCell ref="BH11:BM11"/>
    <mergeCell ref="P12:R12"/>
    <mergeCell ref="S12:T12"/>
    <mergeCell ref="U12:V12"/>
    <mergeCell ref="G9:V9"/>
    <mergeCell ref="X9:AM9"/>
    <mergeCell ref="BC12:BD12"/>
    <mergeCell ref="AG12:AI12"/>
    <mergeCell ref="AJ12:AK12"/>
    <mergeCell ref="AL12:AM12"/>
    <mergeCell ref="AX12:AZ12"/>
    <mergeCell ref="BA12:BB12"/>
  </mergeCells>
  <phoneticPr fontId="26" type="noConversion"/>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customProperties>
    <customPr name="_pios_id" r:id="rId2"/>
  </customProperties>
  <ignoredErrors>
    <ignoredError sqref="D28:D48 D70:D71 D54 D52 D75 D78 D18:D20 D22:D25" unlockedFormula="1"/>
  </ignoredError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AB28-9F3B-408F-887F-9AB89BD3944F}">
  <sheetPr codeName="Sheet8">
    <pageSetUpPr fitToPage="1"/>
  </sheetPr>
  <dimension ref="A1:CB454"/>
  <sheetViews>
    <sheetView showGridLines="0" topLeftCell="A13" zoomScaleNormal="100" workbookViewId="0">
      <pane xSplit="4" topLeftCell="E1" activePane="topRight" state="frozenSplit"/>
      <selection activeCell="A6" sqref="A1:XFD6"/>
      <selection pane="topRight" activeCell="H31" sqref="H31"/>
    </sheetView>
  </sheetViews>
  <sheetFormatPr defaultRowHeight="15" x14ac:dyDescent="0.25"/>
  <cols>
    <col min="1" max="1" width="1.5703125" style="128" customWidth="1"/>
    <col min="2" max="2" width="6.85546875" style="128" customWidth="1"/>
    <col min="3" max="3" width="11.140625" style="128" bestFit="1" customWidth="1"/>
    <col min="4" max="4" width="13.28515625" style="128" bestFit="1" customWidth="1"/>
    <col min="5" max="5" width="49.28515625" style="128" customWidth="1"/>
    <col min="6" max="6" width="3.7109375" style="128" customWidth="1"/>
    <col min="7" max="22" width="13.140625" style="128" customWidth="1"/>
    <col min="23" max="23" width="9.140625" style="128" customWidth="1"/>
    <col min="24" max="39" width="13.140625" style="128" customWidth="1"/>
    <col min="40" max="40" width="3.85546875" style="128" customWidth="1"/>
    <col min="41" max="56" width="13.140625" style="128" customWidth="1"/>
    <col min="57" max="58" width="13.140625" style="126" customWidth="1"/>
    <col min="59" max="59" width="9.140625" style="128" customWidth="1"/>
    <col min="60" max="77" width="9.140625" style="128"/>
    <col min="78" max="78" width="11.5703125" style="128" bestFit="1" customWidth="1"/>
    <col min="79" max="79" width="9.5703125" style="128" bestFit="1" customWidth="1"/>
    <col min="80" max="16384" width="9.140625" style="128"/>
  </cols>
  <sheetData>
    <row r="1" spans="2:74" ht="6" hidden="1" customHeight="1" x14ac:dyDescent="0.35">
      <c r="B1" s="1" t="str">
        <f>'Model Update'!D5</f>
        <v>SA Power Networks</v>
      </c>
      <c r="C1" s="141"/>
      <c r="D1" s="141"/>
      <c r="G1" s="1" t="s">
        <v>11</v>
      </c>
      <c r="X1" s="140"/>
      <c r="AO1" s="140"/>
    </row>
    <row r="2" spans="2:74" ht="6" hidden="1" customHeight="1" x14ac:dyDescent="0.3">
      <c r="B2" s="123" t="s">
        <v>215</v>
      </c>
      <c r="C2" s="141"/>
      <c r="D2" s="141"/>
      <c r="H2" s="142" t="s">
        <v>13</v>
      </c>
      <c r="I2" s="142"/>
      <c r="J2" s="142"/>
      <c r="K2" s="142"/>
      <c r="Y2" s="142"/>
      <c r="Z2" s="142"/>
      <c r="AA2" s="142"/>
      <c r="AB2" s="142"/>
      <c r="AP2" s="142"/>
      <c r="AQ2" s="142"/>
      <c r="AR2" s="142"/>
      <c r="AS2" s="142"/>
    </row>
    <row r="3" spans="2:74" ht="6" hidden="1" customHeight="1" x14ac:dyDescent="0.25">
      <c r="B3" s="143"/>
      <c r="C3" s="141"/>
      <c r="D3" s="141"/>
      <c r="H3" s="142"/>
      <c r="I3" s="142"/>
      <c r="J3" s="142"/>
      <c r="K3" s="142"/>
      <c r="Y3" s="142"/>
      <c r="Z3" s="142"/>
      <c r="AA3" s="142"/>
      <c r="AB3" s="142"/>
      <c r="AP3" s="142"/>
      <c r="AQ3" s="142"/>
      <c r="AR3" s="142"/>
      <c r="AS3" s="142"/>
    </row>
    <row r="4" spans="2:74" ht="6" hidden="1" customHeight="1" x14ac:dyDescent="0.25">
      <c r="B4" s="143"/>
      <c r="C4" s="141"/>
      <c r="D4" s="141"/>
      <c r="H4" s="142"/>
      <c r="I4" s="142"/>
      <c r="J4" s="142"/>
      <c r="K4" s="142"/>
      <c r="Y4" s="142"/>
      <c r="Z4" s="142"/>
      <c r="AA4" s="142"/>
      <c r="AB4" s="142"/>
      <c r="AP4" s="142"/>
      <c r="AQ4" s="142"/>
      <c r="AR4" s="142"/>
      <c r="AS4" s="142"/>
    </row>
    <row r="5" spans="2:74" ht="6" hidden="1" customHeight="1" x14ac:dyDescent="0.25">
      <c r="B5" s="143"/>
      <c r="C5" s="141"/>
      <c r="D5" s="141"/>
      <c r="H5" s="142"/>
      <c r="I5" s="142"/>
      <c r="J5" s="142"/>
      <c r="K5" s="142"/>
      <c r="Y5" s="142"/>
      <c r="Z5" s="142"/>
      <c r="AA5" s="142"/>
      <c r="AB5" s="142"/>
      <c r="AP5" s="142"/>
      <c r="AQ5" s="142"/>
      <c r="AR5" s="142"/>
      <c r="AS5" s="142"/>
    </row>
    <row r="6" spans="2:74" ht="6" hidden="1" customHeight="1" x14ac:dyDescent="0.25">
      <c r="B6" s="143"/>
      <c r="C6" s="141"/>
      <c r="D6" s="141"/>
      <c r="I6" s="142"/>
      <c r="J6" s="142"/>
      <c r="K6" s="142"/>
      <c r="Z6" s="142"/>
      <c r="AA6" s="142"/>
      <c r="AB6" s="142"/>
      <c r="AQ6" s="142"/>
      <c r="AR6" s="142"/>
      <c r="AS6" s="142"/>
    </row>
    <row r="7" spans="2:74" ht="18.75" x14ac:dyDescent="0.3">
      <c r="B7" s="7" t="str">
        <f>"Information for financial year ending 30 June "&amp;'Model Update'!C12</f>
        <v>Information for financial year ending 30 June 2022</v>
      </c>
      <c r="C7" s="141"/>
      <c r="D7" s="141"/>
      <c r="G7" s="128">
        <f>Days_Year</f>
        <v>365</v>
      </c>
      <c r="H7" s="142"/>
      <c r="I7" s="142"/>
      <c r="J7" s="142"/>
      <c r="K7" s="142"/>
      <c r="Y7" s="142"/>
      <c r="Z7" s="142"/>
      <c r="AA7" s="142"/>
      <c r="AB7" s="142"/>
      <c r="AP7" s="142"/>
      <c r="AQ7" s="142"/>
      <c r="AR7" s="142"/>
      <c r="AS7" s="142"/>
      <c r="BE7" s="251">
        <f>Days_Year</f>
        <v>365</v>
      </c>
    </row>
    <row r="8" spans="2:74" x14ac:dyDescent="0.25">
      <c r="B8" s="143"/>
      <c r="C8" s="141"/>
      <c r="D8" s="141"/>
    </row>
    <row r="9" spans="2:74"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74" x14ac:dyDescent="0.25">
      <c r="E10" s="144"/>
      <c r="V10" s="145"/>
      <c r="AM10" s="145"/>
    </row>
    <row r="11" spans="2:74" x14ac:dyDescent="0.25">
      <c r="B11" s="146" t="s">
        <v>16</v>
      </c>
      <c r="C11" s="147"/>
      <c r="D11" s="147"/>
      <c r="E11" s="148"/>
      <c r="G11" s="149">
        <f>'Model Update'!C12</f>
        <v>2022</v>
      </c>
      <c r="H11" s="150">
        <f>$G$11</f>
        <v>2022</v>
      </c>
      <c r="I11" s="147"/>
      <c r="J11" s="151"/>
      <c r="K11" s="152"/>
      <c r="L11" s="150">
        <f>$G$11</f>
        <v>2022</v>
      </c>
      <c r="M11" s="153"/>
      <c r="N11" s="153"/>
      <c r="O11" s="152"/>
      <c r="P11" s="150">
        <f>$G$11</f>
        <v>2022</v>
      </c>
      <c r="Q11" s="147"/>
      <c r="R11" s="151"/>
      <c r="S11" s="150">
        <f>$G$11</f>
        <v>2022</v>
      </c>
      <c r="T11" s="154"/>
      <c r="U11" s="150">
        <f>$G$11</f>
        <v>2022</v>
      </c>
      <c r="V11" s="148"/>
      <c r="X11" s="150">
        <f>$G$11</f>
        <v>2022</v>
      </c>
      <c r="Y11" s="150">
        <f>$G$11</f>
        <v>2022</v>
      </c>
      <c r="Z11" s="147"/>
      <c r="AA11" s="151"/>
      <c r="AB11" s="152"/>
      <c r="AC11" s="150">
        <f>$G$11</f>
        <v>2022</v>
      </c>
      <c r="AD11" s="153"/>
      <c r="AE11" s="153"/>
      <c r="AF11" s="152"/>
      <c r="AG11" s="150">
        <f>$G$11</f>
        <v>2022</v>
      </c>
      <c r="AH11" s="147"/>
      <c r="AI11" s="151"/>
      <c r="AJ11" s="150">
        <f>$G$11</f>
        <v>2022</v>
      </c>
      <c r="AK11" s="154"/>
      <c r="AL11" s="150">
        <f>$G$11</f>
        <v>2022</v>
      </c>
      <c r="AM11" s="148"/>
      <c r="AO11" s="150">
        <f>$G$11</f>
        <v>2022</v>
      </c>
      <c r="AP11" s="150">
        <f>$G$11</f>
        <v>2022</v>
      </c>
      <c r="AQ11" s="147"/>
      <c r="AR11" s="151"/>
      <c r="AS11" s="152"/>
      <c r="AT11" s="150">
        <f>$G$11</f>
        <v>2022</v>
      </c>
      <c r="AU11" s="153"/>
      <c r="AV11" s="153"/>
      <c r="AW11" s="152"/>
      <c r="AX11" s="150">
        <f>$G$11</f>
        <v>2022</v>
      </c>
      <c r="AY11" s="147"/>
      <c r="AZ11" s="151"/>
      <c r="BA11" s="150">
        <f>$G$11</f>
        <v>2022</v>
      </c>
      <c r="BB11" s="154"/>
      <c r="BC11" s="150">
        <f>$G$11</f>
        <v>2022</v>
      </c>
      <c r="BD11" s="147"/>
      <c r="BE11" s="912" t="s">
        <v>17</v>
      </c>
      <c r="BF11" s="900"/>
      <c r="BH11" s="912" t="s">
        <v>205</v>
      </c>
      <c r="BI11" s="899"/>
      <c r="BJ11" s="899"/>
      <c r="BK11" s="899"/>
      <c r="BL11" s="899"/>
      <c r="BM11" s="900"/>
    </row>
    <row r="12" spans="2:74"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234" t="s">
        <v>204</v>
      </c>
      <c r="BF12" s="236" t="s">
        <v>23</v>
      </c>
      <c r="BH12" s="232"/>
      <c r="BI12" s="233"/>
      <c r="BJ12" s="233"/>
      <c r="BK12" s="233"/>
      <c r="BL12" s="233"/>
      <c r="BM12" s="145"/>
    </row>
    <row r="13" spans="2:74"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236"/>
      <c r="BH13" s="234" t="s">
        <v>206</v>
      </c>
      <c r="BI13" s="235" t="s">
        <v>23</v>
      </c>
      <c r="BJ13" s="235" t="s">
        <v>23</v>
      </c>
      <c r="BK13" s="235" t="s">
        <v>210</v>
      </c>
      <c r="BL13" s="235" t="s">
        <v>211</v>
      </c>
      <c r="BM13" s="236" t="s">
        <v>212</v>
      </c>
      <c r="BO13" s="662" t="s">
        <v>600</v>
      </c>
      <c r="BQ13" s="126" t="s">
        <v>179</v>
      </c>
      <c r="BV13" s="128" t="s">
        <v>731</v>
      </c>
    </row>
    <row r="14" spans="2:74"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234" t="s">
        <v>22</v>
      </c>
      <c r="BF14" s="236" t="s">
        <v>35</v>
      </c>
      <c r="BH14" s="234" t="s">
        <v>207</v>
      </c>
      <c r="BI14" s="235" t="s">
        <v>208</v>
      </c>
      <c r="BJ14" s="235" t="s">
        <v>209</v>
      </c>
      <c r="BK14" s="235"/>
      <c r="BL14" s="235"/>
      <c r="BM14" s="236"/>
    </row>
    <row r="15" spans="2:74"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74"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f>'Q (t)'!G16</f>
        <v>0</v>
      </c>
      <c r="Y16" s="169">
        <f>'Q (t)'!H16</f>
        <v>0</v>
      </c>
      <c r="Z16" s="170">
        <f>'Q (t)'!I16</f>
        <v>0</v>
      </c>
      <c r="AA16" s="170">
        <f>'Q (t)'!J16</f>
        <v>0</v>
      </c>
      <c r="AB16" s="171">
        <f>'Q (t)'!K16</f>
        <v>0</v>
      </c>
      <c r="AC16" s="170">
        <f>'Q (t)'!L16</f>
        <v>0</v>
      </c>
      <c r="AD16" s="170">
        <f>'Q (t)'!M16</f>
        <v>0</v>
      </c>
      <c r="AE16" s="170">
        <f>'Q (t)'!N16</f>
        <v>0</v>
      </c>
      <c r="AF16" s="171">
        <f>'Q (t)'!O16</f>
        <v>0</v>
      </c>
      <c r="AG16" s="169">
        <f>'Q (t)'!P16</f>
        <v>0</v>
      </c>
      <c r="AH16" s="170">
        <f>'Q (t)'!Q16</f>
        <v>0</v>
      </c>
      <c r="AI16" s="171">
        <f>'Q (t)'!R16</f>
        <v>0</v>
      </c>
      <c r="AJ16" s="169">
        <f>'Q (t)'!S16</f>
        <v>0</v>
      </c>
      <c r="AK16" s="170">
        <f>'Q (t)'!T16</f>
        <v>0</v>
      </c>
      <c r="AL16" s="169">
        <f>'Q (t)'!U16</f>
        <v>0</v>
      </c>
      <c r="AM16" s="171">
        <f>'Q (t)'!V16</f>
        <v>0</v>
      </c>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3"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0</v>
      </c>
      <c r="BI16" s="253">
        <f>SUBTOTAL(9,BI17:BI27)</f>
        <v>114073.18179</v>
      </c>
      <c r="BJ16" s="253">
        <f>SUBTOTAL(9,BJ17:BJ27)</f>
        <v>8330.4</v>
      </c>
      <c r="BK16" s="253">
        <f>SUBTOTAL(9,BK17:BK27)</f>
        <v>0</v>
      </c>
      <c r="BL16" s="253">
        <f>SUBTOTAL(9,BL17:BL27)</f>
        <v>88.564768000000001</v>
      </c>
      <c r="BM16" s="254">
        <f>SUM(BH16:BL16)</f>
        <v>122492.14655799999</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f>'Q (t)'!G17</f>
        <v>0</v>
      </c>
      <c r="Y17" s="175">
        <f>'Q (t)'!H17</f>
        <v>0</v>
      </c>
      <c r="Z17" s="176">
        <f>'Q (t)'!I17</f>
        <v>0</v>
      </c>
      <c r="AA17" s="176">
        <f>'Q (t)'!J17</f>
        <v>0</v>
      </c>
      <c r="AB17" s="177">
        <f>'Q (t)'!K17</f>
        <v>0</v>
      </c>
      <c r="AC17" s="178">
        <f>'Q (t)'!L17</f>
        <v>0</v>
      </c>
      <c r="AD17" s="178">
        <f>'Q (t)'!M17</f>
        <v>0</v>
      </c>
      <c r="AE17" s="178">
        <f>'Q (t)'!N17</f>
        <v>0</v>
      </c>
      <c r="AF17" s="179">
        <f>'Q (t)'!O17</f>
        <v>0</v>
      </c>
      <c r="AG17" s="175">
        <f>'Q (t)'!P17</f>
        <v>0</v>
      </c>
      <c r="AH17" s="176">
        <f>'Q (t)'!Q17</f>
        <v>0</v>
      </c>
      <c r="AI17" s="177">
        <f>'Q (t)'!R17</f>
        <v>0</v>
      </c>
      <c r="AJ17" s="175">
        <f>'Q (t)'!S17</f>
        <v>0</v>
      </c>
      <c r="AK17" s="176">
        <f>'Q (t)'!T17</f>
        <v>0</v>
      </c>
      <c r="AL17" s="175">
        <f>'Q (t)'!U17</f>
        <v>0</v>
      </c>
      <c r="AM17" s="177">
        <f>'Q (t)'!V17</f>
        <v>0</v>
      </c>
      <c r="AO17" s="174">
        <f t="shared" ref="AO17:AO79"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79" si="3">X17/$BE$7</f>
        <v>0</v>
      </c>
      <c r="BF17" s="245">
        <f t="shared" ref="BF17:BF51" si="4">SUM(Y17:AF17)</f>
        <v>0</v>
      </c>
      <c r="BH17" s="252">
        <f>SUBTOTAL(9,BH18:BH19)</f>
        <v>0</v>
      </c>
      <c r="BI17" s="252">
        <f>SUBTOTAL(9,BI18:BI19)</f>
        <v>85443.56</v>
      </c>
      <c r="BJ17" s="252">
        <f>SUBTOTAL(9,BJ18:BJ19)</f>
        <v>6467.2699999999995</v>
      </c>
      <c r="BK17" s="260">
        <f>SUBTOTAL(9,BK18:BK19)</f>
        <v>0</v>
      </c>
      <c r="BL17" s="261">
        <f>SUBTOTAL(9,BL18:BL19)</f>
        <v>0</v>
      </c>
      <c r="BM17" s="257">
        <f t="shared" ref="BM17:BM79" si="5">SUM(BH17:BL17)</f>
        <v>91910.83</v>
      </c>
      <c r="BO17" s="714" t="str">
        <f t="shared" ref="BO17:BO79" si="6">IF(BF17=0,"",BM17*1000/BF17)</f>
        <v/>
      </c>
    </row>
    <row r="18" spans="2:67" ht="15" customHeight="1" x14ac:dyDescent="0.25">
      <c r="B18" s="156">
        <v>1</v>
      </c>
      <c r="C18" s="180" t="s">
        <v>44</v>
      </c>
      <c r="D18" s="181" t="s">
        <v>44</v>
      </c>
      <c r="E18" s="182" t="s">
        <v>641</v>
      </c>
      <c r="G18" s="850">
        <f>ROUND('[15]2020-25 Pricing Schedule'!$K$6/Days_Year,4)</f>
        <v>0</v>
      </c>
      <c r="H18" s="464">
        <f>ROUND('TUoS (t-1)'!H18*$BT$131,4)</f>
        <v>3.56E-2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0</v>
      </c>
      <c r="AP18" s="184">
        <f t="shared" si="0"/>
        <v>85443.56</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0</v>
      </c>
      <c r="BI18" s="255">
        <f>SUM(AP18:AS18)</f>
        <v>85443.56</v>
      </c>
      <c r="BJ18" s="255">
        <f>SUM(AT18:AW18)</f>
        <v>0</v>
      </c>
      <c r="BK18" s="256">
        <f>SUM(AX18:BB18)</f>
        <v>0</v>
      </c>
      <c r="BL18" s="262">
        <f>SUM(BC18:BD18)</f>
        <v>0</v>
      </c>
      <c r="BM18" s="257">
        <f t="shared" si="5"/>
        <v>85443.56</v>
      </c>
      <c r="BO18" s="714">
        <f t="shared" si="6"/>
        <v>35.6</v>
      </c>
    </row>
    <row r="19" spans="2:67" ht="15" customHeight="1" x14ac:dyDescent="0.25">
      <c r="B19" s="156">
        <f>B18+1</f>
        <v>2</v>
      </c>
      <c r="C19" s="180" t="s">
        <v>643</v>
      </c>
      <c r="D19" s="181" t="s">
        <v>643</v>
      </c>
      <c r="E19" s="182" t="s">
        <v>47</v>
      </c>
      <c r="G19" s="850">
        <f>G18</f>
        <v>0</v>
      </c>
      <c r="H19" s="464">
        <f>ROUND('TUoS (t-1)'!H19*$BT$131,4)</f>
        <v>3.56E-2</v>
      </c>
      <c r="I19" s="459"/>
      <c r="J19" s="459"/>
      <c r="K19" s="460"/>
      <c r="L19" s="465">
        <f>ROUND('TUoS (t-1)'!L19*$BT$131,4)</f>
        <v>1.7899999999999999E-2</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6467.2699999999995</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6467.2699999999995</v>
      </c>
      <c r="BK19" s="256">
        <f>SUM(AX19:BB19)</f>
        <v>0</v>
      </c>
      <c r="BL19" s="262">
        <f>SUM(BC19:BD19)</f>
        <v>0</v>
      </c>
      <c r="BM19" s="257">
        <f t="shared" si="5"/>
        <v>6467.2699999999995</v>
      </c>
      <c r="BO19" s="714">
        <f t="shared" si="6"/>
        <v>17.899999999999999</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0</v>
      </c>
      <c r="BI20" s="252">
        <f>SUBTOTAL(9,BI21:BI27)</f>
        <v>28629.621790000001</v>
      </c>
      <c r="BJ20" s="252">
        <f>SUBTOTAL(9,BJ21:BJ27)</f>
        <v>1863.1299999999999</v>
      </c>
      <c r="BK20" s="252">
        <f>SUBTOTAL(9,BK21:BK27)</f>
        <v>0</v>
      </c>
      <c r="BL20" s="252">
        <f>SUBTOTAL(9,BL21:BL27)</f>
        <v>88.564768000000001</v>
      </c>
      <c r="BM20" s="257">
        <f t="shared" si="5"/>
        <v>30581.316558000002</v>
      </c>
      <c r="BO20" s="714" t="str">
        <f t="shared" si="6"/>
        <v/>
      </c>
    </row>
    <row r="21" spans="2:67" ht="15" customHeight="1" x14ac:dyDescent="0.25">
      <c r="B21" s="156">
        <f>B19+1</f>
        <v>3</v>
      </c>
      <c r="C21" s="180" t="s">
        <v>46</v>
      </c>
      <c r="D21" s="181" t="s">
        <v>46</v>
      </c>
      <c r="E21" s="182" t="s">
        <v>642</v>
      </c>
      <c r="G21" s="850">
        <f>G18</f>
        <v>0</v>
      </c>
      <c r="H21" s="758">
        <f>ROUND('TUoS (t-1)'!H21*$BT$131,4)</f>
        <v>3.56E-2</v>
      </c>
      <c r="I21" s="459"/>
      <c r="J21" s="459"/>
      <c r="K21" s="460"/>
      <c r="L21" s="414"/>
      <c r="M21" s="759">
        <f>ROUND('TUoS (t-1)'!M21*$BT$131,4)</f>
        <v>4.4600000000000001E-2</v>
      </c>
      <c r="N21" s="759">
        <f>ROUND('TUoS (t-1)'!N21*$BT$131,4)</f>
        <v>1.7899999999999999E-2</v>
      </c>
      <c r="O21" s="760">
        <f>ROUND('TUoS (t-1)'!O21*$BT$131,4)</f>
        <v>8.8999999999999999E-3</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G21*X21/1000</f>
        <v>0</v>
      </c>
      <c r="AP21" s="175">
        <f t="shared" ref="AP21:AW21" si="7">H21*Y21</f>
        <v>0</v>
      </c>
      <c r="AQ21" s="178">
        <f t="shared" si="7"/>
        <v>0</v>
      </c>
      <c r="AR21" s="178">
        <f t="shared" si="7"/>
        <v>0</v>
      </c>
      <c r="AS21" s="179">
        <f t="shared" si="7"/>
        <v>0</v>
      </c>
      <c r="AT21" s="185">
        <f t="shared" si="7"/>
        <v>0</v>
      </c>
      <c r="AU21" s="185">
        <f t="shared" si="7"/>
        <v>0</v>
      </c>
      <c r="AV21" s="185">
        <f t="shared" si="7"/>
        <v>0</v>
      </c>
      <c r="AW21" s="186">
        <f t="shared" si="7"/>
        <v>0</v>
      </c>
      <c r="AX21" s="175">
        <f t="shared" ref="AX21:BD21" si="8">P21*AG21/1000</f>
        <v>0</v>
      </c>
      <c r="AY21" s="176">
        <f t="shared" si="8"/>
        <v>0</v>
      </c>
      <c r="AZ21" s="177">
        <f t="shared" si="8"/>
        <v>0</v>
      </c>
      <c r="BA21" s="175">
        <f t="shared" si="8"/>
        <v>0</v>
      </c>
      <c r="BB21" s="176">
        <f t="shared" si="8"/>
        <v>0</v>
      </c>
      <c r="BC21" s="175">
        <f t="shared" si="8"/>
        <v>0</v>
      </c>
      <c r="BD21" s="176">
        <f t="shared" si="8"/>
        <v>0</v>
      </c>
      <c r="BE21" s="244">
        <f>X21/$BE$7</f>
        <v>0</v>
      </c>
      <c r="BF21" s="245">
        <f>SUM(Y21:AF21)</f>
        <v>0</v>
      </c>
      <c r="BH21" s="255">
        <f t="shared" ref="BH21:BH27" si="9">SUM(AO21)</f>
        <v>0</v>
      </c>
      <c r="BI21" s="255">
        <f t="shared" ref="BI21:BI27" si="10">SUM(AP21:AS21)</f>
        <v>0</v>
      </c>
      <c r="BJ21" s="255">
        <f t="shared" ref="BJ21:BJ27" si="11">SUM(AT21:AW21)</f>
        <v>0</v>
      </c>
      <c r="BK21" s="256">
        <f t="shared" ref="BK21:BK27" si="12">SUM(AX21:BB21)</f>
        <v>0</v>
      </c>
      <c r="BL21" s="262">
        <f t="shared" ref="BL21:BL27" si="13">SUM(BC21:BD21)</f>
        <v>0</v>
      </c>
      <c r="BM21" s="257">
        <f>SUM(BH21:BL21)</f>
        <v>0</v>
      </c>
      <c r="BO21" s="714" t="str">
        <f>IF(BF21=0,"",BM21*1000/BF21)</f>
        <v/>
      </c>
    </row>
    <row r="22" spans="2:67" ht="15" customHeight="1" x14ac:dyDescent="0.25">
      <c r="B22" s="156">
        <f t="shared" ref="B22:B27" si="14">B21+1</f>
        <v>4</v>
      </c>
      <c r="C22" s="180" t="s">
        <v>49</v>
      </c>
      <c r="D22" s="181" t="s">
        <v>49</v>
      </c>
      <c r="E22" s="182" t="s">
        <v>50</v>
      </c>
      <c r="G22" s="850">
        <f>G18</f>
        <v>0</v>
      </c>
      <c r="H22" s="458"/>
      <c r="I22" s="465">
        <f>ROUND('TUoS (t-1)'!I22*$BT$131,4)</f>
        <v>4.4600000000000001E-2</v>
      </c>
      <c r="J22" s="465">
        <f>ROUND('TUoS (t-1)'!J22*$BT$131,4)</f>
        <v>1.7899999999999999E-2</v>
      </c>
      <c r="K22" s="466">
        <f>ROUND('TUoS (t-1)'!K22*$BT$131,4)</f>
        <v>8.8999999999999999E-3</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0</v>
      </c>
      <c r="AP22" s="175">
        <f t="shared" si="0"/>
        <v>0</v>
      </c>
      <c r="AQ22" s="178">
        <f t="shared" si="0"/>
        <v>25404.16</v>
      </c>
      <c r="AR22" s="178">
        <f t="shared" si="0"/>
        <v>2038.81</v>
      </c>
      <c r="AS22" s="179">
        <f t="shared" si="0"/>
        <v>1127.6299999999999</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9"/>
        <v>0</v>
      </c>
      <c r="BI22" s="255">
        <f t="shared" si="10"/>
        <v>28570.600000000002</v>
      </c>
      <c r="BJ22" s="255">
        <f t="shared" si="11"/>
        <v>0</v>
      </c>
      <c r="BK22" s="256">
        <f t="shared" si="12"/>
        <v>0</v>
      </c>
      <c r="BL22" s="262">
        <f t="shared" si="13"/>
        <v>0</v>
      </c>
      <c r="BM22" s="257">
        <f t="shared" si="5"/>
        <v>28570.600000000002</v>
      </c>
      <c r="BO22" s="714">
        <f t="shared" si="6"/>
        <v>35.263638607751176</v>
      </c>
    </row>
    <row r="23" spans="2:67" ht="15" customHeight="1" x14ac:dyDescent="0.25">
      <c r="B23" s="156">
        <f t="shared" si="14"/>
        <v>5</v>
      </c>
      <c r="C23" s="180" t="s">
        <v>51</v>
      </c>
      <c r="D23" s="181" t="s">
        <v>51</v>
      </c>
      <c r="E23" s="182" t="s">
        <v>52</v>
      </c>
      <c r="G23" s="850">
        <f>G18</f>
        <v>0</v>
      </c>
      <c r="H23" s="458"/>
      <c r="I23" s="465">
        <f>ROUND('TUoS (t-1)'!I23*$BT$131,4)</f>
        <v>4.4600000000000001E-2</v>
      </c>
      <c r="J23" s="465">
        <f>ROUND('TUoS (t-1)'!J23*$BT$131,4)</f>
        <v>1.7899999999999999E-2</v>
      </c>
      <c r="K23" s="466">
        <f>ROUND('TUoS (t-1)'!K23*$BT$131,4)</f>
        <v>8.8999999999999999E-3</v>
      </c>
      <c r="L23" s="414"/>
      <c r="M23" s="465">
        <f>ROUND('TUoS (t-1)'!M23*$BT$131,4)</f>
        <v>4.4600000000000001E-2</v>
      </c>
      <c r="N23" s="465">
        <f>ROUND('TUoS (t-1)'!N23*$BT$131,4)</f>
        <v>1.7899999999999999E-2</v>
      </c>
      <c r="O23" s="465">
        <f>ROUND('TUoS (t-1)'!O23*$BT$131,4)</f>
        <v>8.8999999999999999E-3</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1657.54</v>
      </c>
      <c r="AW23" s="178">
        <f t="shared" si="0"/>
        <v>205.59</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9"/>
        <v>0</v>
      </c>
      <c r="BI23" s="255">
        <f t="shared" si="10"/>
        <v>0</v>
      </c>
      <c r="BJ23" s="255">
        <f t="shared" si="11"/>
        <v>1863.1299999999999</v>
      </c>
      <c r="BK23" s="256">
        <f t="shared" si="12"/>
        <v>0</v>
      </c>
      <c r="BL23" s="262">
        <f t="shared" si="13"/>
        <v>0</v>
      </c>
      <c r="BM23" s="257">
        <f t="shared" si="5"/>
        <v>1863.1299999999999</v>
      </c>
      <c r="BO23" s="714">
        <f t="shared" si="6"/>
        <v>16.103111495246324</v>
      </c>
    </row>
    <row r="24" spans="2:67" ht="15" customHeight="1" x14ac:dyDescent="0.25">
      <c r="B24" s="156">
        <f t="shared" si="14"/>
        <v>6</v>
      </c>
      <c r="C24" s="180" t="s">
        <v>53</v>
      </c>
      <c r="D24" s="181" t="s">
        <v>53</v>
      </c>
      <c r="E24" s="182" t="s">
        <v>54</v>
      </c>
      <c r="G24" s="850">
        <f>G18</f>
        <v>0</v>
      </c>
      <c r="H24" s="458"/>
      <c r="I24" s="465">
        <f>ROUND('TUoS (t-1)'!I24*$BT$131,4)</f>
        <v>2.6700000000000002E-2</v>
      </c>
      <c r="J24" s="465">
        <f>ROUND('TUoS (t-1)'!J24*$BT$131,4)</f>
        <v>1.0699999999999999E-2</v>
      </c>
      <c r="K24" s="466">
        <f>ROUND('TUoS (t-1)'!K24*$BT$131,4)</f>
        <v>5.4000000000000003E-3</v>
      </c>
      <c r="L24" s="414"/>
      <c r="M24" s="414"/>
      <c r="N24" s="414"/>
      <c r="O24" s="415"/>
      <c r="P24" s="458"/>
      <c r="Q24" s="459"/>
      <c r="R24" s="460"/>
      <c r="S24" s="458"/>
      <c r="T24" s="459"/>
      <c r="U24" s="464">
        <f>ROUND('TUoS (t-1)'!U24*$BT$131,4)</f>
        <v>0.19839999999999999</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0</v>
      </c>
      <c r="AP24" s="175">
        <f t="shared" si="0"/>
        <v>0</v>
      </c>
      <c r="AQ24" s="178">
        <f t="shared" si="0"/>
        <v>12.015000000000001</v>
      </c>
      <c r="AR24" s="178">
        <f t="shared" si="0"/>
        <v>4.8149999999999995</v>
      </c>
      <c r="AS24" s="179">
        <f t="shared" si="0"/>
        <v>1.35</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88.564768000000001</v>
      </c>
      <c r="BD24" s="176">
        <f t="shared" si="1"/>
        <v>0</v>
      </c>
      <c r="BE24" s="244">
        <f t="shared" si="3"/>
        <v>1019</v>
      </c>
      <c r="BF24" s="245">
        <f t="shared" si="4"/>
        <v>1150</v>
      </c>
      <c r="BH24" s="255">
        <f t="shared" si="9"/>
        <v>0</v>
      </c>
      <c r="BI24" s="255">
        <f t="shared" si="10"/>
        <v>18.18</v>
      </c>
      <c r="BJ24" s="255">
        <f t="shared" si="11"/>
        <v>0</v>
      </c>
      <c r="BK24" s="256">
        <f t="shared" si="12"/>
        <v>0</v>
      </c>
      <c r="BL24" s="262">
        <f t="shared" si="13"/>
        <v>88.564768000000001</v>
      </c>
      <c r="BM24" s="257">
        <f t="shared" si="5"/>
        <v>106.74476799999999</v>
      </c>
      <c r="BO24" s="714"/>
    </row>
    <row r="25" spans="2:67" ht="15" customHeight="1" x14ac:dyDescent="0.25">
      <c r="B25" s="156">
        <f t="shared" si="14"/>
        <v>7</v>
      </c>
      <c r="C25" s="180" t="s">
        <v>55</v>
      </c>
      <c r="D25" s="181" t="s">
        <v>55</v>
      </c>
      <c r="E25" s="182" t="s">
        <v>56</v>
      </c>
      <c r="G25" s="850">
        <f>G18</f>
        <v>0</v>
      </c>
      <c r="H25" s="458"/>
      <c r="I25" s="465">
        <f>ROUND('TUoS (t-1)'!I25*$BT$131,4)</f>
        <v>2.6700000000000002E-2</v>
      </c>
      <c r="J25" s="465">
        <f>ROUND('TUoS (t-1)'!J25*$BT$131,4)</f>
        <v>1.0699999999999999E-2</v>
      </c>
      <c r="K25" s="466">
        <f>ROUND('TUoS (t-1)'!K25*$BT$131,4)</f>
        <v>5.4000000000000003E-3</v>
      </c>
      <c r="L25" s="414"/>
      <c r="M25" s="465">
        <f>ROUND('TUoS (t-1)'!M25*$BT$131,4)</f>
        <v>4.4600000000000001E-2</v>
      </c>
      <c r="N25" s="465">
        <f>ROUND('TUoS (t-1)'!N25*$BT$131,4)</f>
        <v>1.7899999999999999E-2</v>
      </c>
      <c r="O25" s="465">
        <f>ROUND('TUoS (t-1)'!O25*$BT$131,4)</f>
        <v>8.8999999999999999E-3</v>
      </c>
      <c r="P25" s="458"/>
      <c r="Q25" s="459"/>
      <c r="R25" s="460"/>
      <c r="S25" s="458"/>
      <c r="T25" s="459"/>
      <c r="U25" s="464">
        <f>ROUND('TUoS (t-1)'!U25*$BT$131,4)</f>
        <v>0.19839999999999999</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9"/>
        <v>0</v>
      </c>
      <c r="BI25" s="255">
        <f t="shared" si="10"/>
        <v>0</v>
      </c>
      <c r="BJ25" s="255">
        <f t="shared" si="11"/>
        <v>0</v>
      </c>
      <c r="BK25" s="256">
        <f t="shared" si="12"/>
        <v>0</v>
      </c>
      <c r="BL25" s="262">
        <f t="shared" si="13"/>
        <v>0</v>
      </c>
      <c r="BM25" s="257">
        <f t="shared" si="5"/>
        <v>0</v>
      </c>
      <c r="BO25" s="714"/>
    </row>
    <row r="26" spans="2:67" ht="15" customHeight="1" x14ac:dyDescent="0.25">
      <c r="B26" s="156">
        <f t="shared" si="14"/>
        <v>8</v>
      </c>
      <c r="C26" s="180" t="s">
        <v>699</v>
      </c>
      <c r="D26" s="181" t="str">
        <f>C26</f>
        <v>RTOU+TR</v>
      </c>
      <c r="E26" s="182" t="s">
        <v>701</v>
      </c>
      <c r="G26" s="862">
        <f>G18</f>
        <v>0</v>
      </c>
      <c r="H26" s="458"/>
      <c r="I26" s="851">
        <f>ROUND(3.2*H18,4)</f>
        <v>0.1139</v>
      </c>
      <c r="J26" s="851">
        <f>ROUND(H18*0.83,4)</f>
        <v>2.9499999999999998E-2</v>
      </c>
      <c r="K26" s="852">
        <f>ROUND(H18*0.15,4)</f>
        <v>5.3E-3</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G26*X26/1000</f>
        <v>0</v>
      </c>
      <c r="AP26" s="175">
        <f t="shared" ref="AP26:AW27" si="15">H26*Y26</f>
        <v>0</v>
      </c>
      <c r="AQ26" s="178">
        <f t="shared" si="15"/>
        <v>15.45623</v>
      </c>
      <c r="AR26" s="178">
        <f t="shared" si="15"/>
        <v>24.392074999999998</v>
      </c>
      <c r="AS26" s="179">
        <f t="shared" si="15"/>
        <v>0.99348500000000006</v>
      </c>
      <c r="AT26" s="185">
        <f t="shared" si="15"/>
        <v>0</v>
      </c>
      <c r="AU26" s="185">
        <f t="shared" si="15"/>
        <v>0</v>
      </c>
      <c r="AV26" s="185">
        <f t="shared" si="15"/>
        <v>0</v>
      </c>
      <c r="AW26" s="186">
        <f t="shared" si="15"/>
        <v>0</v>
      </c>
      <c r="AX26" s="175">
        <f t="shared" ref="AX26:BD27" si="16">P26*AG26/1000</f>
        <v>0</v>
      </c>
      <c r="AY26" s="176">
        <f t="shared" si="16"/>
        <v>0</v>
      </c>
      <c r="AZ26" s="177">
        <f t="shared" si="16"/>
        <v>0</v>
      </c>
      <c r="BA26" s="175">
        <f t="shared" si="16"/>
        <v>0</v>
      </c>
      <c r="BB26" s="176">
        <f t="shared" si="16"/>
        <v>0</v>
      </c>
      <c r="BC26" s="184">
        <f t="shared" si="16"/>
        <v>0</v>
      </c>
      <c r="BD26" s="176">
        <f t="shared" si="16"/>
        <v>0</v>
      </c>
      <c r="BE26" s="244">
        <f>X26/$BE$7</f>
        <v>1019</v>
      </c>
      <c r="BF26" s="245">
        <f>SUM(Y26:AF26)</f>
        <v>1150</v>
      </c>
      <c r="BH26" s="255">
        <f t="shared" si="9"/>
        <v>0</v>
      </c>
      <c r="BI26" s="255">
        <f t="shared" si="10"/>
        <v>40.841789999999996</v>
      </c>
      <c r="BJ26" s="255">
        <f t="shared" si="11"/>
        <v>0</v>
      </c>
      <c r="BK26" s="256">
        <f t="shared" si="12"/>
        <v>0</v>
      </c>
      <c r="BL26" s="262">
        <f t="shared" si="13"/>
        <v>0</v>
      </c>
      <c r="BM26" s="257">
        <f>SUM(BH26:BL26)</f>
        <v>40.841789999999996</v>
      </c>
      <c r="BO26" s="714"/>
    </row>
    <row r="27" spans="2:67" ht="15" customHeight="1" x14ac:dyDescent="0.25">
      <c r="B27" s="162">
        <f t="shared" si="14"/>
        <v>9</v>
      </c>
      <c r="C27" s="187" t="s">
        <v>700</v>
      </c>
      <c r="D27" s="188" t="str">
        <f>C27</f>
        <v>RTOU+CLTR</v>
      </c>
      <c r="E27" s="189" t="s">
        <v>702</v>
      </c>
      <c r="G27" s="879">
        <f>G18</f>
        <v>0</v>
      </c>
      <c r="H27" s="468"/>
      <c r="I27" s="853">
        <f>I26</f>
        <v>0.1139</v>
      </c>
      <c r="J27" s="853">
        <f>J26</f>
        <v>2.9499999999999998E-2</v>
      </c>
      <c r="K27" s="854">
        <f>K26</f>
        <v>5.3E-3</v>
      </c>
      <c r="L27" s="416"/>
      <c r="M27" s="853">
        <f>M23</f>
        <v>4.4600000000000001E-2</v>
      </c>
      <c r="N27" s="853">
        <f>N23</f>
        <v>1.7899999999999999E-2</v>
      </c>
      <c r="O27" s="854">
        <f>O23</f>
        <v>8.8999999999999999E-3</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G27*X27/1000</f>
        <v>0</v>
      </c>
      <c r="AP27" s="191">
        <f t="shared" si="15"/>
        <v>0</v>
      </c>
      <c r="AQ27" s="192">
        <f t="shared" si="15"/>
        <v>0</v>
      </c>
      <c r="AR27" s="192">
        <f t="shared" si="15"/>
        <v>0</v>
      </c>
      <c r="AS27" s="193">
        <f t="shared" si="15"/>
        <v>0</v>
      </c>
      <c r="AT27" s="194">
        <f t="shared" si="15"/>
        <v>0</v>
      </c>
      <c r="AU27" s="192">
        <f t="shared" si="15"/>
        <v>0</v>
      </c>
      <c r="AV27" s="192">
        <f t="shared" si="15"/>
        <v>0</v>
      </c>
      <c r="AW27" s="192">
        <f t="shared" si="15"/>
        <v>0</v>
      </c>
      <c r="AX27" s="191">
        <f t="shared" si="16"/>
        <v>0</v>
      </c>
      <c r="AY27" s="195">
        <f t="shared" si="16"/>
        <v>0</v>
      </c>
      <c r="AZ27" s="196">
        <f t="shared" si="16"/>
        <v>0</v>
      </c>
      <c r="BA27" s="191">
        <f t="shared" si="16"/>
        <v>0</v>
      </c>
      <c r="BB27" s="195">
        <f t="shared" si="16"/>
        <v>0</v>
      </c>
      <c r="BC27" s="197">
        <f t="shared" si="16"/>
        <v>0</v>
      </c>
      <c r="BD27" s="195">
        <f t="shared" si="16"/>
        <v>0</v>
      </c>
      <c r="BE27" s="246">
        <f>X27/$BE$7</f>
        <v>0</v>
      </c>
      <c r="BF27" s="247">
        <f>SUM(Y27:AF27)</f>
        <v>0</v>
      </c>
      <c r="BH27" s="255">
        <f t="shared" si="9"/>
        <v>0</v>
      </c>
      <c r="BI27" s="255">
        <f t="shared" si="10"/>
        <v>0</v>
      </c>
      <c r="BJ27" s="255">
        <f t="shared" si="11"/>
        <v>0</v>
      </c>
      <c r="BK27" s="256">
        <f t="shared" si="12"/>
        <v>0</v>
      </c>
      <c r="BL27" s="262">
        <f t="shared" si="13"/>
        <v>0</v>
      </c>
      <c r="BM27" s="257">
        <f>SUM(BH27:BL27)</f>
        <v>0</v>
      </c>
      <c r="BO27" s="714"/>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f>'Q (t)'!G28</f>
        <v>0</v>
      </c>
      <c r="Y28" s="169">
        <f>'Q (t)'!H28</f>
        <v>0</v>
      </c>
      <c r="Z28" s="170">
        <f>'Q (t)'!I28</f>
        <v>0</v>
      </c>
      <c r="AA28" s="170">
        <f>'Q (t)'!J28</f>
        <v>0</v>
      </c>
      <c r="AB28" s="171">
        <f>'Q (t)'!K28</f>
        <v>0</v>
      </c>
      <c r="AC28" s="198">
        <f>'Q (t)'!L28</f>
        <v>0</v>
      </c>
      <c r="AD28" s="198">
        <f>'Q (t)'!M28</f>
        <v>0</v>
      </c>
      <c r="AE28" s="198">
        <f>'Q (t)'!N28</f>
        <v>0</v>
      </c>
      <c r="AF28" s="199">
        <f>'Q (t)'!O28</f>
        <v>0</v>
      </c>
      <c r="AG28" s="170">
        <f>'Q (t)'!P28</f>
        <v>0</v>
      </c>
      <c r="AH28" s="170">
        <f>'Q (t)'!Q28</f>
        <v>0</v>
      </c>
      <c r="AI28" s="171">
        <f>'Q (t)'!R28</f>
        <v>0</v>
      </c>
      <c r="AJ28" s="169">
        <f>'Q (t)'!S28</f>
        <v>0</v>
      </c>
      <c r="AK28" s="170">
        <f>'Q (t)'!T28</f>
        <v>0</v>
      </c>
      <c r="AL28" s="169">
        <f>'Q (t)'!U28</f>
        <v>0</v>
      </c>
      <c r="AM28" s="171">
        <f>'Q (t)'!V28</f>
        <v>0</v>
      </c>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0</v>
      </c>
      <c r="BI28" s="253">
        <f>SUBTOTAL(9,BI29:BI41)</f>
        <v>45281.15</v>
      </c>
      <c r="BJ28" s="253">
        <f>SUBTOTAL(9,BJ29:BJ41)</f>
        <v>107.39999999999999</v>
      </c>
      <c r="BK28" s="253">
        <f>SUBTOTAL(9,BK29:BK41)</f>
        <v>209.51785130000002</v>
      </c>
      <c r="BL28" s="253">
        <f>SUBTOTAL(9,BL29:BL41)</f>
        <v>0</v>
      </c>
      <c r="BM28" s="257">
        <f t="shared" si="5"/>
        <v>45598.067851300002</v>
      </c>
      <c r="BO28" s="714" t="str">
        <f t="shared" si="6"/>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f>'Q (t)'!G29</f>
        <v>0</v>
      </c>
      <c r="Y29" s="175">
        <f>'Q (t)'!H29</f>
        <v>0</v>
      </c>
      <c r="Z29" s="176">
        <f>'Q (t)'!I29</f>
        <v>0</v>
      </c>
      <c r="AA29" s="176">
        <f>'Q (t)'!J29</f>
        <v>0</v>
      </c>
      <c r="AB29" s="177">
        <f>'Q (t)'!K29</f>
        <v>0</v>
      </c>
      <c r="AC29" s="185">
        <f>'Q (t)'!L29</f>
        <v>0</v>
      </c>
      <c r="AD29" s="185">
        <f>'Q (t)'!M29</f>
        <v>0</v>
      </c>
      <c r="AE29" s="185">
        <f>'Q (t)'!N29</f>
        <v>0</v>
      </c>
      <c r="AF29" s="186">
        <f>'Q (t)'!O29</f>
        <v>0</v>
      </c>
      <c r="AG29" s="176">
        <f>'Q (t)'!P29</f>
        <v>0</v>
      </c>
      <c r="AH29" s="176">
        <f>'Q (t)'!Q29</f>
        <v>0</v>
      </c>
      <c r="AI29" s="177">
        <f>'Q (t)'!R29</f>
        <v>0</v>
      </c>
      <c r="AJ29" s="175">
        <f>'Q (t)'!S29</f>
        <v>0</v>
      </c>
      <c r="AK29" s="176">
        <f>'Q (t)'!T29</f>
        <v>0</v>
      </c>
      <c r="AL29" s="175">
        <f>'Q (t)'!U29</f>
        <v>0</v>
      </c>
      <c r="AM29" s="177">
        <f>'Q (t)'!V29</f>
        <v>0</v>
      </c>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2970</v>
      </c>
      <c r="BJ29" s="252">
        <f>SUBTOTAL(9,BJ30:BJ31)</f>
        <v>0</v>
      </c>
      <c r="BK29" s="260">
        <f>SUBTOTAL(9,BK30:BK31)</f>
        <v>0</v>
      </c>
      <c r="BL29" s="261">
        <f>SUBTOTAL(9,BL30:BL31)</f>
        <v>0</v>
      </c>
      <c r="BM29" s="257">
        <f t="shared" si="5"/>
        <v>2970</v>
      </c>
      <c r="BO29" s="714" t="str">
        <f t="shared" si="6"/>
        <v/>
      </c>
    </row>
    <row r="30" spans="2:67" ht="15" customHeight="1" x14ac:dyDescent="0.25">
      <c r="B30" s="156">
        <v>1</v>
      </c>
      <c r="C30" s="180" t="s">
        <v>60</v>
      </c>
      <c r="D30" s="181" t="str">
        <f>C30</f>
        <v>LVUU</v>
      </c>
      <c r="E30" s="200" t="s">
        <v>61</v>
      </c>
      <c r="G30" s="477"/>
      <c r="H30" s="863">
        <f>ROUND($H$33*0.687,4)</f>
        <v>2.75E-2</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2502.5</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2502.5</v>
      </c>
      <c r="BJ30" s="255">
        <f>SUM(AT30:AW30)</f>
        <v>0</v>
      </c>
      <c r="BK30" s="256">
        <f>SUM(AX30:BB30)</f>
        <v>0</v>
      </c>
      <c r="BL30" s="262">
        <f>SUM(BC30:BD30)</f>
        <v>0</v>
      </c>
      <c r="BM30" s="257">
        <f t="shared" si="5"/>
        <v>2502.5</v>
      </c>
      <c r="BO30" s="714">
        <f t="shared" si="6"/>
        <v>27.5</v>
      </c>
    </row>
    <row r="31" spans="2:67" ht="15" customHeight="1" x14ac:dyDescent="0.25">
      <c r="B31" s="156">
        <f t="shared" ref="B31:B41" si="17">B30+1</f>
        <v>2</v>
      </c>
      <c r="C31" s="180" t="s">
        <v>62</v>
      </c>
      <c r="D31" s="181" t="str">
        <f>C31</f>
        <v>LVUU24</v>
      </c>
      <c r="E31" s="200" t="s">
        <v>63</v>
      </c>
      <c r="G31" s="477"/>
      <c r="H31" s="863">
        <f>ROUND($H$33*0.687,4)</f>
        <v>2.75E-2</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467.5</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467.5</v>
      </c>
      <c r="BJ31" s="255">
        <f>SUM(AT31:AW31)</f>
        <v>0</v>
      </c>
      <c r="BK31" s="256">
        <f>SUM(AX31:BB31)</f>
        <v>0</v>
      </c>
      <c r="BL31" s="262">
        <f>SUM(BC31:BD31)</f>
        <v>0</v>
      </c>
      <c r="BM31" s="257">
        <f t="shared" si="5"/>
        <v>467.5</v>
      </c>
      <c r="BO31" s="714">
        <f t="shared" si="6"/>
        <v>27.5</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0</v>
      </c>
      <c r="BI32" s="252">
        <f>SUBTOTAL(9,BI33:BI37)</f>
        <v>23588.57</v>
      </c>
      <c r="BJ32" s="252">
        <f>SUBTOTAL(9,BJ33:BJ37)</f>
        <v>107.39999999999999</v>
      </c>
      <c r="BK32" s="252">
        <f>SUBTOTAL(9,BK33:BK37)</f>
        <v>0</v>
      </c>
      <c r="BL32" s="252">
        <f>SUBTOTAL(9,BL33:BL37)</f>
        <v>0</v>
      </c>
      <c r="BM32" s="257">
        <f t="shared" si="5"/>
        <v>23695.97</v>
      </c>
      <c r="BO32" s="714" t="str">
        <f t="shared" si="6"/>
        <v/>
      </c>
    </row>
    <row r="33" spans="2:67" ht="15" customHeight="1" x14ac:dyDescent="0.25">
      <c r="B33" s="156">
        <f>B31+1</f>
        <v>3</v>
      </c>
      <c r="C33" s="180" t="s">
        <v>65</v>
      </c>
      <c r="D33" s="181" t="str">
        <f>C33</f>
        <v>BSR</v>
      </c>
      <c r="E33" s="200" t="s">
        <v>66</v>
      </c>
      <c r="G33" s="850">
        <f>ROUND('[15]2020-25 Pricing Schedule'!$K$27/Days_Year,4)</f>
        <v>0</v>
      </c>
      <c r="H33" s="478">
        <f>ROUND('TUoS (t-1)'!H33*$BT$132,4)</f>
        <v>0.04</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0</v>
      </c>
      <c r="AP33" s="184">
        <f t="shared" si="0"/>
        <v>12888</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0</v>
      </c>
      <c r="BI33" s="255">
        <f>SUM(AP33:AS33)</f>
        <v>12888</v>
      </c>
      <c r="BJ33" s="255">
        <f>SUM(AT33:AW33)</f>
        <v>0</v>
      </c>
      <c r="BK33" s="256">
        <f>SUM(AX33:BB33)</f>
        <v>0</v>
      </c>
      <c r="BL33" s="262">
        <f>SUM(BC33:BD33)</f>
        <v>0</v>
      </c>
      <c r="BM33" s="257">
        <f t="shared" si="5"/>
        <v>12888</v>
      </c>
      <c r="BO33" s="714">
        <f t="shared" si="6"/>
        <v>40</v>
      </c>
    </row>
    <row r="34" spans="2:67" ht="15" customHeight="1" x14ac:dyDescent="0.25">
      <c r="B34" s="156">
        <f t="shared" si="17"/>
        <v>4</v>
      </c>
      <c r="C34" s="180" t="s">
        <v>67</v>
      </c>
      <c r="D34" s="181" t="str">
        <f>C34</f>
        <v>BSRCL</v>
      </c>
      <c r="E34" s="200" t="s">
        <v>68</v>
      </c>
      <c r="G34" s="850">
        <f>G33</f>
        <v>0</v>
      </c>
      <c r="H34" s="478">
        <f>ROUND('TUoS (t-1)'!H34*$BT$132,4)</f>
        <v>0.04</v>
      </c>
      <c r="I34" s="461"/>
      <c r="J34" s="461"/>
      <c r="K34" s="462"/>
      <c r="L34" s="483">
        <f>L19</f>
        <v>1.7899999999999999E-2</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53.699999999999996</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53.699999999999996</v>
      </c>
      <c r="BK34" s="256">
        <f>SUM(AX34:BB34)</f>
        <v>0</v>
      </c>
      <c r="BL34" s="262">
        <f>SUM(BC34:BD34)</f>
        <v>0</v>
      </c>
      <c r="BM34" s="257">
        <f t="shared" si="5"/>
        <v>53.699999999999996</v>
      </c>
      <c r="BO34" s="714">
        <f t="shared" si="6"/>
        <v>17.899999999999999</v>
      </c>
    </row>
    <row r="35" spans="2:67" ht="15" customHeight="1" x14ac:dyDescent="0.25">
      <c r="B35" s="156">
        <f t="shared" si="17"/>
        <v>5</v>
      </c>
      <c r="C35" s="180" t="s">
        <v>69</v>
      </c>
      <c r="D35" s="181" t="str">
        <f>C35</f>
        <v>B2R</v>
      </c>
      <c r="E35" s="200" t="s">
        <v>70</v>
      </c>
      <c r="G35" s="850">
        <f>G33</f>
        <v>0</v>
      </c>
      <c r="H35" s="479"/>
      <c r="I35" s="465">
        <f>ROUND('TUoS (t-1)'!I35*$BT$132,4)</f>
        <v>4.5100000000000001E-2</v>
      </c>
      <c r="J35" s="461"/>
      <c r="K35" s="466">
        <f>ROUND('TUoS (t-1)'!K35*$BT$132,4)</f>
        <v>2.2599999999999999E-2</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0</v>
      </c>
      <c r="AP35" s="184">
        <f t="shared" si="0"/>
        <v>0</v>
      </c>
      <c r="AQ35" s="178">
        <f t="shared" si="0"/>
        <v>7373.85</v>
      </c>
      <c r="AR35" s="178">
        <f t="shared" si="0"/>
        <v>0</v>
      </c>
      <c r="AS35" s="179">
        <f t="shared" si="0"/>
        <v>3326.72</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0</v>
      </c>
      <c r="BI35" s="255">
        <f>SUM(AP35:AS35)</f>
        <v>10700.57</v>
      </c>
      <c r="BJ35" s="255">
        <f>SUM(AT35:AW35)</f>
        <v>0</v>
      </c>
      <c r="BK35" s="256">
        <f>SUM(AX35:BB35)</f>
        <v>0</v>
      </c>
      <c r="BL35" s="262">
        <f>SUM(BC35:BD35)</f>
        <v>0</v>
      </c>
      <c r="BM35" s="257">
        <f t="shared" si="5"/>
        <v>10700.57</v>
      </c>
      <c r="BO35" s="714">
        <f t="shared" si="6"/>
        <v>34.440199549404568</v>
      </c>
    </row>
    <row r="36" spans="2:67" ht="15" customHeight="1" x14ac:dyDescent="0.25">
      <c r="B36" s="156">
        <f t="shared" si="17"/>
        <v>6</v>
      </c>
      <c r="C36" s="180" t="s">
        <v>71</v>
      </c>
      <c r="D36" s="181" t="str">
        <f>C36</f>
        <v>B2RCL</v>
      </c>
      <c r="E36" s="200" t="s">
        <v>72</v>
      </c>
      <c r="G36" s="850">
        <f>G33</f>
        <v>0</v>
      </c>
      <c r="H36" s="479"/>
      <c r="I36" s="465">
        <f>ROUND('TUoS (t-1)'!I36*$BT$132,4)</f>
        <v>4.5100000000000001E-2</v>
      </c>
      <c r="J36" s="461"/>
      <c r="K36" s="466">
        <f>ROUND('TUoS (t-1)'!K36*$BT$132,4)</f>
        <v>2.2599999999999999E-2</v>
      </c>
      <c r="L36" s="483">
        <f>L19</f>
        <v>1.7899999999999999E-2</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53" si="18">H36*Y36</f>
        <v>0</v>
      </c>
      <c r="AQ36" s="178">
        <f t="shared" si="18"/>
        <v>0</v>
      </c>
      <c r="AR36" s="178">
        <f t="shared" si="18"/>
        <v>0</v>
      </c>
      <c r="AS36" s="179">
        <f t="shared" si="18"/>
        <v>0</v>
      </c>
      <c r="AT36" s="178">
        <f t="shared" si="18"/>
        <v>53.699999999999996</v>
      </c>
      <c r="AU36" s="178">
        <f t="shared" si="18"/>
        <v>0</v>
      </c>
      <c r="AV36" s="178">
        <f t="shared" si="18"/>
        <v>0</v>
      </c>
      <c r="AW36" s="179">
        <f t="shared" si="18"/>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53.699999999999996</v>
      </c>
      <c r="BK36" s="256">
        <f>SUM(AX36:BB36)</f>
        <v>0</v>
      </c>
      <c r="BL36" s="262">
        <f>SUM(BC36:BD36)</f>
        <v>0</v>
      </c>
      <c r="BM36" s="257">
        <f t="shared" si="5"/>
        <v>53.699999999999996</v>
      </c>
      <c r="BO36" s="714">
        <f t="shared" si="6"/>
        <v>17.899999999999999</v>
      </c>
    </row>
    <row r="37" spans="2:67" ht="15" customHeight="1" x14ac:dyDescent="0.25">
      <c r="B37" s="156">
        <f t="shared" si="17"/>
        <v>7</v>
      </c>
      <c r="C37" s="180" t="s">
        <v>73</v>
      </c>
      <c r="D37" s="181" t="str">
        <f>C37</f>
        <v>BCL</v>
      </c>
      <c r="E37" s="200" t="s">
        <v>74</v>
      </c>
      <c r="G37" s="477">
        <v>0</v>
      </c>
      <c r="H37" s="479"/>
      <c r="I37" s="461"/>
      <c r="J37" s="461"/>
      <c r="K37" s="462"/>
      <c r="L37" s="483">
        <f>L19</f>
        <v>1.7899999999999999E-2</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8"/>
        <v>0</v>
      </c>
      <c r="AQ37" s="178">
        <f t="shared" si="18"/>
        <v>0</v>
      </c>
      <c r="AR37" s="178">
        <f t="shared" si="18"/>
        <v>0</v>
      </c>
      <c r="AS37" s="179">
        <f t="shared" si="18"/>
        <v>0</v>
      </c>
      <c r="AT37" s="178">
        <f t="shared" si="18"/>
        <v>0</v>
      </c>
      <c r="AU37" s="178">
        <f t="shared" si="18"/>
        <v>0</v>
      </c>
      <c r="AV37" s="178">
        <f t="shared" si="18"/>
        <v>0</v>
      </c>
      <c r="AW37" s="179">
        <f t="shared" si="18"/>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8"/>
        <v>0</v>
      </c>
      <c r="AQ38" s="178">
        <f t="shared" si="18"/>
        <v>0</v>
      </c>
      <c r="AR38" s="178">
        <f t="shared" si="18"/>
        <v>0</v>
      </c>
      <c r="AS38" s="179">
        <f t="shared" si="18"/>
        <v>0</v>
      </c>
      <c r="AT38" s="178">
        <f t="shared" si="18"/>
        <v>0</v>
      </c>
      <c r="AU38" s="178">
        <f t="shared" si="18"/>
        <v>0</v>
      </c>
      <c r="AV38" s="178">
        <f t="shared" si="18"/>
        <v>0</v>
      </c>
      <c r="AW38" s="179">
        <f t="shared" si="18"/>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0</v>
      </c>
      <c r="BI38" s="252">
        <f>SUBTOTAL(9,BI39:BI41)</f>
        <v>18722.579999999998</v>
      </c>
      <c r="BJ38" s="252">
        <f>SUBTOTAL(9,BJ39:BJ41)</f>
        <v>0</v>
      </c>
      <c r="BK38" s="252">
        <f>SUBTOTAL(9,BK39:BK41)</f>
        <v>209.51785130000002</v>
      </c>
      <c r="BL38" s="252">
        <f>SUBTOTAL(9,BL39:BL41)</f>
        <v>0</v>
      </c>
      <c r="BM38" s="257">
        <f t="shared" si="5"/>
        <v>18932.097851299997</v>
      </c>
      <c r="BO38" s="714" t="str">
        <f t="shared" si="6"/>
        <v/>
      </c>
    </row>
    <row r="39" spans="2:67" ht="15" customHeight="1" x14ac:dyDescent="0.25">
      <c r="B39" s="156">
        <f>B37+1</f>
        <v>8</v>
      </c>
      <c r="C39" s="180" t="s">
        <v>76</v>
      </c>
      <c r="D39" s="181" t="str">
        <f>C39</f>
        <v>SBTOU</v>
      </c>
      <c r="E39" s="200" t="s">
        <v>77</v>
      </c>
      <c r="G39" s="850">
        <f>G33</f>
        <v>0</v>
      </c>
      <c r="H39" s="479"/>
      <c r="I39" s="483">
        <f>ROUND('TUoS (t-1)'!I39*$BT$132,4)</f>
        <v>0.06</v>
      </c>
      <c r="J39" s="483">
        <f>ROUND('TUoS (t-1)'!J39*$BT$132,4)</f>
        <v>4.1799999999999997E-2</v>
      </c>
      <c r="K39" s="484">
        <f>ROUND('TUoS (t-1)'!K39*$BT$132,4)</f>
        <v>2.2599999999999999E-2</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0</v>
      </c>
      <c r="AP39" s="184">
        <f t="shared" si="18"/>
        <v>0</v>
      </c>
      <c r="AQ39" s="178">
        <f t="shared" si="18"/>
        <v>1944</v>
      </c>
      <c r="AR39" s="178">
        <f t="shared" si="18"/>
        <v>9676.6999999999989</v>
      </c>
      <c r="AS39" s="179">
        <f t="shared" si="18"/>
        <v>4619.4399999999996</v>
      </c>
      <c r="AT39" s="178">
        <f t="shared" si="18"/>
        <v>0</v>
      </c>
      <c r="AU39" s="178">
        <f t="shared" si="18"/>
        <v>0</v>
      </c>
      <c r="AV39" s="178">
        <f t="shared" si="18"/>
        <v>0</v>
      </c>
      <c r="AW39" s="179">
        <f t="shared" si="18"/>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0</v>
      </c>
      <c r="BI39" s="255">
        <f>SUM(AP39:AS39)</f>
        <v>16240.14</v>
      </c>
      <c r="BJ39" s="255">
        <f>SUM(AT39:AW39)</f>
        <v>0</v>
      </c>
      <c r="BK39" s="256">
        <f>SUM(AX39:BB39)</f>
        <v>0</v>
      </c>
      <c r="BL39" s="262">
        <f>SUM(BC39:BD39)</f>
        <v>0</v>
      </c>
      <c r="BM39" s="257">
        <f t="shared" si="5"/>
        <v>16240.14</v>
      </c>
      <c r="BO39" s="714">
        <f t="shared" si="6"/>
        <v>34.678923766816141</v>
      </c>
    </row>
    <row r="40" spans="2:67" ht="15" customHeight="1" x14ac:dyDescent="0.25">
      <c r="B40" s="156">
        <f t="shared" si="17"/>
        <v>9</v>
      </c>
      <c r="C40" s="180" t="s">
        <v>78</v>
      </c>
      <c r="D40" s="181" t="str">
        <f>C40</f>
        <v>SBTOUD</v>
      </c>
      <c r="E40" s="200" t="s">
        <v>79</v>
      </c>
      <c r="G40" s="850">
        <f>G33</f>
        <v>0</v>
      </c>
      <c r="H40" s="479"/>
      <c r="I40" s="483">
        <f>ROUND('TUoS (t-1)'!I40*$BT$132,4)</f>
        <v>4.8000000000000001E-2</v>
      </c>
      <c r="J40" s="483">
        <f>ROUND('TUoS (t-1)'!J40*$BT$132,4)</f>
        <v>3.3399999999999999E-2</v>
      </c>
      <c r="K40" s="484">
        <f>ROUND('TUoS (t-1)'!K40*$BT$132,4)</f>
        <v>1.7999999999999999E-2</v>
      </c>
      <c r="L40" s="461"/>
      <c r="M40" s="461"/>
      <c r="N40" s="461"/>
      <c r="O40" s="462"/>
      <c r="P40" s="461"/>
      <c r="Q40" s="461"/>
      <c r="R40" s="462"/>
      <c r="S40" s="479"/>
      <c r="T40" s="483">
        <f>ROUND('TUoS (t-1)'!T40*$BT$132,4)</f>
        <v>0</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0</v>
      </c>
      <c r="AP40" s="184">
        <f t="shared" si="18"/>
        <v>0</v>
      </c>
      <c r="AQ40" s="178">
        <f t="shared" si="18"/>
        <v>225.6</v>
      </c>
      <c r="AR40" s="178">
        <f t="shared" si="18"/>
        <v>1362.72</v>
      </c>
      <c r="AS40" s="179">
        <f t="shared" si="18"/>
        <v>496.79999999999995</v>
      </c>
      <c r="AT40" s="178">
        <f t="shared" si="18"/>
        <v>0</v>
      </c>
      <c r="AU40" s="178">
        <f t="shared" si="18"/>
        <v>0</v>
      </c>
      <c r="AV40" s="178">
        <f t="shared" si="18"/>
        <v>0</v>
      </c>
      <c r="AW40" s="179">
        <f t="shared" si="18"/>
        <v>0</v>
      </c>
      <c r="AX40" s="178">
        <f t="shared" si="1"/>
        <v>0</v>
      </c>
      <c r="AY40" s="178">
        <f t="shared" si="1"/>
        <v>0</v>
      </c>
      <c r="AZ40" s="179">
        <f t="shared" si="1"/>
        <v>0</v>
      </c>
      <c r="BA40" s="184">
        <f t="shared" si="1"/>
        <v>0</v>
      </c>
      <c r="BB40" s="178">
        <f t="shared" si="1"/>
        <v>0</v>
      </c>
      <c r="BC40" s="184">
        <f t="shared" si="1"/>
        <v>0</v>
      </c>
      <c r="BD40" s="178">
        <f t="shared" si="1"/>
        <v>0</v>
      </c>
      <c r="BE40" s="244">
        <f t="shared" si="3"/>
        <v>1557</v>
      </c>
      <c r="BF40" s="245">
        <f t="shared" si="4"/>
        <v>73100</v>
      </c>
      <c r="BH40" s="255">
        <f>SUM(AO40)</f>
        <v>0</v>
      </c>
      <c r="BI40" s="255">
        <f>SUM(AP40:AS40)</f>
        <v>2085.12</v>
      </c>
      <c r="BJ40" s="255">
        <f>SUM(AT40:AW40)</f>
        <v>0</v>
      </c>
      <c r="BK40" s="256">
        <f>SUM(AX40:BB40)</f>
        <v>0</v>
      </c>
      <c r="BL40" s="262">
        <f>SUM(BC40:BD40)</f>
        <v>0</v>
      </c>
      <c r="BM40" s="257">
        <f t="shared" si="5"/>
        <v>2085.12</v>
      </c>
      <c r="BO40" s="714">
        <f t="shared" si="6"/>
        <v>28.524213406292748</v>
      </c>
    </row>
    <row r="41" spans="2:67" ht="15" customHeight="1" x14ac:dyDescent="0.25">
      <c r="B41" s="162">
        <f t="shared" si="17"/>
        <v>10</v>
      </c>
      <c r="C41" s="187" t="s">
        <v>80</v>
      </c>
      <c r="D41" s="188" t="str">
        <f>C41</f>
        <v>SBD</v>
      </c>
      <c r="E41" s="203" t="s">
        <v>81</v>
      </c>
      <c r="G41" s="855">
        <f>ROUND('[15]2020-25 Pricing Schedule'!$K$45/Days_Year,4)</f>
        <v>0</v>
      </c>
      <c r="H41" s="856">
        <f>'[15]2020-25 Pricing Schedule'!$K$48</f>
        <v>2.3100000000000002E-2</v>
      </c>
      <c r="I41" s="487"/>
      <c r="J41" s="487"/>
      <c r="K41" s="488"/>
      <c r="L41" s="487"/>
      <c r="M41" s="487"/>
      <c r="N41" s="487"/>
      <c r="O41" s="488"/>
      <c r="P41" s="487"/>
      <c r="Q41" s="857">
        <f>'TUoS (t-1)'!Q41</f>
        <v>8.6800000000000002E-2</v>
      </c>
      <c r="R41" s="858">
        <f>'TUoS (t-1)'!R41</f>
        <v>4.2900000000000001E-2</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0</v>
      </c>
      <c r="AP41" s="197">
        <f t="shared" si="18"/>
        <v>397.32000000000005</v>
      </c>
      <c r="AQ41" s="192">
        <f t="shared" si="18"/>
        <v>0</v>
      </c>
      <c r="AR41" s="192">
        <f t="shared" si="18"/>
        <v>0</v>
      </c>
      <c r="AS41" s="193">
        <f t="shared" si="18"/>
        <v>0</v>
      </c>
      <c r="AT41" s="192">
        <f t="shared" si="18"/>
        <v>0</v>
      </c>
      <c r="AU41" s="192">
        <f t="shared" si="18"/>
        <v>0</v>
      </c>
      <c r="AV41" s="192">
        <f t="shared" si="18"/>
        <v>0</v>
      </c>
      <c r="AW41" s="193">
        <f t="shared" si="18"/>
        <v>0</v>
      </c>
      <c r="AX41" s="192">
        <f t="shared" si="1"/>
        <v>0</v>
      </c>
      <c r="AY41" s="192">
        <f t="shared" si="1"/>
        <v>92.940318800000014</v>
      </c>
      <c r="AZ41" s="193">
        <f t="shared" si="1"/>
        <v>116.5775325</v>
      </c>
      <c r="BA41" s="197">
        <f t="shared" si="1"/>
        <v>0</v>
      </c>
      <c r="BB41" s="192">
        <f t="shared" si="1"/>
        <v>0</v>
      </c>
      <c r="BC41" s="197">
        <f t="shared" si="1"/>
        <v>0</v>
      </c>
      <c r="BD41" s="192">
        <f t="shared" si="1"/>
        <v>0</v>
      </c>
      <c r="BE41" s="246">
        <f t="shared" si="3"/>
        <v>688</v>
      </c>
      <c r="BF41" s="247">
        <f t="shared" si="4"/>
        <v>17200</v>
      </c>
      <c r="BH41" s="255">
        <f>SUM(AO41)</f>
        <v>0</v>
      </c>
      <c r="BI41" s="255">
        <f>SUM(AP41:AS41)</f>
        <v>397.32000000000005</v>
      </c>
      <c r="BJ41" s="255">
        <f>SUM(AT41:AW41)</f>
        <v>0</v>
      </c>
      <c r="BK41" s="256">
        <f>SUM(AX41:BB41)</f>
        <v>209.51785130000002</v>
      </c>
      <c r="BL41" s="262">
        <f>SUM(BC41:BD41)</f>
        <v>0</v>
      </c>
      <c r="BM41" s="257">
        <f t="shared" si="5"/>
        <v>606.83785130000001</v>
      </c>
      <c r="BO41" s="714">
        <f t="shared" si="6"/>
        <v>35.281270424418601</v>
      </c>
    </row>
    <row r="42" spans="2:67" ht="15" customHeight="1" x14ac:dyDescent="0.25">
      <c r="B42" s="30" t="s">
        <v>82</v>
      </c>
      <c r="C42" s="14" t="s">
        <v>83</v>
      </c>
      <c r="D42" s="14"/>
      <c r="E42" s="99"/>
      <c r="G42" s="494"/>
      <c r="H42" s="495"/>
      <c r="I42" s="496"/>
      <c r="J42" s="496"/>
      <c r="K42" s="497"/>
      <c r="L42" s="496"/>
      <c r="M42" s="496"/>
      <c r="N42" s="496"/>
      <c r="O42" s="497"/>
      <c r="P42" s="496"/>
      <c r="Q42" s="496"/>
      <c r="R42" s="497"/>
      <c r="S42" s="495"/>
      <c r="T42" s="496"/>
      <c r="U42" s="495"/>
      <c r="V42" s="497"/>
      <c r="X42" s="205">
        <f>'Q (t)'!G42</f>
        <v>0</v>
      </c>
      <c r="Y42" s="206">
        <f>'Q (t)'!H42</f>
        <v>0</v>
      </c>
      <c r="Z42" s="207">
        <f>'Q (t)'!I42</f>
        <v>0</v>
      </c>
      <c r="AA42" s="207">
        <f>'Q (t)'!J42</f>
        <v>0</v>
      </c>
      <c r="AB42" s="208">
        <f>'Q (t)'!K42</f>
        <v>0</v>
      </c>
      <c r="AC42" s="207">
        <f>'Q (t)'!L42</f>
        <v>0</v>
      </c>
      <c r="AD42" s="207">
        <f>'Q (t)'!M42</f>
        <v>0</v>
      </c>
      <c r="AE42" s="207">
        <f>'Q (t)'!N42</f>
        <v>0</v>
      </c>
      <c r="AF42" s="208">
        <f>'Q (t)'!O42</f>
        <v>0</v>
      </c>
      <c r="AG42" s="207">
        <f>'Q (t)'!P42</f>
        <v>0</v>
      </c>
      <c r="AH42" s="207">
        <f>'Q (t)'!Q42</f>
        <v>0</v>
      </c>
      <c r="AI42" s="208">
        <f>'Q (t)'!R42</f>
        <v>0</v>
      </c>
      <c r="AJ42" s="206">
        <f>'Q (t)'!S42</f>
        <v>0</v>
      </c>
      <c r="AK42" s="207">
        <f>'Q (t)'!T42</f>
        <v>0</v>
      </c>
      <c r="AL42" s="206">
        <f>'Q (t)'!U42</f>
        <v>0</v>
      </c>
      <c r="AM42" s="208">
        <f>'Q (t)'!V42</f>
        <v>0</v>
      </c>
      <c r="AO42" s="205">
        <f t="shared" si="2"/>
        <v>0</v>
      </c>
      <c r="AP42" s="206">
        <f t="shared" si="18"/>
        <v>0</v>
      </c>
      <c r="AQ42" s="207">
        <f t="shared" si="18"/>
        <v>0</v>
      </c>
      <c r="AR42" s="207">
        <f t="shared" si="18"/>
        <v>0</v>
      </c>
      <c r="AS42" s="208">
        <f t="shared" si="18"/>
        <v>0</v>
      </c>
      <c r="AT42" s="207">
        <f t="shared" si="18"/>
        <v>0</v>
      </c>
      <c r="AU42" s="207">
        <f t="shared" si="18"/>
        <v>0</v>
      </c>
      <c r="AV42" s="207">
        <f t="shared" si="18"/>
        <v>0</v>
      </c>
      <c r="AW42" s="208">
        <f t="shared" si="18"/>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0</v>
      </c>
      <c r="BI42" s="253">
        <f>SUBTOTAL(9,BI43:BI69)</f>
        <v>40917.045600000005</v>
      </c>
      <c r="BJ42" s="253">
        <f>SUBTOTAL(9,BJ43:BJ69)</f>
        <v>0</v>
      </c>
      <c r="BK42" s="253">
        <f>SUBTOTAL(9,BK43:BK69)</f>
        <v>28592.361725400002</v>
      </c>
      <c r="BL42" s="253">
        <f>SUBTOTAL(9,BL43:BL69)</f>
        <v>0</v>
      </c>
      <c r="BM42" s="257">
        <f t="shared" si="5"/>
        <v>69509.40732540001</v>
      </c>
      <c r="BO42" s="714" t="str">
        <f t="shared" si="6"/>
        <v/>
      </c>
    </row>
    <row r="43" spans="2:67" ht="15" customHeight="1" x14ac:dyDescent="0.25">
      <c r="B43" s="19"/>
      <c r="C43" s="36" t="s">
        <v>84</v>
      </c>
      <c r="D43" s="37"/>
      <c r="E43" s="85"/>
      <c r="G43" s="482"/>
      <c r="H43" s="479"/>
      <c r="I43" s="461"/>
      <c r="J43" s="461"/>
      <c r="K43" s="462"/>
      <c r="L43" s="461"/>
      <c r="M43" s="461"/>
      <c r="N43" s="461"/>
      <c r="O43" s="462"/>
      <c r="P43" s="461"/>
      <c r="Q43" s="461"/>
      <c r="R43" s="462"/>
      <c r="S43" s="479"/>
      <c r="T43" s="461"/>
      <c r="U43" s="479"/>
      <c r="V43" s="462"/>
      <c r="X43" s="183">
        <f>'Q (t)'!G43</f>
        <v>0</v>
      </c>
      <c r="Y43" s="184">
        <f>'Q (t)'!H43</f>
        <v>0</v>
      </c>
      <c r="Z43" s="178">
        <f>'Q (t)'!I43</f>
        <v>0</v>
      </c>
      <c r="AA43" s="178">
        <f>'Q (t)'!J43</f>
        <v>0</v>
      </c>
      <c r="AB43" s="179">
        <f>'Q (t)'!K43</f>
        <v>0</v>
      </c>
      <c r="AC43" s="178">
        <f>'Q (t)'!L43</f>
        <v>0</v>
      </c>
      <c r="AD43" s="178">
        <f>'Q (t)'!M43</f>
        <v>0</v>
      </c>
      <c r="AE43" s="178">
        <f>'Q (t)'!N43</f>
        <v>0</v>
      </c>
      <c r="AF43" s="179">
        <f>'Q (t)'!O43</f>
        <v>0</v>
      </c>
      <c r="AG43" s="178">
        <f>'Q (t)'!P43</f>
        <v>0</v>
      </c>
      <c r="AH43" s="178">
        <f>'Q (t)'!Q43</f>
        <v>0</v>
      </c>
      <c r="AI43" s="179">
        <f>'Q (t)'!R43</f>
        <v>0</v>
      </c>
      <c r="AJ43" s="184">
        <f>'Q (t)'!S43</f>
        <v>0</v>
      </c>
      <c r="AK43" s="178">
        <f>'Q (t)'!T43</f>
        <v>0</v>
      </c>
      <c r="AL43" s="184">
        <f>'Q (t)'!U43</f>
        <v>0</v>
      </c>
      <c r="AM43" s="179">
        <f>'Q (t)'!V43</f>
        <v>0</v>
      </c>
      <c r="AO43" s="183">
        <f t="shared" si="2"/>
        <v>0</v>
      </c>
      <c r="AP43" s="184">
        <f t="shared" si="18"/>
        <v>0</v>
      </c>
      <c r="AQ43" s="178">
        <f t="shared" si="18"/>
        <v>0</v>
      </c>
      <c r="AR43" s="178">
        <f t="shared" si="18"/>
        <v>0</v>
      </c>
      <c r="AS43" s="179">
        <f t="shared" si="18"/>
        <v>0</v>
      </c>
      <c r="AT43" s="178">
        <f t="shared" si="18"/>
        <v>0</v>
      </c>
      <c r="AU43" s="178">
        <f t="shared" si="18"/>
        <v>0</v>
      </c>
      <c r="AV43" s="178">
        <f t="shared" si="18"/>
        <v>0</v>
      </c>
      <c r="AW43" s="179">
        <f t="shared" si="18"/>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9">B43+1</f>
        <v>1</v>
      </c>
      <c r="C44" s="44" t="s">
        <v>85</v>
      </c>
      <c r="D44" s="45" t="str">
        <f>C44</f>
        <v>LBSR</v>
      </c>
      <c r="E44" s="76" t="s">
        <v>86</v>
      </c>
      <c r="G44" s="850">
        <f>G33</f>
        <v>0</v>
      </c>
      <c r="H44" s="859">
        <f>ROUND(H33*1.2,4)</f>
        <v>4.8000000000000001E-2</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8"/>
        <v>0</v>
      </c>
      <c r="AQ44" s="178">
        <f t="shared" si="18"/>
        <v>0</v>
      </c>
      <c r="AR44" s="178">
        <f t="shared" si="18"/>
        <v>0</v>
      </c>
      <c r="AS44" s="179">
        <f t="shared" si="18"/>
        <v>0</v>
      </c>
      <c r="AT44" s="178">
        <f t="shared" si="18"/>
        <v>0</v>
      </c>
      <c r="AU44" s="178">
        <f t="shared" si="18"/>
        <v>0</v>
      </c>
      <c r="AV44" s="178">
        <f t="shared" si="18"/>
        <v>0</v>
      </c>
      <c r="AW44" s="179">
        <f t="shared" si="18"/>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9"/>
        <v>2</v>
      </c>
      <c r="C45" s="44" t="s">
        <v>87</v>
      </c>
      <c r="D45" s="45" t="str">
        <f>C45</f>
        <v>LBSRCL</v>
      </c>
      <c r="E45" s="76" t="s">
        <v>88</v>
      </c>
      <c r="G45" s="850">
        <f>G34</f>
        <v>0</v>
      </c>
      <c r="H45" s="859">
        <f>ROUND(H34*1.2,4)</f>
        <v>4.8000000000000001E-2</v>
      </c>
      <c r="I45" s="461"/>
      <c r="J45" s="461"/>
      <c r="K45" s="462"/>
      <c r="L45" s="483">
        <f>L19</f>
        <v>1.7899999999999999E-2</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8"/>
        <v>0</v>
      </c>
      <c r="AQ45" s="178">
        <f t="shared" si="18"/>
        <v>0</v>
      </c>
      <c r="AR45" s="178">
        <f t="shared" si="18"/>
        <v>0</v>
      </c>
      <c r="AS45" s="179">
        <f t="shared" si="18"/>
        <v>0</v>
      </c>
      <c r="AT45" s="178">
        <f t="shared" si="18"/>
        <v>0</v>
      </c>
      <c r="AU45" s="178">
        <f t="shared" si="18"/>
        <v>0</v>
      </c>
      <c r="AV45" s="178">
        <f t="shared" si="18"/>
        <v>0</v>
      </c>
      <c r="AW45" s="179">
        <f t="shared" si="18"/>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9"/>
        <v>3</v>
      </c>
      <c r="C46" s="44" t="s">
        <v>89</v>
      </c>
      <c r="D46" s="45" t="str">
        <f>C46</f>
        <v>LB2R</v>
      </c>
      <c r="E46" s="76" t="s">
        <v>90</v>
      </c>
      <c r="G46" s="850">
        <f>G35</f>
        <v>0</v>
      </c>
      <c r="H46" s="479"/>
      <c r="I46" s="860">
        <f>ROUND(I35*1.2,4)</f>
        <v>5.4100000000000002E-2</v>
      </c>
      <c r="J46" s="461"/>
      <c r="K46" s="861">
        <f>ROUND(K35*1.2,4)</f>
        <v>2.7099999999999999E-2</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8"/>
        <v>0</v>
      </c>
      <c r="AQ46" s="178">
        <f t="shared" si="18"/>
        <v>0</v>
      </c>
      <c r="AR46" s="178">
        <f t="shared" si="18"/>
        <v>0</v>
      </c>
      <c r="AS46" s="179">
        <f t="shared" si="18"/>
        <v>0</v>
      </c>
      <c r="AT46" s="178">
        <f t="shared" si="18"/>
        <v>0</v>
      </c>
      <c r="AU46" s="178">
        <f t="shared" si="18"/>
        <v>0</v>
      </c>
      <c r="AV46" s="178">
        <f t="shared" si="18"/>
        <v>0</v>
      </c>
      <c r="AW46" s="179">
        <f t="shared" si="18"/>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9"/>
        <v>4</v>
      </c>
      <c r="C47" s="44" t="s">
        <v>91</v>
      </c>
      <c r="D47" s="45" t="str">
        <f>C47</f>
        <v>LB2RCL</v>
      </c>
      <c r="E47" s="104" t="s">
        <v>92</v>
      </c>
      <c r="G47" s="850">
        <f>G36</f>
        <v>0</v>
      </c>
      <c r="H47" s="479"/>
      <c r="I47" s="860">
        <f>ROUND(I36*1.2,4)</f>
        <v>5.4100000000000002E-2</v>
      </c>
      <c r="J47" s="461"/>
      <c r="K47" s="861">
        <f>ROUND(K36*1.2,4)</f>
        <v>2.7099999999999999E-2</v>
      </c>
      <c r="L47" s="483">
        <f>L19</f>
        <v>1.7899999999999999E-2</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8"/>
        <v>0</v>
      </c>
      <c r="AQ47" s="178">
        <f t="shared" si="18"/>
        <v>0</v>
      </c>
      <c r="AR47" s="178">
        <f t="shared" si="18"/>
        <v>0</v>
      </c>
      <c r="AS47" s="179">
        <f t="shared" si="18"/>
        <v>0</v>
      </c>
      <c r="AT47" s="178">
        <f t="shared" si="18"/>
        <v>0</v>
      </c>
      <c r="AU47" s="178">
        <f t="shared" si="18"/>
        <v>0</v>
      </c>
      <c r="AV47" s="178">
        <f t="shared" si="18"/>
        <v>0</v>
      </c>
      <c r="AW47" s="179">
        <f t="shared" si="18"/>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8"/>
        <v>0</v>
      </c>
      <c r="AQ48" s="178">
        <f t="shared" si="18"/>
        <v>0</v>
      </c>
      <c r="AR48" s="178">
        <f t="shared" si="18"/>
        <v>0</v>
      </c>
      <c r="AS48" s="179">
        <f t="shared" si="18"/>
        <v>0</v>
      </c>
      <c r="AT48" s="178">
        <f t="shared" si="18"/>
        <v>0</v>
      </c>
      <c r="AU48" s="178">
        <f t="shared" si="18"/>
        <v>0</v>
      </c>
      <c r="AV48" s="178">
        <f t="shared" si="18"/>
        <v>0</v>
      </c>
      <c r="AW48" s="179">
        <f t="shared" si="18"/>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0</v>
      </c>
      <c r="BI48" s="252">
        <f>SUBTOTAL(9,BI49:BI69)</f>
        <v>40917.045600000005</v>
      </c>
      <c r="BJ48" s="252">
        <f>SUBTOTAL(9,BJ49:BJ69)</f>
        <v>0</v>
      </c>
      <c r="BK48" s="252">
        <f>SUBTOTAL(9,BK49:BK69)</f>
        <v>28592.361725400002</v>
      </c>
      <c r="BL48" s="252">
        <f>SUBTOTAL(9,BL49:BL69)</f>
        <v>0</v>
      </c>
      <c r="BM48" s="257">
        <f t="shared" si="5"/>
        <v>69509.40732540001</v>
      </c>
      <c r="BO48" s="714" t="str">
        <f t="shared" si="6"/>
        <v/>
      </c>
    </row>
    <row r="49" spans="2:67" ht="15" customHeight="1" x14ac:dyDescent="0.25">
      <c r="B49" s="19">
        <f>B47+1</f>
        <v>5</v>
      </c>
      <c r="C49" s="44" t="s">
        <v>579</v>
      </c>
      <c r="D49" s="45" t="s">
        <v>580</v>
      </c>
      <c r="E49" s="105" t="s">
        <v>94</v>
      </c>
      <c r="G49" s="477">
        <f>ROUND('TUoS (t-1)'!G49*$BT$133,4)</f>
        <v>0</v>
      </c>
      <c r="H49" s="479"/>
      <c r="I49" s="483">
        <f>ROUND('TUoS (t-1)'!I49*$BT$133,4)</f>
        <v>1.89E-2</v>
      </c>
      <c r="J49" s="461"/>
      <c r="K49" s="484">
        <f>ROUND('TUoS (t-1)'!K49*$BT$133,4)</f>
        <v>1.18E-2</v>
      </c>
      <c r="L49" s="461"/>
      <c r="M49" s="461"/>
      <c r="N49" s="461"/>
      <c r="O49" s="462"/>
      <c r="P49" s="461"/>
      <c r="Q49" s="461"/>
      <c r="R49" s="462"/>
      <c r="S49" s="478">
        <f>ROUND('TUoS (t-1)'!S49*$BT$133,4)</f>
        <v>0.11609999999999999</v>
      </c>
      <c r="T49" s="483">
        <f>ROUND('TUoS (t-1)'!T49*$BT$133,4)</f>
        <v>0</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0</v>
      </c>
      <c r="AP49" s="184">
        <f t="shared" si="18"/>
        <v>0</v>
      </c>
      <c r="AQ49" s="178">
        <f t="shared" si="18"/>
        <v>24378.146100000002</v>
      </c>
      <c r="AR49" s="178">
        <f t="shared" si="18"/>
        <v>0</v>
      </c>
      <c r="AS49" s="179">
        <f t="shared" si="18"/>
        <v>13590.614599999999</v>
      </c>
      <c r="AT49" s="178">
        <f t="shared" si="18"/>
        <v>0</v>
      </c>
      <c r="AU49" s="178">
        <f t="shared" si="18"/>
        <v>0</v>
      </c>
      <c r="AV49" s="178">
        <f t="shared" si="18"/>
        <v>0</v>
      </c>
      <c r="AW49" s="179">
        <f t="shared" si="18"/>
        <v>0</v>
      </c>
      <c r="AX49" s="178">
        <f t="shared" si="1"/>
        <v>0</v>
      </c>
      <c r="AY49" s="178">
        <f t="shared" si="1"/>
        <v>0</v>
      </c>
      <c r="AZ49" s="179">
        <f t="shared" si="1"/>
        <v>0</v>
      </c>
      <c r="BA49" s="184">
        <f t="shared" si="1"/>
        <v>26376.362518500002</v>
      </c>
      <c r="BB49" s="178">
        <f t="shared" si="1"/>
        <v>0</v>
      </c>
      <c r="BC49" s="184">
        <f t="shared" si="1"/>
        <v>0</v>
      </c>
      <c r="BD49" s="178">
        <f t="shared" si="1"/>
        <v>0</v>
      </c>
      <c r="BE49" s="244">
        <f t="shared" si="3"/>
        <v>5025</v>
      </c>
      <c r="BF49" s="245">
        <f t="shared" si="4"/>
        <v>2441596</v>
      </c>
      <c r="BH49" s="255">
        <f t="shared" ref="BH49:BH69" si="20">SUM(AO49)</f>
        <v>0</v>
      </c>
      <c r="BI49" s="255">
        <f t="shared" ref="BI49:BI69" si="21">SUM(AP49:AS49)</f>
        <v>37968.760699999999</v>
      </c>
      <c r="BJ49" s="255">
        <f t="shared" ref="BJ49:BJ69" si="22">SUM(AT49:AW49)</f>
        <v>0</v>
      </c>
      <c r="BK49" s="256">
        <f t="shared" ref="BK49:BK69" si="23">SUM(AX49:BB49)</f>
        <v>26376.362518500002</v>
      </c>
      <c r="BL49" s="262">
        <f t="shared" ref="BL49:BL69" si="24">SUM(BC49:BD49)</f>
        <v>0</v>
      </c>
      <c r="BM49" s="257">
        <f t="shared" si="5"/>
        <v>64345.123218499997</v>
      </c>
      <c r="BO49" s="714">
        <f t="shared" si="6"/>
        <v>26.353714217462674</v>
      </c>
    </row>
    <row r="50" spans="2:67" ht="15" customHeight="1" x14ac:dyDescent="0.25">
      <c r="B50" s="19">
        <f t="shared" si="19"/>
        <v>6</v>
      </c>
      <c r="C50" s="44" t="s">
        <v>577</v>
      </c>
      <c r="D50" s="45" t="s">
        <v>581</v>
      </c>
      <c r="E50" s="105" t="s">
        <v>95</v>
      </c>
      <c r="G50" s="477">
        <f>ROUND('TUoS (t-1)'!G50*$BT$133,4)</f>
        <v>0</v>
      </c>
      <c r="H50" s="479"/>
      <c r="I50" s="483">
        <f>ROUND('TUoS (t-1)'!I50*$BT$133,4)</f>
        <v>1.89E-2</v>
      </c>
      <c r="J50" s="461"/>
      <c r="K50" s="484">
        <f>ROUND('TUoS (t-1)'!K50*$BT$133,4)</f>
        <v>1.18E-2</v>
      </c>
      <c r="L50" s="461"/>
      <c r="M50" s="461"/>
      <c r="N50" s="461"/>
      <c r="O50" s="462"/>
      <c r="P50" s="483">
        <f>ROUND('TUoS (t-1)'!P50*$BT$133,4)</f>
        <v>0.42080000000000001</v>
      </c>
      <c r="Q50" s="461"/>
      <c r="R50" s="462"/>
      <c r="S50" s="479"/>
      <c r="T50" s="483">
        <f>ROUND('TUoS (t-1)'!T50*$BT$133,4)</f>
        <v>0</v>
      </c>
      <c r="U50" s="480"/>
      <c r="V50" s="481"/>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0</v>
      </c>
      <c r="AP50" s="184">
        <f t="shared" si="18"/>
        <v>0</v>
      </c>
      <c r="AQ50" s="178">
        <f>I50*Z50</f>
        <v>1368.7380000000001</v>
      </c>
      <c r="AR50" s="178">
        <f t="shared" si="18"/>
        <v>0</v>
      </c>
      <c r="AS50" s="179">
        <f t="shared" si="18"/>
        <v>616.31399999999996</v>
      </c>
      <c r="AT50" s="178">
        <f t="shared" si="18"/>
        <v>0</v>
      </c>
      <c r="AU50" s="178">
        <f t="shared" si="18"/>
        <v>0</v>
      </c>
      <c r="AV50" s="178">
        <f t="shared" si="18"/>
        <v>0</v>
      </c>
      <c r="AW50" s="179">
        <f t="shared" si="18"/>
        <v>0</v>
      </c>
      <c r="AX50" s="178">
        <f t="shared" si="1"/>
        <v>1445.1084144000001</v>
      </c>
      <c r="AY50" s="178">
        <f t="shared" si="1"/>
        <v>0</v>
      </c>
      <c r="AZ50" s="179">
        <f t="shared" si="1"/>
        <v>0</v>
      </c>
      <c r="BA50" s="184">
        <f t="shared" si="1"/>
        <v>0</v>
      </c>
      <c r="BB50" s="178">
        <f t="shared" si="1"/>
        <v>0</v>
      </c>
      <c r="BC50" s="184">
        <f t="shared" si="1"/>
        <v>0</v>
      </c>
      <c r="BD50" s="178">
        <f t="shared" si="1"/>
        <v>0</v>
      </c>
      <c r="BE50" s="244">
        <f t="shared" si="3"/>
        <v>277</v>
      </c>
      <c r="BF50" s="245">
        <f t="shared" si="4"/>
        <v>124650</v>
      </c>
      <c r="BH50" s="255">
        <f t="shared" si="20"/>
        <v>0</v>
      </c>
      <c r="BI50" s="255">
        <f t="shared" si="21"/>
        <v>1985.0520000000001</v>
      </c>
      <c r="BJ50" s="255">
        <f t="shared" si="22"/>
        <v>0</v>
      </c>
      <c r="BK50" s="256">
        <f t="shared" si="23"/>
        <v>1445.1084144000001</v>
      </c>
      <c r="BL50" s="262">
        <f t="shared" si="24"/>
        <v>0</v>
      </c>
      <c r="BM50" s="257">
        <f t="shared" si="5"/>
        <v>3430.1604144000003</v>
      </c>
      <c r="BO50" s="714">
        <f t="shared" si="6"/>
        <v>27.518334652226233</v>
      </c>
    </row>
    <row r="51" spans="2:67" ht="15" customHeight="1" x14ac:dyDescent="0.25">
      <c r="B51" s="19">
        <f t="shared" si="19"/>
        <v>7</v>
      </c>
      <c r="C51" s="833" t="s">
        <v>578</v>
      </c>
      <c r="D51" s="834" t="s">
        <v>582</v>
      </c>
      <c r="E51" s="835" t="s">
        <v>96</v>
      </c>
      <c r="G51" s="482"/>
      <c r="H51" s="479"/>
      <c r="I51" s="461"/>
      <c r="J51" s="461"/>
      <c r="K51" s="462"/>
      <c r="L51" s="461"/>
      <c r="M51" s="461"/>
      <c r="N51" s="461"/>
      <c r="O51" s="462"/>
      <c r="P51" s="461"/>
      <c r="Q51" s="461"/>
      <c r="R51" s="462"/>
      <c r="S51" s="479"/>
      <c r="T51" s="461"/>
      <c r="U51" s="479"/>
      <c r="V51" s="462"/>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8"/>
        <v>0</v>
      </c>
      <c r="AQ51" s="178">
        <f t="shared" si="18"/>
        <v>0</v>
      </c>
      <c r="AR51" s="178">
        <f t="shared" si="18"/>
        <v>0</v>
      </c>
      <c r="AS51" s="179">
        <f t="shared" si="18"/>
        <v>0</v>
      </c>
      <c r="AT51" s="178">
        <f t="shared" si="18"/>
        <v>0</v>
      </c>
      <c r="AU51" s="178">
        <f t="shared" si="18"/>
        <v>0</v>
      </c>
      <c r="AV51" s="178">
        <f t="shared" si="18"/>
        <v>0</v>
      </c>
      <c r="AW51" s="179">
        <f t="shared" si="18"/>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20"/>
        <v>0</v>
      </c>
      <c r="BI51" s="255">
        <f t="shared" si="21"/>
        <v>0</v>
      </c>
      <c r="BJ51" s="255">
        <f t="shared" si="22"/>
        <v>0</v>
      </c>
      <c r="BK51" s="256">
        <f t="shared" si="23"/>
        <v>0</v>
      </c>
      <c r="BL51" s="262">
        <f t="shared" si="24"/>
        <v>0</v>
      </c>
      <c r="BM51" s="257">
        <f t="shared" si="5"/>
        <v>0</v>
      </c>
      <c r="BO51" s="714" t="str">
        <f t="shared" si="6"/>
        <v/>
      </c>
    </row>
    <row r="52" spans="2:67" ht="15" customHeight="1" x14ac:dyDescent="0.25">
      <c r="B52" s="19">
        <f t="shared" si="19"/>
        <v>8</v>
      </c>
      <c r="C52" s="44" t="s">
        <v>97</v>
      </c>
      <c r="D52" s="45" t="s">
        <v>97</v>
      </c>
      <c r="E52" s="105" t="s">
        <v>98</v>
      </c>
      <c r="G52" s="850">
        <f>ROUND('[15]2020-25 Pricing Schedule'!$K$76/Days_Year,4)</f>
        <v>0</v>
      </c>
      <c r="H52" s="859">
        <f>'[15]2020-25 Pricing Schedule'!$K$79</f>
        <v>2.3100000000000002E-2</v>
      </c>
      <c r="I52" s="461"/>
      <c r="J52" s="461"/>
      <c r="K52" s="462"/>
      <c r="L52" s="461"/>
      <c r="M52" s="461"/>
      <c r="N52" s="461"/>
      <c r="O52" s="462"/>
      <c r="P52" s="461"/>
      <c r="Q52" s="860">
        <f>'TUoS (t-1)'!Q52</f>
        <v>8.6800000000000002E-2</v>
      </c>
      <c r="R52" s="861">
        <f>'TUoS (t-1)'!R52</f>
        <v>4.2900000000000001E-2</v>
      </c>
      <c r="S52" s="479"/>
      <c r="T52" s="461"/>
      <c r="U52" s="480"/>
      <c r="V52" s="481"/>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0</v>
      </c>
      <c r="AP52" s="184">
        <f t="shared" si="18"/>
        <v>231.00000000000003</v>
      </c>
      <c r="AQ52" s="178">
        <f t="shared" si="18"/>
        <v>0</v>
      </c>
      <c r="AR52" s="178">
        <f t="shared" si="18"/>
        <v>0</v>
      </c>
      <c r="AS52" s="179">
        <f t="shared" si="18"/>
        <v>0</v>
      </c>
      <c r="AT52" s="178">
        <f t="shared" si="18"/>
        <v>0</v>
      </c>
      <c r="AU52" s="178">
        <f t="shared" si="18"/>
        <v>0</v>
      </c>
      <c r="AV52" s="178">
        <f t="shared" si="18"/>
        <v>0</v>
      </c>
      <c r="AW52" s="179">
        <f t="shared" si="18"/>
        <v>0</v>
      </c>
      <c r="AX52" s="178">
        <f t="shared" si="1"/>
        <v>0</v>
      </c>
      <c r="AY52" s="178">
        <f t="shared" si="1"/>
        <v>65.783029200000001</v>
      </c>
      <c r="AZ52" s="179">
        <f t="shared" si="1"/>
        <v>70.009153499999996</v>
      </c>
      <c r="BA52" s="184">
        <f t="shared" si="1"/>
        <v>0</v>
      </c>
      <c r="BB52" s="178">
        <f t="shared" si="1"/>
        <v>0</v>
      </c>
      <c r="BC52" s="184">
        <f t="shared" si="1"/>
        <v>0</v>
      </c>
      <c r="BD52" s="178">
        <f t="shared" si="1"/>
        <v>0</v>
      </c>
      <c r="BE52" s="244">
        <f t="shared" si="3"/>
        <v>34</v>
      </c>
      <c r="BF52" s="245">
        <f t="shared" ref="BF52:BF79" si="25">SUM(Y52:AF52)</f>
        <v>10000</v>
      </c>
      <c r="BH52" s="255">
        <f t="shared" si="20"/>
        <v>0</v>
      </c>
      <c r="BI52" s="255">
        <f t="shared" si="21"/>
        <v>231.00000000000003</v>
      </c>
      <c r="BJ52" s="255">
        <f t="shared" si="22"/>
        <v>0</v>
      </c>
      <c r="BK52" s="256">
        <f t="shared" si="23"/>
        <v>135.79218270000001</v>
      </c>
      <c r="BL52" s="262">
        <f t="shared" si="24"/>
        <v>0</v>
      </c>
      <c r="BM52" s="257">
        <f t="shared" si="5"/>
        <v>366.79218270000001</v>
      </c>
      <c r="BO52" s="714">
        <f t="shared" si="6"/>
        <v>36.67921827</v>
      </c>
    </row>
    <row r="53" spans="2:67" ht="15" customHeight="1" x14ac:dyDescent="0.25">
      <c r="B53" s="19">
        <f t="shared" si="19"/>
        <v>9</v>
      </c>
      <c r="C53" s="44" t="s">
        <v>583</v>
      </c>
      <c r="D53" s="45" t="s">
        <v>584</v>
      </c>
      <c r="E53" s="105" t="s">
        <v>99</v>
      </c>
      <c r="G53" s="477">
        <f>ROUND('TUoS (t-1)'!G53*$BT$133,4)</f>
        <v>0</v>
      </c>
      <c r="H53" s="479"/>
      <c r="I53" s="483">
        <f>ROUND('TUoS (t-1)'!I53*$BT$133,4)</f>
        <v>0</v>
      </c>
      <c r="J53" s="461"/>
      <c r="K53" s="484">
        <f>ROUND('TUoS (t-1)'!K53*$BT$133,4)</f>
        <v>0</v>
      </c>
      <c r="L53" s="461"/>
      <c r="M53" s="461"/>
      <c r="N53" s="461"/>
      <c r="O53" s="462"/>
      <c r="P53" s="461"/>
      <c r="Q53" s="461"/>
      <c r="R53" s="462"/>
      <c r="S53" s="478">
        <f>ROUND('TUoS (t-1)'!S53*$BT$133,4)</f>
        <v>0.11609999999999999</v>
      </c>
      <c r="T53" s="483">
        <f>ROUND('TUoS (t-1)'!T53*$BT$133,4)</f>
        <v>0</v>
      </c>
      <c r="U53" s="480"/>
      <c r="V53" s="481"/>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0</v>
      </c>
      <c r="AP53" s="184">
        <f t="shared" si="18"/>
        <v>0</v>
      </c>
      <c r="AQ53" s="178">
        <f t="shared" si="18"/>
        <v>0</v>
      </c>
      <c r="AR53" s="178">
        <f t="shared" si="18"/>
        <v>0</v>
      </c>
      <c r="AS53" s="179">
        <f t="shared" si="18"/>
        <v>0</v>
      </c>
      <c r="AT53" s="178">
        <f t="shared" si="18"/>
        <v>0</v>
      </c>
      <c r="AU53" s="178">
        <f t="shared" si="18"/>
        <v>0</v>
      </c>
      <c r="AV53" s="178">
        <f t="shared" si="18"/>
        <v>0</v>
      </c>
      <c r="AW53" s="179">
        <f t="shared" si="18"/>
        <v>0</v>
      </c>
      <c r="AX53" s="178">
        <f t="shared" si="1"/>
        <v>0</v>
      </c>
      <c r="AY53" s="178">
        <f t="shared" si="1"/>
        <v>0</v>
      </c>
      <c r="AZ53" s="179">
        <f t="shared" si="1"/>
        <v>0</v>
      </c>
      <c r="BA53" s="184">
        <f t="shared" ref="BA53:BD114" si="26">S53*AJ53/1000</f>
        <v>0</v>
      </c>
      <c r="BB53" s="178">
        <f t="shared" si="26"/>
        <v>0</v>
      </c>
      <c r="BC53" s="184">
        <f t="shared" si="26"/>
        <v>0</v>
      </c>
      <c r="BD53" s="178">
        <f t="shared" si="26"/>
        <v>0</v>
      </c>
      <c r="BE53" s="244">
        <f t="shared" si="3"/>
        <v>4</v>
      </c>
      <c r="BF53" s="245">
        <f t="shared" si="25"/>
        <v>1300</v>
      </c>
      <c r="BH53" s="255">
        <f t="shared" si="20"/>
        <v>0</v>
      </c>
      <c r="BI53" s="255">
        <f t="shared" si="21"/>
        <v>0</v>
      </c>
      <c r="BJ53" s="255">
        <f t="shared" si="22"/>
        <v>0</v>
      </c>
      <c r="BK53" s="256">
        <f t="shared" si="23"/>
        <v>0</v>
      </c>
      <c r="BL53" s="262">
        <f t="shared" si="24"/>
        <v>0</v>
      </c>
      <c r="BM53" s="257">
        <f t="shared" si="5"/>
        <v>0</v>
      </c>
      <c r="BO53" s="714">
        <f t="shared" si="6"/>
        <v>0</v>
      </c>
    </row>
    <row r="54" spans="2:67" ht="15" customHeight="1" x14ac:dyDescent="0.25">
      <c r="B54" s="19"/>
      <c r="C54" s="785"/>
      <c r="D54" s="772"/>
      <c r="E54" s="836"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ref="AO54:AO68" si="27">G54*X54/1000</f>
        <v>0</v>
      </c>
      <c r="AP54" s="184">
        <f t="shared" ref="AP54:AP68" si="28">H54*Y54</f>
        <v>0</v>
      </c>
      <c r="AQ54" s="178">
        <f t="shared" ref="AQ54:AQ68" si="29">I54*Z54</f>
        <v>0</v>
      </c>
      <c r="AR54" s="178">
        <f t="shared" ref="AR54:AR68" si="30">J54*AA54</f>
        <v>0</v>
      </c>
      <c r="AS54" s="179">
        <f t="shared" ref="AS54:AS68" si="31">K54*AB54</f>
        <v>0</v>
      </c>
      <c r="AT54" s="178">
        <f t="shared" ref="AT54:AT68" si="32">L54*AC54</f>
        <v>0</v>
      </c>
      <c r="AU54" s="178">
        <f t="shared" ref="AU54:AU68" si="33">M54*AD54</f>
        <v>0</v>
      </c>
      <c r="AV54" s="178">
        <f t="shared" ref="AV54:AV68" si="34">N54*AE54</f>
        <v>0</v>
      </c>
      <c r="AW54" s="179">
        <f t="shared" ref="AW54:AW68" si="35">O54*AF54</f>
        <v>0</v>
      </c>
      <c r="AX54" s="178">
        <f t="shared" ref="AX54:AX68" si="36">P54*AG54/1000</f>
        <v>0</v>
      </c>
      <c r="AY54" s="178">
        <f t="shared" ref="AY54:AY68" si="37">Q54*AH54/1000</f>
        <v>0</v>
      </c>
      <c r="AZ54" s="179">
        <f t="shared" ref="AZ54:AZ68" si="38">R54*AI54/1000</f>
        <v>0</v>
      </c>
      <c r="BA54" s="184">
        <f t="shared" ref="BA54:BA68" si="39">S54*AJ54/1000</f>
        <v>0</v>
      </c>
      <c r="BB54" s="178">
        <f t="shared" ref="BB54:BB68" si="40">T54*AK54/1000</f>
        <v>0</v>
      </c>
      <c r="BC54" s="184">
        <f t="shared" ref="BC54:BC68" si="41">U54*AL54/1000</f>
        <v>0</v>
      </c>
      <c r="BD54" s="178">
        <f t="shared" ref="BD54:BD68" si="42">V54*AM54/1000</f>
        <v>0</v>
      </c>
      <c r="BE54" s="244">
        <f t="shared" ref="BE54:BE68" si="43">X54/$BE$7</f>
        <v>0</v>
      </c>
      <c r="BF54" s="245">
        <f t="shared" ref="BF54:BF68" si="44">SUM(Y54:AF54)</f>
        <v>0</v>
      </c>
      <c r="BH54" s="255">
        <f t="shared" ref="BH54:BH68" si="45">SUM(AO54)</f>
        <v>0</v>
      </c>
      <c r="BI54" s="255">
        <f t="shared" ref="BI54:BI68" si="46">SUM(AP54:AS54)</f>
        <v>0</v>
      </c>
      <c r="BJ54" s="255">
        <f t="shared" ref="BJ54:BJ68" si="47">SUM(AT54:AW54)</f>
        <v>0</v>
      </c>
      <c r="BK54" s="256">
        <f t="shared" ref="BK54:BK68" si="48">SUM(AX54:BB54)</f>
        <v>0</v>
      </c>
      <c r="BL54" s="262">
        <f t="shared" ref="BL54:BL68" si="49">SUM(BC54:BD54)</f>
        <v>0</v>
      </c>
      <c r="BM54" s="257">
        <f t="shared" ref="BM54:BM68" si="50">SUM(BH54:BL54)</f>
        <v>0</v>
      </c>
      <c r="BO54" s="714" t="str">
        <f t="shared" ref="BO54:BO68" si="51">IF(BF54=0,"",BM54*1000/BF54)</f>
        <v/>
      </c>
    </row>
    <row r="55" spans="2:67" ht="15" customHeight="1" x14ac:dyDescent="0.25">
      <c r="B55" s="19">
        <f>B53+1</f>
        <v>10</v>
      </c>
      <c r="C55" s="44" t="s">
        <v>705</v>
      </c>
      <c r="D55" s="45"/>
      <c r="E55" s="105" t="s">
        <v>94</v>
      </c>
      <c r="G55" s="862">
        <f>'Cust Specific'!S10</f>
        <v>0</v>
      </c>
      <c r="H55" s="479"/>
      <c r="I55" s="851">
        <f>'Cust Specific'!S13</f>
        <v>1.89E-2</v>
      </c>
      <c r="J55" s="461"/>
      <c r="K55" s="852">
        <f>'Cust Specific'!S14</f>
        <v>1.18E-2</v>
      </c>
      <c r="L55" s="461"/>
      <c r="M55" s="461"/>
      <c r="N55" s="461"/>
      <c r="O55" s="462"/>
      <c r="P55" s="461"/>
      <c r="Q55" s="461"/>
      <c r="R55" s="462"/>
      <c r="S55" s="863">
        <f>'Cust Specific'!S11</f>
        <v>0.11609999999999999</v>
      </c>
      <c r="T55" s="851">
        <f>'Cust Specific'!S12</f>
        <v>0</v>
      </c>
      <c r="U55" s="480"/>
      <c r="V55" s="481"/>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si="27"/>
        <v>0</v>
      </c>
      <c r="AP55" s="184">
        <f t="shared" si="28"/>
        <v>0</v>
      </c>
      <c r="AQ55" s="178">
        <f t="shared" si="29"/>
        <v>16.896599999999999</v>
      </c>
      <c r="AR55" s="178">
        <f t="shared" si="30"/>
        <v>0</v>
      </c>
      <c r="AS55" s="179">
        <f t="shared" si="31"/>
        <v>12.449</v>
      </c>
      <c r="AT55" s="178">
        <f t="shared" si="32"/>
        <v>0</v>
      </c>
      <c r="AU55" s="178">
        <f t="shared" si="33"/>
        <v>0</v>
      </c>
      <c r="AV55" s="178">
        <f t="shared" si="34"/>
        <v>0</v>
      </c>
      <c r="AW55" s="179">
        <f t="shared" si="35"/>
        <v>0</v>
      </c>
      <c r="AX55" s="178">
        <f t="shared" si="36"/>
        <v>0</v>
      </c>
      <c r="AY55" s="178">
        <f t="shared" si="37"/>
        <v>0</v>
      </c>
      <c r="AZ55" s="179">
        <f t="shared" si="38"/>
        <v>0</v>
      </c>
      <c r="BA55" s="184">
        <f t="shared" si="39"/>
        <v>35.850518999999998</v>
      </c>
      <c r="BB55" s="178">
        <f t="shared" si="40"/>
        <v>0</v>
      </c>
      <c r="BC55" s="184">
        <f t="shared" si="41"/>
        <v>0</v>
      </c>
      <c r="BD55" s="178">
        <f t="shared" si="42"/>
        <v>0</v>
      </c>
      <c r="BE55" s="244">
        <f t="shared" si="43"/>
        <v>1</v>
      </c>
      <c r="BF55" s="245">
        <f t="shared" si="44"/>
        <v>1949</v>
      </c>
      <c r="BH55" s="255">
        <f t="shared" si="45"/>
        <v>0</v>
      </c>
      <c r="BI55" s="255">
        <f t="shared" si="46"/>
        <v>29.345599999999997</v>
      </c>
      <c r="BJ55" s="255">
        <f t="shared" si="47"/>
        <v>0</v>
      </c>
      <c r="BK55" s="256">
        <f t="shared" si="48"/>
        <v>35.850518999999998</v>
      </c>
      <c r="BL55" s="262">
        <f t="shared" si="49"/>
        <v>0</v>
      </c>
      <c r="BM55" s="257">
        <f t="shared" si="50"/>
        <v>65.196118999999996</v>
      </c>
      <c r="BO55" s="714">
        <f t="shared" si="51"/>
        <v>33.451061570035918</v>
      </c>
    </row>
    <row r="56" spans="2:67" ht="15" customHeight="1" x14ac:dyDescent="0.25">
      <c r="B56" s="19">
        <f t="shared" ref="B56:B69" si="52">B55+1</f>
        <v>11</v>
      </c>
      <c r="C56" s="44" t="s">
        <v>567</v>
      </c>
      <c r="D56" s="834"/>
      <c r="E56" s="105" t="s">
        <v>94</v>
      </c>
      <c r="G56" s="862">
        <f>('Cust Specific'!S18)</f>
        <v>0</v>
      </c>
      <c r="H56" s="479"/>
      <c r="I56" s="851">
        <f>'Cust Specific'!S21</f>
        <v>1.89E-2</v>
      </c>
      <c r="J56" s="461"/>
      <c r="K56" s="852">
        <f>'Cust Specific'!S22</f>
        <v>1.18E-2</v>
      </c>
      <c r="L56" s="461"/>
      <c r="M56" s="461"/>
      <c r="N56" s="461"/>
      <c r="O56" s="462"/>
      <c r="P56" s="461"/>
      <c r="Q56" s="461"/>
      <c r="R56" s="462"/>
      <c r="S56" s="863">
        <f>'Cust Specific'!S19</f>
        <v>0.11609999999999999</v>
      </c>
      <c r="T56" s="851">
        <f>'Cust Specific'!S20</f>
        <v>0</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7"/>
        <v>0</v>
      </c>
      <c r="AP56" s="184">
        <f t="shared" si="28"/>
        <v>0</v>
      </c>
      <c r="AQ56" s="178">
        <f t="shared" si="29"/>
        <v>11.1699</v>
      </c>
      <c r="AR56" s="178">
        <f t="shared" si="30"/>
        <v>0</v>
      </c>
      <c r="AS56" s="179">
        <f t="shared" si="31"/>
        <v>23.0336</v>
      </c>
      <c r="AT56" s="178">
        <f t="shared" si="32"/>
        <v>0</v>
      </c>
      <c r="AU56" s="178">
        <f t="shared" si="33"/>
        <v>0</v>
      </c>
      <c r="AV56" s="178">
        <f t="shared" si="34"/>
        <v>0</v>
      </c>
      <c r="AW56" s="179">
        <f t="shared" si="35"/>
        <v>0</v>
      </c>
      <c r="AX56" s="178">
        <f t="shared" si="36"/>
        <v>0</v>
      </c>
      <c r="AY56" s="178">
        <f t="shared" si="37"/>
        <v>0</v>
      </c>
      <c r="AZ56" s="179">
        <f t="shared" si="38"/>
        <v>0</v>
      </c>
      <c r="BA56" s="184">
        <f t="shared" si="39"/>
        <v>23.518957499999999</v>
      </c>
      <c r="BB56" s="178">
        <f t="shared" si="40"/>
        <v>0</v>
      </c>
      <c r="BC56" s="184">
        <f t="shared" si="41"/>
        <v>0</v>
      </c>
      <c r="BD56" s="178">
        <f t="shared" si="42"/>
        <v>0</v>
      </c>
      <c r="BE56" s="244">
        <f t="shared" si="43"/>
        <v>1</v>
      </c>
      <c r="BF56" s="245">
        <f t="shared" si="44"/>
        <v>2543</v>
      </c>
      <c r="BH56" s="255">
        <f t="shared" si="45"/>
        <v>0</v>
      </c>
      <c r="BI56" s="255">
        <f t="shared" si="46"/>
        <v>34.203499999999998</v>
      </c>
      <c r="BJ56" s="255">
        <f t="shared" si="47"/>
        <v>0</v>
      </c>
      <c r="BK56" s="256">
        <f t="shared" si="48"/>
        <v>23.518957499999999</v>
      </c>
      <c r="BL56" s="262">
        <f t="shared" si="49"/>
        <v>0</v>
      </c>
      <c r="BM56" s="257">
        <f t="shared" si="50"/>
        <v>57.722457499999997</v>
      </c>
      <c r="BO56" s="714">
        <f t="shared" si="51"/>
        <v>22.698567636649624</v>
      </c>
    </row>
    <row r="57" spans="2:67" ht="15" customHeight="1" x14ac:dyDescent="0.25">
      <c r="B57" s="19">
        <f t="shared" si="52"/>
        <v>12</v>
      </c>
      <c r="C57" s="833" t="s">
        <v>568</v>
      </c>
      <c r="D57" s="834"/>
      <c r="E57" s="835" t="s">
        <v>94</v>
      </c>
      <c r="G57" s="482"/>
      <c r="H57" s="479"/>
      <c r="I57" s="461"/>
      <c r="J57" s="461"/>
      <c r="K57" s="462"/>
      <c r="L57" s="461"/>
      <c r="M57" s="461"/>
      <c r="N57" s="461"/>
      <c r="O57" s="462"/>
      <c r="P57" s="461"/>
      <c r="Q57" s="461"/>
      <c r="R57" s="462"/>
      <c r="S57" s="479"/>
      <c r="T57" s="461"/>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7"/>
        <v>0</v>
      </c>
      <c r="AP57" s="184">
        <f t="shared" si="28"/>
        <v>0</v>
      </c>
      <c r="AQ57" s="178">
        <f t="shared" si="29"/>
        <v>0</v>
      </c>
      <c r="AR57" s="178">
        <f t="shared" si="30"/>
        <v>0</v>
      </c>
      <c r="AS57" s="179">
        <f t="shared" si="31"/>
        <v>0</v>
      </c>
      <c r="AT57" s="178">
        <f t="shared" si="32"/>
        <v>0</v>
      </c>
      <c r="AU57" s="178">
        <f t="shared" si="33"/>
        <v>0</v>
      </c>
      <c r="AV57" s="178">
        <f t="shared" si="34"/>
        <v>0</v>
      </c>
      <c r="AW57" s="179">
        <f t="shared" si="35"/>
        <v>0</v>
      </c>
      <c r="AX57" s="178">
        <f t="shared" si="36"/>
        <v>0</v>
      </c>
      <c r="AY57" s="178">
        <f t="shared" si="37"/>
        <v>0</v>
      </c>
      <c r="AZ57" s="179">
        <f t="shared" si="38"/>
        <v>0</v>
      </c>
      <c r="BA57" s="184">
        <f t="shared" si="39"/>
        <v>0</v>
      </c>
      <c r="BB57" s="178">
        <f t="shared" si="40"/>
        <v>0</v>
      </c>
      <c r="BC57" s="184">
        <f t="shared" si="41"/>
        <v>0</v>
      </c>
      <c r="BD57" s="178">
        <f t="shared" si="42"/>
        <v>0</v>
      </c>
      <c r="BE57" s="244">
        <f t="shared" si="43"/>
        <v>0</v>
      </c>
      <c r="BF57" s="245">
        <f t="shared" si="44"/>
        <v>0</v>
      </c>
      <c r="BH57" s="255">
        <f t="shared" si="45"/>
        <v>0</v>
      </c>
      <c r="BI57" s="255">
        <f t="shared" si="46"/>
        <v>0</v>
      </c>
      <c r="BJ57" s="255">
        <f t="shared" si="47"/>
        <v>0</v>
      </c>
      <c r="BK57" s="256">
        <f t="shared" si="48"/>
        <v>0</v>
      </c>
      <c r="BL57" s="262">
        <f t="shared" si="49"/>
        <v>0</v>
      </c>
      <c r="BM57" s="257">
        <f t="shared" si="50"/>
        <v>0</v>
      </c>
      <c r="BO57" s="714" t="str">
        <f t="shared" si="51"/>
        <v/>
      </c>
    </row>
    <row r="58" spans="2:67" ht="15" customHeight="1" x14ac:dyDescent="0.25">
      <c r="B58" s="19">
        <f t="shared" si="52"/>
        <v>13</v>
      </c>
      <c r="C58" s="44" t="s">
        <v>569</v>
      </c>
      <c r="D58" s="834"/>
      <c r="E58" s="105" t="s">
        <v>94</v>
      </c>
      <c r="G58" s="862">
        <f>('Cust Specific'!S34)</f>
        <v>0</v>
      </c>
      <c r="H58" s="479"/>
      <c r="I58" s="851">
        <f>'Cust Specific'!S37</f>
        <v>1.89E-2</v>
      </c>
      <c r="J58" s="461"/>
      <c r="K58" s="852">
        <f>'Cust Specific'!S38</f>
        <v>1.18E-2</v>
      </c>
      <c r="L58" s="461"/>
      <c r="M58" s="461"/>
      <c r="N58" s="461"/>
      <c r="O58" s="462"/>
      <c r="P58" s="461"/>
      <c r="Q58" s="461"/>
      <c r="R58" s="462"/>
      <c r="S58" s="863">
        <f>'Cust Specific'!S35</f>
        <v>0.11609999999999999</v>
      </c>
      <c r="T58" s="851">
        <f>'Cust Specific'!S36</f>
        <v>0</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7"/>
        <v>0</v>
      </c>
      <c r="AP58" s="184">
        <f t="shared" si="28"/>
        <v>0</v>
      </c>
      <c r="AQ58" s="178">
        <f t="shared" si="29"/>
        <v>18.578700000000001</v>
      </c>
      <c r="AR58" s="178">
        <f t="shared" si="30"/>
        <v>0</v>
      </c>
      <c r="AS58" s="179">
        <f t="shared" si="31"/>
        <v>13.57</v>
      </c>
      <c r="AT58" s="178">
        <f t="shared" si="32"/>
        <v>0</v>
      </c>
      <c r="AU58" s="178">
        <f t="shared" si="33"/>
        <v>0</v>
      </c>
      <c r="AV58" s="178">
        <f t="shared" si="34"/>
        <v>0</v>
      </c>
      <c r="AW58" s="179">
        <f t="shared" si="35"/>
        <v>0</v>
      </c>
      <c r="AX58" s="178">
        <f t="shared" si="36"/>
        <v>0</v>
      </c>
      <c r="AY58" s="178">
        <f t="shared" si="37"/>
        <v>0</v>
      </c>
      <c r="AZ58" s="179">
        <f t="shared" si="38"/>
        <v>0</v>
      </c>
      <c r="BA58" s="184">
        <f t="shared" si="39"/>
        <v>33.943576499999999</v>
      </c>
      <c r="BB58" s="178">
        <f t="shared" si="40"/>
        <v>0</v>
      </c>
      <c r="BC58" s="184">
        <f t="shared" si="41"/>
        <v>0</v>
      </c>
      <c r="BD58" s="178">
        <f t="shared" si="42"/>
        <v>0</v>
      </c>
      <c r="BE58" s="244">
        <f t="shared" si="43"/>
        <v>1</v>
      </c>
      <c r="BF58" s="245">
        <f t="shared" si="44"/>
        <v>2133</v>
      </c>
      <c r="BH58" s="255">
        <f t="shared" si="45"/>
        <v>0</v>
      </c>
      <c r="BI58" s="255">
        <f t="shared" si="46"/>
        <v>32.148700000000005</v>
      </c>
      <c r="BJ58" s="255">
        <f t="shared" si="47"/>
        <v>0</v>
      </c>
      <c r="BK58" s="256">
        <f t="shared" si="48"/>
        <v>33.943576499999999</v>
      </c>
      <c r="BL58" s="262">
        <f t="shared" si="49"/>
        <v>0</v>
      </c>
      <c r="BM58" s="257">
        <f t="shared" si="50"/>
        <v>66.092276499999997</v>
      </c>
      <c r="BO58" s="714">
        <f t="shared" si="51"/>
        <v>30.985596108766991</v>
      </c>
    </row>
    <row r="59" spans="2:67" ht="15" customHeight="1" x14ac:dyDescent="0.25">
      <c r="B59" s="19">
        <f t="shared" si="52"/>
        <v>14</v>
      </c>
      <c r="C59" s="44" t="s">
        <v>570</v>
      </c>
      <c r="D59" s="834"/>
      <c r="E59" s="105" t="s">
        <v>94</v>
      </c>
      <c r="G59" s="862">
        <f>('Cust Specific'!S42)</f>
        <v>0</v>
      </c>
      <c r="H59" s="479"/>
      <c r="I59" s="851">
        <f>'Cust Specific'!S45</f>
        <v>1.89E-2</v>
      </c>
      <c r="J59" s="461"/>
      <c r="K59" s="852">
        <f>'Cust Specific'!S46</f>
        <v>1.18E-2</v>
      </c>
      <c r="L59" s="461"/>
      <c r="M59" s="461"/>
      <c r="N59" s="461"/>
      <c r="O59" s="462"/>
      <c r="P59" s="461"/>
      <c r="Q59" s="461"/>
      <c r="R59" s="462"/>
      <c r="S59" s="863">
        <f>'Cust Specific'!S43</f>
        <v>0.11609999999999999</v>
      </c>
      <c r="T59" s="851">
        <f>'Cust Specific'!S44</f>
        <v>0</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7"/>
        <v>0</v>
      </c>
      <c r="AP59" s="184">
        <f t="shared" si="28"/>
        <v>0</v>
      </c>
      <c r="AQ59" s="178">
        <f t="shared" si="29"/>
        <v>18.862200000000001</v>
      </c>
      <c r="AR59" s="178">
        <f t="shared" si="30"/>
        <v>0</v>
      </c>
      <c r="AS59" s="179">
        <f t="shared" si="31"/>
        <v>24.060199999999998</v>
      </c>
      <c r="AT59" s="178">
        <f t="shared" si="32"/>
        <v>0</v>
      </c>
      <c r="AU59" s="178">
        <f t="shared" si="33"/>
        <v>0</v>
      </c>
      <c r="AV59" s="178">
        <f t="shared" si="34"/>
        <v>0</v>
      </c>
      <c r="AW59" s="179">
        <f t="shared" si="35"/>
        <v>0</v>
      </c>
      <c r="AX59" s="178">
        <f t="shared" si="36"/>
        <v>0</v>
      </c>
      <c r="AY59" s="178">
        <f t="shared" si="37"/>
        <v>0</v>
      </c>
      <c r="AZ59" s="179">
        <f t="shared" si="38"/>
        <v>0</v>
      </c>
      <c r="BA59" s="184">
        <f t="shared" si="39"/>
        <v>26.231053499999998</v>
      </c>
      <c r="BB59" s="178">
        <f t="shared" si="40"/>
        <v>0</v>
      </c>
      <c r="BC59" s="184">
        <f t="shared" si="41"/>
        <v>0</v>
      </c>
      <c r="BD59" s="178">
        <f t="shared" si="42"/>
        <v>0</v>
      </c>
      <c r="BE59" s="244">
        <f t="shared" si="43"/>
        <v>1</v>
      </c>
      <c r="BF59" s="245">
        <f t="shared" si="44"/>
        <v>3037</v>
      </c>
      <c r="BH59" s="255">
        <f t="shared" si="45"/>
        <v>0</v>
      </c>
      <c r="BI59" s="255">
        <f t="shared" si="46"/>
        <v>42.922399999999996</v>
      </c>
      <c r="BJ59" s="255">
        <f t="shared" si="47"/>
        <v>0</v>
      </c>
      <c r="BK59" s="256">
        <f t="shared" si="48"/>
        <v>26.231053499999998</v>
      </c>
      <c r="BL59" s="262">
        <f t="shared" si="49"/>
        <v>0</v>
      </c>
      <c r="BM59" s="257">
        <f t="shared" si="50"/>
        <v>69.153453499999998</v>
      </c>
      <c r="BO59" s="714">
        <f t="shared" si="51"/>
        <v>22.770317253868949</v>
      </c>
    </row>
    <row r="60" spans="2:67" ht="15" customHeight="1" x14ac:dyDescent="0.25">
      <c r="B60" s="19">
        <f t="shared" si="52"/>
        <v>15</v>
      </c>
      <c r="C60" s="44" t="s">
        <v>572</v>
      </c>
      <c r="D60" s="45"/>
      <c r="E60" s="105" t="s">
        <v>94</v>
      </c>
      <c r="G60" s="862">
        <f>('Cust Specific'!S50)</f>
        <v>0</v>
      </c>
      <c r="H60" s="479"/>
      <c r="I60" s="851">
        <f>'Cust Specific'!S53</f>
        <v>1.89E-2</v>
      </c>
      <c r="J60" s="461"/>
      <c r="K60" s="852">
        <f>'Cust Specific'!S54</f>
        <v>1.18E-2</v>
      </c>
      <c r="L60" s="461"/>
      <c r="M60" s="461"/>
      <c r="N60" s="461"/>
      <c r="O60" s="462"/>
      <c r="P60" s="461"/>
      <c r="Q60" s="461"/>
      <c r="R60" s="462"/>
      <c r="S60" s="863">
        <f>'Cust Specific'!S51</f>
        <v>0.11609999999999999</v>
      </c>
      <c r="T60" s="851">
        <f>'Cust Specific'!S52</f>
        <v>0</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7"/>
        <v>0</v>
      </c>
      <c r="AP60" s="184">
        <f t="shared" si="28"/>
        <v>0</v>
      </c>
      <c r="AQ60" s="178">
        <f t="shared" si="29"/>
        <v>67.038300000000007</v>
      </c>
      <c r="AR60" s="178">
        <f t="shared" si="30"/>
        <v>0</v>
      </c>
      <c r="AS60" s="179">
        <f t="shared" si="31"/>
        <v>37.618400000000001</v>
      </c>
      <c r="AT60" s="178">
        <f t="shared" si="32"/>
        <v>0</v>
      </c>
      <c r="AU60" s="178">
        <f t="shared" si="33"/>
        <v>0</v>
      </c>
      <c r="AV60" s="178">
        <f t="shared" si="34"/>
        <v>0</v>
      </c>
      <c r="AW60" s="179">
        <f t="shared" si="35"/>
        <v>0</v>
      </c>
      <c r="AX60" s="178">
        <f t="shared" si="36"/>
        <v>0</v>
      </c>
      <c r="AY60" s="178">
        <f t="shared" si="37"/>
        <v>0</v>
      </c>
      <c r="AZ60" s="179">
        <f t="shared" si="38"/>
        <v>0</v>
      </c>
      <c r="BA60" s="184">
        <f t="shared" si="39"/>
        <v>94.118206499999999</v>
      </c>
      <c r="BB60" s="178">
        <f t="shared" si="40"/>
        <v>0</v>
      </c>
      <c r="BC60" s="184">
        <f t="shared" si="41"/>
        <v>0</v>
      </c>
      <c r="BD60" s="178">
        <f t="shared" si="42"/>
        <v>0</v>
      </c>
      <c r="BE60" s="244">
        <f t="shared" si="43"/>
        <v>1</v>
      </c>
      <c r="BF60" s="245">
        <f t="shared" si="44"/>
        <v>6735</v>
      </c>
      <c r="BH60" s="255">
        <f t="shared" si="45"/>
        <v>0</v>
      </c>
      <c r="BI60" s="255">
        <f t="shared" si="46"/>
        <v>104.6567</v>
      </c>
      <c r="BJ60" s="255">
        <f t="shared" si="47"/>
        <v>0</v>
      </c>
      <c r="BK60" s="256">
        <f t="shared" si="48"/>
        <v>94.118206499999999</v>
      </c>
      <c r="BL60" s="262">
        <f t="shared" si="49"/>
        <v>0</v>
      </c>
      <c r="BM60" s="257">
        <f t="shared" si="50"/>
        <v>198.77490649999999</v>
      </c>
      <c r="BO60" s="714">
        <f t="shared" si="51"/>
        <v>29.513720341499628</v>
      </c>
    </row>
    <row r="61" spans="2:67" ht="15" customHeight="1" x14ac:dyDescent="0.25">
      <c r="B61" s="19">
        <f t="shared" si="52"/>
        <v>16</v>
      </c>
      <c r="C61" s="44" t="s">
        <v>651</v>
      </c>
      <c r="D61" s="45"/>
      <c r="E61" s="105" t="s">
        <v>94</v>
      </c>
      <c r="G61" s="862">
        <f>('Cust Specific'!S58)</f>
        <v>0</v>
      </c>
      <c r="H61" s="479"/>
      <c r="I61" s="851">
        <f>'Cust Specific'!S61</f>
        <v>1.89E-2</v>
      </c>
      <c r="J61" s="461"/>
      <c r="K61" s="852">
        <f>'Cust Specific'!S62</f>
        <v>1.18E-2</v>
      </c>
      <c r="L61" s="461"/>
      <c r="M61" s="461"/>
      <c r="N61" s="461"/>
      <c r="O61" s="462"/>
      <c r="P61" s="461"/>
      <c r="Q61" s="461"/>
      <c r="R61" s="462"/>
      <c r="S61" s="863">
        <f>'Cust Specific'!S59</f>
        <v>0.11609999999999999</v>
      </c>
      <c r="T61" s="851">
        <f>'Cust Specific'!S60</f>
        <v>0</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7"/>
        <v>0</v>
      </c>
      <c r="AP61" s="184">
        <f t="shared" si="28"/>
        <v>0</v>
      </c>
      <c r="AQ61" s="178">
        <f t="shared" si="29"/>
        <v>7.0875000000000004</v>
      </c>
      <c r="AR61" s="178">
        <f t="shared" si="30"/>
        <v>0</v>
      </c>
      <c r="AS61" s="179">
        <f t="shared" si="31"/>
        <v>12.850199999999999</v>
      </c>
      <c r="AT61" s="178">
        <f t="shared" si="32"/>
        <v>0</v>
      </c>
      <c r="AU61" s="178">
        <f t="shared" si="33"/>
        <v>0</v>
      </c>
      <c r="AV61" s="178">
        <f t="shared" si="34"/>
        <v>0</v>
      </c>
      <c r="AW61" s="179">
        <f t="shared" si="35"/>
        <v>0</v>
      </c>
      <c r="AX61" s="178">
        <f t="shared" si="36"/>
        <v>0</v>
      </c>
      <c r="AY61" s="178">
        <f t="shared" si="37"/>
        <v>0</v>
      </c>
      <c r="AZ61" s="179">
        <f t="shared" si="38"/>
        <v>0</v>
      </c>
      <c r="BA61" s="184">
        <f t="shared" si="39"/>
        <v>52.504483499999992</v>
      </c>
      <c r="BB61" s="178">
        <f t="shared" si="40"/>
        <v>0</v>
      </c>
      <c r="BC61" s="184">
        <f t="shared" si="41"/>
        <v>0</v>
      </c>
      <c r="BD61" s="178">
        <f t="shared" si="42"/>
        <v>0</v>
      </c>
      <c r="BE61" s="244">
        <f t="shared" si="43"/>
        <v>1</v>
      </c>
      <c r="BF61" s="245">
        <f t="shared" si="44"/>
        <v>1464</v>
      </c>
      <c r="BH61" s="255">
        <f t="shared" si="45"/>
        <v>0</v>
      </c>
      <c r="BI61" s="255">
        <f t="shared" si="46"/>
        <v>19.9377</v>
      </c>
      <c r="BJ61" s="255">
        <f t="shared" si="47"/>
        <v>0</v>
      </c>
      <c r="BK61" s="256">
        <f t="shared" si="48"/>
        <v>52.504483499999992</v>
      </c>
      <c r="BL61" s="262">
        <f t="shared" si="49"/>
        <v>0</v>
      </c>
      <c r="BM61" s="257">
        <f t="shared" si="50"/>
        <v>72.442183499999999</v>
      </c>
      <c r="BO61" s="714">
        <f t="shared" si="51"/>
        <v>49.482365778688525</v>
      </c>
    </row>
    <row r="62" spans="2:67" ht="15" customHeight="1" x14ac:dyDescent="0.25">
      <c r="B62" s="19">
        <f t="shared" si="52"/>
        <v>17</v>
      </c>
      <c r="C62" s="44" t="s">
        <v>707</v>
      </c>
      <c r="D62" s="45"/>
      <c r="E62" s="105" t="s">
        <v>94</v>
      </c>
      <c r="G62" s="862">
        <f>('Cust Specific'!S66)</f>
        <v>0</v>
      </c>
      <c r="H62" s="479"/>
      <c r="I62" s="851">
        <f>'Cust Specific'!S69</f>
        <v>1.89E-2</v>
      </c>
      <c r="J62" s="461"/>
      <c r="K62" s="852">
        <f>'Cust Specific'!S70</f>
        <v>1.18E-2</v>
      </c>
      <c r="L62" s="461"/>
      <c r="M62" s="461"/>
      <c r="N62" s="461"/>
      <c r="O62" s="462"/>
      <c r="P62" s="461"/>
      <c r="Q62" s="461"/>
      <c r="R62" s="462"/>
      <c r="S62" s="863">
        <f>'Cust Specific'!S67</f>
        <v>0.11609999999999999</v>
      </c>
      <c r="T62" s="851">
        <f>'Cust Specific'!S68</f>
        <v>0</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7"/>
        <v>0</v>
      </c>
      <c r="AP62" s="184">
        <f t="shared" si="28"/>
        <v>0</v>
      </c>
      <c r="AQ62" s="178">
        <f t="shared" si="29"/>
        <v>22.226400000000002</v>
      </c>
      <c r="AR62" s="178">
        <f t="shared" si="30"/>
        <v>0</v>
      </c>
      <c r="AS62" s="179">
        <f t="shared" si="31"/>
        <v>24.296199999999999</v>
      </c>
      <c r="AT62" s="178">
        <f t="shared" si="32"/>
        <v>0</v>
      </c>
      <c r="AU62" s="178">
        <f t="shared" si="33"/>
        <v>0</v>
      </c>
      <c r="AV62" s="178">
        <f t="shared" si="34"/>
        <v>0</v>
      </c>
      <c r="AW62" s="179">
        <f t="shared" si="35"/>
        <v>0</v>
      </c>
      <c r="AX62" s="178">
        <f t="shared" si="36"/>
        <v>0</v>
      </c>
      <c r="AY62" s="178">
        <f t="shared" si="37"/>
        <v>0</v>
      </c>
      <c r="AZ62" s="179">
        <f t="shared" si="38"/>
        <v>0</v>
      </c>
      <c r="BA62" s="184">
        <f t="shared" si="39"/>
        <v>35.850518999999998</v>
      </c>
      <c r="BB62" s="178">
        <f t="shared" si="40"/>
        <v>0</v>
      </c>
      <c r="BC62" s="184">
        <f t="shared" si="41"/>
        <v>0</v>
      </c>
      <c r="BD62" s="178">
        <f t="shared" si="42"/>
        <v>0</v>
      </c>
      <c r="BE62" s="244">
        <f t="shared" si="43"/>
        <v>1</v>
      </c>
      <c r="BF62" s="245">
        <f t="shared" si="44"/>
        <v>3235</v>
      </c>
      <c r="BH62" s="255">
        <f t="shared" si="45"/>
        <v>0</v>
      </c>
      <c r="BI62" s="255">
        <f t="shared" si="46"/>
        <v>46.522599999999997</v>
      </c>
      <c r="BJ62" s="255">
        <f t="shared" si="47"/>
        <v>0</v>
      </c>
      <c r="BK62" s="256">
        <f t="shared" si="48"/>
        <v>35.850518999999998</v>
      </c>
      <c r="BL62" s="262">
        <f t="shared" si="49"/>
        <v>0</v>
      </c>
      <c r="BM62" s="257">
        <f t="shared" si="50"/>
        <v>82.373119000000003</v>
      </c>
      <c r="BO62" s="714">
        <f t="shared" si="51"/>
        <v>25.4630970633694</v>
      </c>
    </row>
    <row r="63" spans="2:67" ht="15" customHeight="1" x14ac:dyDescent="0.25">
      <c r="B63" s="19">
        <f t="shared" si="52"/>
        <v>18</v>
      </c>
      <c r="C63" s="44" t="s">
        <v>571</v>
      </c>
      <c r="D63" s="45"/>
      <c r="E63" s="105" t="s">
        <v>94</v>
      </c>
      <c r="G63" s="862">
        <f>('Cust Specific'!S74)</f>
        <v>0</v>
      </c>
      <c r="H63" s="479"/>
      <c r="I63" s="851">
        <f>'Cust Specific'!S77</f>
        <v>1.89E-2</v>
      </c>
      <c r="J63" s="461"/>
      <c r="K63" s="852">
        <f>'Cust Specific'!S78</f>
        <v>1.18E-2</v>
      </c>
      <c r="L63" s="461"/>
      <c r="M63" s="461"/>
      <c r="N63" s="461"/>
      <c r="O63" s="462"/>
      <c r="P63" s="461"/>
      <c r="Q63" s="461"/>
      <c r="R63" s="462"/>
      <c r="S63" s="863">
        <f>'Cust Specific'!S75</f>
        <v>0.11609999999999999</v>
      </c>
      <c r="T63" s="851">
        <f>'Cust Specific'!S76</f>
        <v>0</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7"/>
        <v>0</v>
      </c>
      <c r="AP63" s="184">
        <f t="shared" si="28"/>
        <v>0</v>
      </c>
      <c r="AQ63" s="178">
        <f t="shared" si="29"/>
        <v>8.1270000000000007</v>
      </c>
      <c r="AR63" s="178">
        <f t="shared" si="30"/>
        <v>0</v>
      </c>
      <c r="AS63" s="179">
        <f t="shared" si="31"/>
        <v>6.6787999999999998</v>
      </c>
      <c r="AT63" s="178">
        <f t="shared" si="32"/>
        <v>0</v>
      </c>
      <c r="AU63" s="178">
        <f t="shared" si="33"/>
        <v>0</v>
      </c>
      <c r="AV63" s="178">
        <f t="shared" si="34"/>
        <v>0</v>
      </c>
      <c r="AW63" s="179">
        <f t="shared" si="35"/>
        <v>0</v>
      </c>
      <c r="AX63" s="178">
        <f t="shared" si="36"/>
        <v>0</v>
      </c>
      <c r="AY63" s="178">
        <f t="shared" si="37"/>
        <v>0</v>
      </c>
      <c r="AZ63" s="179">
        <f t="shared" si="38"/>
        <v>0</v>
      </c>
      <c r="BA63" s="184">
        <f t="shared" si="39"/>
        <v>11.780666999999999</v>
      </c>
      <c r="BB63" s="178">
        <f t="shared" si="40"/>
        <v>0</v>
      </c>
      <c r="BC63" s="184">
        <f t="shared" si="41"/>
        <v>0</v>
      </c>
      <c r="BD63" s="178">
        <f t="shared" si="42"/>
        <v>0</v>
      </c>
      <c r="BE63" s="244">
        <f t="shared" si="43"/>
        <v>1</v>
      </c>
      <c r="BF63" s="245">
        <f t="shared" si="44"/>
        <v>996</v>
      </c>
      <c r="BH63" s="255">
        <f t="shared" si="45"/>
        <v>0</v>
      </c>
      <c r="BI63" s="255">
        <f t="shared" si="46"/>
        <v>14.805800000000001</v>
      </c>
      <c r="BJ63" s="255">
        <f t="shared" si="47"/>
        <v>0</v>
      </c>
      <c r="BK63" s="256">
        <f t="shared" si="48"/>
        <v>11.780666999999999</v>
      </c>
      <c r="BL63" s="262">
        <f t="shared" si="49"/>
        <v>0</v>
      </c>
      <c r="BM63" s="257">
        <f t="shared" si="50"/>
        <v>26.586466999999999</v>
      </c>
      <c r="BO63" s="714">
        <f t="shared" si="51"/>
        <v>26.693239959839357</v>
      </c>
    </row>
    <row r="64" spans="2:67" ht="15" customHeight="1" x14ac:dyDescent="0.25">
      <c r="B64" s="19">
        <f t="shared" si="52"/>
        <v>19</v>
      </c>
      <c r="C64" s="44" t="s">
        <v>573</v>
      </c>
      <c r="D64" s="45"/>
      <c r="E64" s="105" t="s">
        <v>94</v>
      </c>
      <c r="G64" s="862">
        <f>('Cust Specific'!S82)</f>
        <v>0</v>
      </c>
      <c r="H64" s="479"/>
      <c r="I64" s="851">
        <f>'Cust Specific'!S85</f>
        <v>1.89E-2</v>
      </c>
      <c r="J64" s="461"/>
      <c r="K64" s="852">
        <f>'Cust Specific'!S86</f>
        <v>1.18E-2</v>
      </c>
      <c r="L64" s="461"/>
      <c r="M64" s="461"/>
      <c r="N64" s="461"/>
      <c r="O64" s="462"/>
      <c r="P64" s="461"/>
      <c r="Q64" s="461"/>
      <c r="R64" s="462"/>
      <c r="S64" s="863">
        <f>'Cust Specific'!S83</f>
        <v>0.11609999999999999</v>
      </c>
      <c r="T64" s="851">
        <f>'Cust Specific'!S84</f>
        <v>0</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7"/>
        <v>0</v>
      </c>
      <c r="AP64" s="184">
        <f t="shared" si="28"/>
        <v>0</v>
      </c>
      <c r="AQ64" s="178">
        <f t="shared" si="29"/>
        <v>7.1441999999999997</v>
      </c>
      <c r="AR64" s="178">
        <f t="shared" si="30"/>
        <v>0</v>
      </c>
      <c r="AS64" s="179">
        <f t="shared" si="31"/>
        <v>7.0918000000000001</v>
      </c>
      <c r="AT64" s="178">
        <f t="shared" si="32"/>
        <v>0</v>
      </c>
      <c r="AU64" s="178">
        <f t="shared" si="33"/>
        <v>0</v>
      </c>
      <c r="AV64" s="178">
        <f t="shared" si="34"/>
        <v>0</v>
      </c>
      <c r="AW64" s="179">
        <f t="shared" si="35"/>
        <v>0</v>
      </c>
      <c r="AX64" s="178">
        <f t="shared" si="36"/>
        <v>0</v>
      </c>
      <c r="AY64" s="178">
        <f t="shared" si="37"/>
        <v>0</v>
      </c>
      <c r="AZ64" s="179">
        <f t="shared" si="38"/>
        <v>0</v>
      </c>
      <c r="BA64" s="184">
        <f t="shared" si="39"/>
        <v>12.755326499999999</v>
      </c>
      <c r="BB64" s="178">
        <f t="shared" si="40"/>
        <v>0</v>
      </c>
      <c r="BC64" s="184">
        <f t="shared" si="41"/>
        <v>0</v>
      </c>
      <c r="BD64" s="178">
        <f t="shared" si="42"/>
        <v>0</v>
      </c>
      <c r="BE64" s="244">
        <f t="shared" si="43"/>
        <v>1</v>
      </c>
      <c r="BF64" s="245">
        <f t="shared" si="44"/>
        <v>979</v>
      </c>
      <c r="BH64" s="255">
        <f t="shared" si="45"/>
        <v>0</v>
      </c>
      <c r="BI64" s="255">
        <f t="shared" si="46"/>
        <v>14.236000000000001</v>
      </c>
      <c r="BJ64" s="255">
        <f t="shared" si="47"/>
        <v>0</v>
      </c>
      <c r="BK64" s="256">
        <f t="shared" si="48"/>
        <v>12.755326499999999</v>
      </c>
      <c r="BL64" s="262">
        <f t="shared" si="49"/>
        <v>0</v>
      </c>
      <c r="BM64" s="257">
        <f t="shared" si="50"/>
        <v>26.9913265</v>
      </c>
      <c r="BO64" s="714">
        <f t="shared" si="51"/>
        <v>27.570302860061286</v>
      </c>
    </row>
    <row r="65" spans="2:67" ht="15" customHeight="1" x14ac:dyDescent="0.25">
      <c r="B65" s="19">
        <f t="shared" si="52"/>
        <v>20</v>
      </c>
      <c r="C65" s="833" t="s">
        <v>574</v>
      </c>
      <c r="D65" s="834"/>
      <c r="E65" s="835" t="s">
        <v>94</v>
      </c>
      <c r="G65" s="482"/>
      <c r="H65" s="479"/>
      <c r="I65" s="461"/>
      <c r="J65" s="461"/>
      <c r="K65" s="462"/>
      <c r="L65" s="461"/>
      <c r="M65" s="461"/>
      <c r="N65" s="461"/>
      <c r="O65" s="462"/>
      <c r="P65" s="461"/>
      <c r="Q65" s="461"/>
      <c r="R65" s="462"/>
      <c r="S65" s="479"/>
      <c r="T65" s="461"/>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7"/>
        <v>0</v>
      </c>
      <c r="AP65" s="184">
        <f t="shared" si="28"/>
        <v>0</v>
      </c>
      <c r="AQ65" s="178">
        <f t="shared" si="29"/>
        <v>0</v>
      </c>
      <c r="AR65" s="178">
        <f t="shared" si="30"/>
        <v>0</v>
      </c>
      <c r="AS65" s="179">
        <f t="shared" si="31"/>
        <v>0</v>
      </c>
      <c r="AT65" s="178">
        <f t="shared" si="32"/>
        <v>0</v>
      </c>
      <c r="AU65" s="178">
        <f t="shared" si="33"/>
        <v>0</v>
      </c>
      <c r="AV65" s="178">
        <f t="shared" si="34"/>
        <v>0</v>
      </c>
      <c r="AW65" s="179">
        <f t="shared" si="35"/>
        <v>0</v>
      </c>
      <c r="AX65" s="178">
        <f t="shared" si="36"/>
        <v>0</v>
      </c>
      <c r="AY65" s="178">
        <f t="shared" si="37"/>
        <v>0</v>
      </c>
      <c r="AZ65" s="179">
        <f t="shared" si="38"/>
        <v>0</v>
      </c>
      <c r="BA65" s="184">
        <f t="shared" si="39"/>
        <v>0</v>
      </c>
      <c r="BB65" s="178">
        <f t="shared" si="40"/>
        <v>0</v>
      </c>
      <c r="BC65" s="184">
        <f t="shared" si="41"/>
        <v>0</v>
      </c>
      <c r="BD65" s="178">
        <f t="shared" si="42"/>
        <v>0</v>
      </c>
      <c r="BE65" s="244">
        <f t="shared" si="43"/>
        <v>0</v>
      </c>
      <c r="BF65" s="245">
        <f t="shared" si="44"/>
        <v>0</v>
      </c>
      <c r="BH65" s="255">
        <f t="shared" si="45"/>
        <v>0</v>
      </c>
      <c r="BI65" s="255">
        <f t="shared" si="46"/>
        <v>0</v>
      </c>
      <c r="BJ65" s="255">
        <f t="shared" si="47"/>
        <v>0</v>
      </c>
      <c r="BK65" s="256">
        <f t="shared" si="48"/>
        <v>0</v>
      </c>
      <c r="BL65" s="262">
        <f t="shared" si="49"/>
        <v>0</v>
      </c>
      <c r="BM65" s="257">
        <f t="shared" si="50"/>
        <v>0</v>
      </c>
      <c r="BO65" s="714" t="str">
        <f t="shared" si="51"/>
        <v/>
      </c>
    </row>
    <row r="66" spans="2:67" ht="15" customHeight="1" x14ac:dyDescent="0.25">
      <c r="B66" s="19">
        <f t="shared" si="52"/>
        <v>21</v>
      </c>
      <c r="C66" s="44" t="s">
        <v>706</v>
      </c>
      <c r="D66" s="45"/>
      <c r="E66" s="105" t="s">
        <v>94</v>
      </c>
      <c r="G66" s="862">
        <f>('Cust Specific'!S98)</f>
        <v>0</v>
      </c>
      <c r="H66" s="479"/>
      <c r="I66" s="851">
        <f>'Cust Specific'!S101</f>
        <v>1.89E-2</v>
      </c>
      <c r="J66" s="461"/>
      <c r="K66" s="852">
        <f>'Cust Specific'!S102</f>
        <v>1.18E-2</v>
      </c>
      <c r="L66" s="461"/>
      <c r="M66" s="461"/>
      <c r="N66" s="461"/>
      <c r="O66" s="462"/>
      <c r="P66" s="461"/>
      <c r="Q66" s="461"/>
      <c r="R66" s="462"/>
      <c r="S66" s="863">
        <f>'Cust Specific'!S99</f>
        <v>0.11609999999999999</v>
      </c>
      <c r="T66" s="851">
        <f>'Cust Specific'!S100</f>
        <v>0</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7"/>
        <v>0</v>
      </c>
      <c r="AP66" s="184">
        <f t="shared" si="28"/>
        <v>0</v>
      </c>
      <c r="AQ66" s="178">
        <f t="shared" si="29"/>
        <v>123.5493</v>
      </c>
      <c r="AR66" s="178">
        <f t="shared" si="30"/>
        <v>0</v>
      </c>
      <c r="AS66" s="179">
        <f t="shared" si="31"/>
        <v>81.5852</v>
      </c>
      <c r="AT66" s="178">
        <f t="shared" si="32"/>
        <v>0</v>
      </c>
      <c r="AU66" s="178">
        <f t="shared" si="33"/>
        <v>0</v>
      </c>
      <c r="AV66" s="178">
        <f t="shared" si="34"/>
        <v>0</v>
      </c>
      <c r="AW66" s="179">
        <f t="shared" si="35"/>
        <v>0</v>
      </c>
      <c r="AX66" s="178">
        <f t="shared" si="36"/>
        <v>0</v>
      </c>
      <c r="AY66" s="178">
        <f t="shared" si="37"/>
        <v>0</v>
      </c>
      <c r="AZ66" s="179">
        <f t="shared" si="38"/>
        <v>0</v>
      </c>
      <c r="BA66" s="184">
        <f t="shared" si="39"/>
        <v>122.383332</v>
      </c>
      <c r="BB66" s="178">
        <f t="shared" si="40"/>
        <v>0</v>
      </c>
      <c r="BC66" s="184">
        <f t="shared" si="41"/>
        <v>0</v>
      </c>
      <c r="BD66" s="178">
        <f t="shared" si="42"/>
        <v>0</v>
      </c>
      <c r="BE66" s="244">
        <f t="shared" si="43"/>
        <v>1</v>
      </c>
      <c r="BF66" s="245">
        <f t="shared" si="44"/>
        <v>13451</v>
      </c>
      <c r="BH66" s="255">
        <f t="shared" si="45"/>
        <v>0</v>
      </c>
      <c r="BI66" s="255">
        <f t="shared" si="46"/>
        <v>205.1345</v>
      </c>
      <c r="BJ66" s="255">
        <f t="shared" si="47"/>
        <v>0</v>
      </c>
      <c r="BK66" s="256">
        <f t="shared" si="48"/>
        <v>122.383332</v>
      </c>
      <c r="BL66" s="262">
        <f t="shared" si="49"/>
        <v>0</v>
      </c>
      <c r="BM66" s="257">
        <f t="shared" si="50"/>
        <v>327.517832</v>
      </c>
      <c r="BO66" s="714">
        <f t="shared" si="51"/>
        <v>24.348957847000221</v>
      </c>
    </row>
    <row r="67" spans="2:67" ht="15" customHeight="1" x14ac:dyDescent="0.25">
      <c r="B67" s="19">
        <f t="shared" si="52"/>
        <v>22</v>
      </c>
      <c r="C67" s="44" t="s">
        <v>575</v>
      </c>
      <c r="D67" s="45"/>
      <c r="E67" s="105" t="s">
        <v>94</v>
      </c>
      <c r="G67" s="862">
        <f>('Cust Specific'!S106)</f>
        <v>0</v>
      </c>
      <c r="H67" s="479"/>
      <c r="I67" s="851">
        <f>'Cust Specific'!S109</f>
        <v>1.89E-2</v>
      </c>
      <c r="J67" s="461"/>
      <c r="K67" s="852">
        <f>'Cust Specific'!S110</f>
        <v>1.18E-2</v>
      </c>
      <c r="L67" s="461"/>
      <c r="M67" s="461"/>
      <c r="N67" s="461"/>
      <c r="O67" s="462"/>
      <c r="P67" s="461"/>
      <c r="Q67" s="461"/>
      <c r="R67" s="462"/>
      <c r="S67" s="863">
        <f>'Cust Specific'!S107</f>
        <v>0.11609999999999999</v>
      </c>
      <c r="T67" s="851">
        <f>'Cust Specific'!S108</f>
        <v>0</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7"/>
        <v>0</v>
      </c>
      <c r="AP67" s="184">
        <f t="shared" si="28"/>
        <v>0</v>
      </c>
      <c r="AQ67" s="178">
        <f t="shared" si="29"/>
        <v>7.2198000000000002</v>
      </c>
      <c r="AR67" s="178">
        <f t="shared" si="30"/>
        <v>0</v>
      </c>
      <c r="AS67" s="179">
        <f t="shared" si="31"/>
        <v>5.7111999999999998</v>
      </c>
      <c r="AT67" s="178">
        <f t="shared" si="32"/>
        <v>0</v>
      </c>
      <c r="AU67" s="178">
        <f t="shared" si="33"/>
        <v>0</v>
      </c>
      <c r="AV67" s="178">
        <f t="shared" si="34"/>
        <v>0</v>
      </c>
      <c r="AW67" s="179">
        <f t="shared" si="35"/>
        <v>0</v>
      </c>
      <c r="AX67" s="178">
        <f t="shared" si="36"/>
        <v>0</v>
      </c>
      <c r="AY67" s="178">
        <f t="shared" si="37"/>
        <v>0</v>
      </c>
      <c r="AZ67" s="179">
        <f t="shared" si="38"/>
        <v>0</v>
      </c>
      <c r="BA67" s="184">
        <f t="shared" si="39"/>
        <v>6.4412279999999997</v>
      </c>
      <c r="BB67" s="178">
        <f t="shared" si="40"/>
        <v>0</v>
      </c>
      <c r="BC67" s="184">
        <f t="shared" si="41"/>
        <v>0</v>
      </c>
      <c r="BD67" s="178">
        <f t="shared" si="42"/>
        <v>0</v>
      </c>
      <c r="BE67" s="244">
        <f t="shared" si="43"/>
        <v>1</v>
      </c>
      <c r="BF67" s="245">
        <f t="shared" si="44"/>
        <v>866</v>
      </c>
      <c r="BH67" s="255">
        <f t="shared" si="45"/>
        <v>0</v>
      </c>
      <c r="BI67" s="255">
        <f t="shared" si="46"/>
        <v>12.931000000000001</v>
      </c>
      <c r="BJ67" s="255">
        <f t="shared" si="47"/>
        <v>0</v>
      </c>
      <c r="BK67" s="256">
        <f t="shared" si="48"/>
        <v>6.4412279999999997</v>
      </c>
      <c r="BL67" s="262">
        <f t="shared" si="49"/>
        <v>0</v>
      </c>
      <c r="BM67" s="257">
        <f t="shared" si="50"/>
        <v>19.372228</v>
      </c>
      <c r="BO67" s="714">
        <f t="shared" si="51"/>
        <v>22.369778290993072</v>
      </c>
    </row>
    <row r="68" spans="2:67" ht="15" customHeight="1" x14ac:dyDescent="0.25">
      <c r="B68" s="19">
        <f t="shared" si="52"/>
        <v>23</v>
      </c>
      <c r="C68" s="44" t="s">
        <v>576</v>
      </c>
      <c r="D68" s="45"/>
      <c r="E68" s="105" t="s">
        <v>94</v>
      </c>
      <c r="G68" s="862">
        <f>('Cust Specific'!S114)</f>
        <v>0</v>
      </c>
      <c r="H68" s="479"/>
      <c r="I68" s="851">
        <f>'Cust Specific'!S117</f>
        <v>1.89E-2</v>
      </c>
      <c r="J68" s="461"/>
      <c r="K68" s="852">
        <f>'Cust Specific'!S118</f>
        <v>1.18E-2</v>
      </c>
      <c r="L68" s="461"/>
      <c r="M68" s="461"/>
      <c r="N68" s="461"/>
      <c r="O68" s="462"/>
      <c r="P68" s="461"/>
      <c r="Q68" s="461"/>
      <c r="R68" s="462"/>
      <c r="S68" s="863">
        <f>'Cust Specific'!S115</f>
        <v>0.11609999999999999</v>
      </c>
      <c r="T68" s="851">
        <f>'Cust Specific'!S116</f>
        <v>0</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7"/>
        <v>0</v>
      </c>
      <c r="AP68" s="184">
        <f t="shared" si="28"/>
        <v>0</v>
      </c>
      <c r="AQ68" s="178">
        <f t="shared" si="29"/>
        <v>69.060599999999994</v>
      </c>
      <c r="AR68" s="178">
        <f t="shared" si="30"/>
        <v>0</v>
      </c>
      <c r="AS68" s="179">
        <f t="shared" si="31"/>
        <v>66.209800000000001</v>
      </c>
      <c r="AT68" s="178">
        <f t="shared" si="32"/>
        <v>0</v>
      </c>
      <c r="AU68" s="178">
        <f t="shared" si="33"/>
        <v>0</v>
      </c>
      <c r="AV68" s="178">
        <f t="shared" si="34"/>
        <v>0</v>
      </c>
      <c r="AW68" s="179">
        <f t="shared" si="35"/>
        <v>0</v>
      </c>
      <c r="AX68" s="178">
        <f t="shared" si="36"/>
        <v>0</v>
      </c>
      <c r="AY68" s="178">
        <f t="shared" si="37"/>
        <v>0</v>
      </c>
      <c r="AZ68" s="179">
        <f t="shared" si="38"/>
        <v>0</v>
      </c>
      <c r="BA68" s="184">
        <f t="shared" si="39"/>
        <v>128.82455999999999</v>
      </c>
      <c r="BB68" s="178">
        <f t="shared" si="40"/>
        <v>0</v>
      </c>
      <c r="BC68" s="184">
        <f t="shared" si="41"/>
        <v>0</v>
      </c>
      <c r="BD68" s="178">
        <f t="shared" si="42"/>
        <v>0</v>
      </c>
      <c r="BE68" s="244">
        <f t="shared" si="43"/>
        <v>1</v>
      </c>
      <c r="BF68" s="245">
        <f t="shared" si="44"/>
        <v>9265</v>
      </c>
      <c r="BH68" s="255">
        <f t="shared" si="45"/>
        <v>0</v>
      </c>
      <c r="BI68" s="255">
        <f t="shared" si="46"/>
        <v>135.2704</v>
      </c>
      <c r="BJ68" s="255">
        <f t="shared" si="47"/>
        <v>0</v>
      </c>
      <c r="BK68" s="256">
        <f t="shared" si="48"/>
        <v>128.82455999999999</v>
      </c>
      <c r="BL68" s="262">
        <f t="shared" si="49"/>
        <v>0</v>
      </c>
      <c r="BM68" s="257">
        <f t="shared" si="50"/>
        <v>264.09496000000001</v>
      </c>
      <c r="BO68" s="714">
        <f t="shared" si="51"/>
        <v>28.504582838640044</v>
      </c>
    </row>
    <row r="69" spans="2:67" ht="15" customHeight="1" x14ac:dyDescent="0.25">
      <c r="B69" s="26">
        <f t="shared" si="52"/>
        <v>24</v>
      </c>
      <c r="C69" s="841" t="s">
        <v>632</v>
      </c>
      <c r="D69" s="56"/>
      <c r="E69" s="109" t="s">
        <v>652</v>
      </c>
      <c r="G69" s="862">
        <f>('Cust Specific'!S122)</f>
        <v>0</v>
      </c>
      <c r="H69" s="479"/>
      <c r="I69" s="851">
        <f>'Cust Specific'!S125</f>
        <v>1.89E-2</v>
      </c>
      <c r="J69" s="461"/>
      <c r="K69" s="852">
        <f>'Cust Specific'!S126</f>
        <v>1.18E-2</v>
      </c>
      <c r="L69" s="461"/>
      <c r="M69" s="461"/>
      <c r="N69" s="461"/>
      <c r="O69" s="462"/>
      <c r="P69" s="863">
        <f>'Cust Specific'!S123</f>
        <v>0.42080000000000001</v>
      </c>
      <c r="Q69" s="461"/>
      <c r="R69" s="462"/>
      <c r="S69" s="479"/>
      <c r="T69" s="851">
        <f>'Cust Specific'!S124</f>
        <v>0</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0</v>
      </c>
      <c r="AP69" s="184">
        <f t="shared" ref="AP69:AW79" si="53">H69*Y69</f>
        <v>0</v>
      </c>
      <c r="AQ69" s="178">
        <f t="shared" si="53"/>
        <v>20.411999999999999</v>
      </c>
      <c r="AR69" s="178">
        <f t="shared" si="53"/>
        <v>0</v>
      </c>
      <c r="AS69" s="179">
        <f t="shared" si="53"/>
        <v>19.706</v>
      </c>
      <c r="AT69" s="178">
        <f t="shared" si="53"/>
        <v>0</v>
      </c>
      <c r="AU69" s="178">
        <f t="shared" si="53"/>
        <v>0</v>
      </c>
      <c r="AV69" s="178">
        <f t="shared" si="53"/>
        <v>0</v>
      </c>
      <c r="AW69" s="179">
        <f t="shared" si="53"/>
        <v>0</v>
      </c>
      <c r="AX69" s="178">
        <f t="shared" ref="AX69:BC115" si="54">P69*AG69/1000</f>
        <v>50.896180800000003</v>
      </c>
      <c r="AY69" s="178">
        <f t="shared" si="54"/>
        <v>0</v>
      </c>
      <c r="AZ69" s="179">
        <f t="shared" si="54"/>
        <v>0</v>
      </c>
      <c r="BA69" s="184">
        <f t="shared" si="26"/>
        <v>0</v>
      </c>
      <c r="BB69" s="178">
        <f t="shared" si="26"/>
        <v>0</v>
      </c>
      <c r="BC69" s="184">
        <f t="shared" si="26"/>
        <v>0</v>
      </c>
      <c r="BD69" s="178">
        <f t="shared" si="26"/>
        <v>0</v>
      </c>
      <c r="BE69" s="244">
        <f t="shared" si="3"/>
        <v>1</v>
      </c>
      <c r="BF69" s="245">
        <f t="shared" si="25"/>
        <v>2750</v>
      </c>
      <c r="BH69" s="255">
        <f t="shared" si="20"/>
        <v>0</v>
      </c>
      <c r="BI69" s="255">
        <f t="shared" si="21"/>
        <v>40.117999999999995</v>
      </c>
      <c r="BJ69" s="255">
        <f t="shared" si="22"/>
        <v>0</v>
      </c>
      <c r="BK69" s="256">
        <f t="shared" si="23"/>
        <v>50.896180800000003</v>
      </c>
      <c r="BL69" s="262">
        <f t="shared" si="24"/>
        <v>0</v>
      </c>
      <c r="BM69" s="257">
        <f t="shared" si="5"/>
        <v>91.014180799999991</v>
      </c>
      <c r="BO69" s="714">
        <f t="shared" si="6"/>
        <v>33.096065745454538</v>
      </c>
    </row>
    <row r="70" spans="2:67" ht="15" customHeight="1" x14ac:dyDescent="0.25">
      <c r="B70" s="30" t="s">
        <v>101</v>
      </c>
      <c r="C70" s="14" t="s">
        <v>102</v>
      </c>
      <c r="D70" s="14"/>
      <c r="E70" s="99"/>
      <c r="G70" s="494"/>
      <c r="H70" s="495"/>
      <c r="I70" s="496"/>
      <c r="J70" s="496"/>
      <c r="K70" s="497"/>
      <c r="L70" s="496"/>
      <c r="M70" s="496"/>
      <c r="N70" s="496"/>
      <c r="O70" s="497"/>
      <c r="P70" s="496"/>
      <c r="Q70" s="496"/>
      <c r="R70" s="497"/>
      <c r="S70" s="495"/>
      <c r="T70" s="496"/>
      <c r="U70" s="495"/>
      <c r="V70" s="497"/>
      <c r="X70" s="205">
        <f>'Q (t)'!G70</f>
        <v>0</v>
      </c>
      <c r="Y70" s="206">
        <f>'Q (t)'!H70</f>
        <v>0</v>
      </c>
      <c r="Z70" s="207">
        <f>'Q (t)'!I70</f>
        <v>0</v>
      </c>
      <c r="AA70" s="207">
        <f>'Q (t)'!J70</f>
        <v>0</v>
      </c>
      <c r="AB70" s="208">
        <f>'Q (t)'!K70</f>
        <v>0</v>
      </c>
      <c r="AC70" s="207">
        <f>'Q (t)'!L70</f>
        <v>0</v>
      </c>
      <c r="AD70" s="207">
        <f>'Q (t)'!M70</f>
        <v>0</v>
      </c>
      <c r="AE70" s="207">
        <f>'Q (t)'!N70</f>
        <v>0</v>
      </c>
      <c r="AF70" s="208">
        <f>'Q (t)'!O70</f>
        <v>0</v>
      </c>
      <c r="AG70" s="207">
        <f>'Q (t)'!P70</f>
        <v>0</v>
      </c>
      <c r="AH70" s="207">
        <f>'Q (t)'!Q70</f>
        <v>0</v>
      </c>
      <c r="AI70" s="208">
        <f>'Q (t)'!R70</f>
        <v>0</v>
      </c>
      <c r="AJ70" s="206">
        <f>'Q (t)'!S70</f>
        <v>0</v>
      </c>
      <c r="AK70" s="207">
        <f>'Q (t)'!T70</f>
        <v>0</v>
      </c>
      <c r="AL70" s="206">
        <f>'Q (t)'!U70</f>
        <v>0</v>
      </c>
      <c r="AM70" s="208">
        <f>'Q (t)'!V70</f>
        <v>0</v>
      </c>
      <c r="AO70" s="205">
        <f t="shared" si="2"/>
        <v>0</v>
      </c>
      <c r="AP70" s="206">
        <f t="shared" si="53"/>
        <v>0</v>
      </c>
      <c r="AQ70" s="207">
        <f t="shared" si="53"/>
        <v>0</v>
      </c>
      <c r="AR70" s="207">
        <f t="shared" si="53"/>
        <v>0</v>
      </c>
      <c r="AS70" s="208">
        <f t="shared" si="53"/>
        <v>0</v>
      </c>
      <c r="AT70" s="207">
        <f t="shared" si="53"/>
        <v>0</v>
      </c>
      <c r="AU70" s="207">
        <f t="shared" si="53"/>
        <v>0</v>
      </c>
      <c r="AV70" s="207">
        <f t="shared" si="53"/>
        <v>0</v>
      </c>
      <c r="AW70" s="208">
        <f t="shared" si="53"/>
        <v>0</v>
      </c>
      <c r="AX70" s="207">
        <f t="shared" si="54"/>
        <v>0</v>
      </c>
      <c r="AY70" s="207">
        <f t="shared" si="54"/>
        <v>0</v>
      </c>
      <c r="AZ70" s="208">
        <f t="shared" si="54"/>
        <v>0</v>
      </c>
      <c r="BA70" s="206">
        <f t="shared" si="26"/>
        <v>0</v>
      </c>
      <c r="BB70" s="207">
        <f t="shared" si="26"/>
        <v>0</v>
      </c>
      <c r="BC70" s="206">
        <f t="shared" si="26"/>
        <v>0</v>
      </c>
      <c r="BD70" s="207">
        <f t="shared" si="26"/>
        <v>0</v>
      </c>
      <c r="BE70" s="242">
        <f t="shared" si="3"/>
        <v>0</v>
      </c>
      <c r="BF70" s="243">
        <f t="shared" si="25"/>
        <v>0</v>
      </c>
      <c r="BH70" s="253">
        <f>SUBTOTAL(9,BH71:BH93)</f>
        <v>36.6710025</v>
      </c>
      <c r="BI70" s="253">
        <f>SUBTOTAL(9,BI71:BI93)</f>
        <v>7974.5016000000005</v>
      </c>
      <c r="BJ70" s="253">
        <f>SUBTOTAL(9,BJ71:BJ93)</f>
        <v>0</v>
      </c>
      <c r="BK70" s="253">
        <f>SUBTOTAL(9,BK71:BK93)</f>
        <v>7621.9858814999998</v>
      </c>
      <c r="BL70" s="253">
        <f>SUBTOTAL(9,BL71:BL93)</f>
        <v>0</v>
      </c>
      <c r="BM70" s="257">
        <f t="shared" si="5"/>
        <v>15633.158484</v>
      </c>
      <c r="BO70" s="714" t="str">
        <f t="shared" si="6"/>
        <v/>
      </c>
    </row>
    <row r="71" spans="2:67" ht="15" customHeight="1" x14ac:dyDescent="0.25">
      <c r="B71" s="19"/>
      <c r="C71" s="36" t="s">
        <v>103</v>
      </c>
      <c r="D71" s="85"/>
      <c r="E71" s="85"/>
      <c r="G71" s="482"/>
      <c r="H71" s="479"/>
      <c r="I71" s="461"/>
      <c r="J71" s="461"/>
      <c r="K71" s="462"/>
      <c r="L71" s="461"/>
      <c r="M71" s="461"/>
      <c r="N71" s="461"/>
      <c r="O71" s="462"/>
      <c r="P71" s="461"/>
      <c r="Q71" s="461"/>
      <c r="R71" s="462"/>
      <c r="S71" s="479"/>
      <c r="T71" s="461"/>
      <c r="U71" s="479"/>
      <c r="V71" s="462"/>
      <c r="X71" s="183">
        <f>'Q (t)'!G71</f>
        <v>0</v>
      </c>
      <c r="Y71" s="184">
        <f>'Q (t)'!H71</f>
        <v>0</v>
      </c>
      <c r="Z71" s="178">
        <f>'Q (t)'!I71</f>
        <v>0</v>
      </c>
      <c r="AA71" s="178">
        <f>'Q (t)'!J71</f>
        <v>0</v>
      </c>
      <c r="AB71" s="179">
        <f>'Q (t)'!K71</f>
        <v>0</v>
      </c>
      <c r="AC71" s="178">
        <f>'Q (t)'!L71</f>
        <v>0</v>
      </c>
      <c r="AD71" s="178">
        <f>'Q (t)'!M71</f>
        <v>0</v>
      </c>
      <c r="AE71" s="178">
        <f>'Q (t)'!N71</f>
        <v>0</v>
      </c>
      <c r="AF71" s="179">
        <f>'Q (t)'!O71</f>
        <v>0</v>
      </c>
      <c r="AG71" s="178">
        <f>'Q (t)'!P71</f>
        <v>0</v>
      </c>
      <c r="AH71" s="178">
        <f>'Q (t)'!Q71</f>
        <v>0</v>
      </c>
      <c r="AI71" s="179">
        <f>'Q (t)'!R71</f>
        <v>0</v>
      </c>
      <c r="AJ71" s="184">
        <f>'Q (t)'!S71</f>
        <v>0</v>
      </c>
      <c r="AK71" s="178">
        <f>'Q (t)'!T71</f>
        <v>0</v>
      </c>
      <c r="AL71" s="184">
        <f>'Q (t)'!U71</f>
        <v>0</v>
      </c>
      <c r="AM71" s="179">
        <f>'Q (t)'!V71</f>
        <v>0</v>
      </c>
      <c r="AO71" s="183">
        <f t="shared" si="2"/>
        <v>0</v>
      </c>
      <c r="AP71" s="184">
        <f t="shared" si="53"/>
        <v>0</v>
      </c>
      <c r="AQ71" s="178">
        <f t="shared" si="53"/>
        <v>0</v>
      </c>
      <c r="AR71" s="178">
        <f t="shared" si="53"/>
        <v>0</v>
      </c>
      <c r="AS71" s="179">
        <f t="shared" si="53"/>
        <v>0</v>
      </c>
      <c r="AT71" s="178">
        <f t="shared" si="53"/>
        <v>0</v>
      </c>
      <c r="AU71" s="178">
        <f t="shared" si="53"/>
        <v>0</v>
      </c>
      <c r="AV71" s="178">
        <f t="shared" si="53"/>
        <v>0</v>
      </c>
      <c r="AW71" s="179">
        <f t="shared" si="53"/>
        <v>0</v>
      </c>
      <c r="AX71" s="178">
        <f t="shared" si="54"/>
        <v>0</v>
      </c>
      <c r="AY71" s="178">
        <f t="shared" si="54"/>
        <v>0</v>
      </c>
      <c r="AZ71" s="179">
        <f t="shared" si="54"/>
        <v>0</v>
      </c>
      <c r="BA71" s="184">
        <f t="shared" si="26"/>
        <v>0</v>
      </c>
      <c r="BB71" s="178">
        <f t="shared" si="26"/>
        <v>0</v>
      </c>
      <c r="BC71" s="184">
        <f t="shared" si="26"/>
        <v>0</v>
      </c>
      <c r="BD71" s="178">
        <f t="shared" si="26"/>
        <v>0</v>
      </c>
      <c r="BE71" s="244">
        <f t="shared" si="3"/>
        <v>0</v>
      </c>
      <c r="BF71" s="245">
        <f t="shared" si="25"/>
        <v>0</v>
      </c>
      <c r="BH71" s="252">
        <f>SUBTOTAL(9,BH72:BH77)</f>
        <v>0</v>
      </c>
      <c r="BI71" s="252">
        <f>SUBTOTAL(9,BI72:BI77)</f>
        <v>7531.2620000000006</v>
      </c>
      <c r="BJ71" s="252">
        <f>SUBTOTAL(9,BJ72:BJ77)</f>
        <v>0</v>
      </c>
      <c r="BK71" s="252">
        <f>SUBTOTAL(9,BK72:BK77)</f>
        <v>7116.3162806666669</v>
      </c>
      <c r="BL71" s="252">
        <f>SUBTOTAL(9,BL72:BL77)</f>
        <v>0</v>
      </c>
      <c r="BM71" s="257">
        <f t="shared" si="5"/>
        <v>14647.578280666668</v>
      </c>
      <c r="BO71" s="714" t="str">
        <f t="shared" si="6"/>
        <v/>
      </c>
    </row>
    <row r="72" spans="2:67" ht="15" customHeight="1" x14ac:dyDescent="0.25">
      <c r="B72" s="19">
        <v>1</v>
      </c>
      <c r="C72" s="44" t="s">
        <v>585</v>
      </c>
      <c r="D72" s="45" t="s">
        <v>586</v>
      </c>
      <c r="E72" s="105" t="s">
        <v>104</v>
      </c>
      <c r="G72" s="477">
        <f>ROUND('TUoS (t-1)'!G72*$BT$134,4)</f>
        <v>0</v>
      </c>
      <c r="H72" s="479"/>
      <c r="I72" s="483">
        <f>ROUND('TUoS (t-1)'!I72*$BT$134,4)</f>
        <v>1.41E-2</v>
      </c>
      <c r="J72" s="461"/>
      <c r="K72" s="484">
        <f>ROUND('TUoS (t-1)'!K72*$BT$134,4)</f>
        <v>8.8000000000000005E-3</v>
      </c>
      <c r="L72" s="461"/>
      <c r="M72" s="461"/>
      <c r="N72" s="461"/>
      <c r="O72" s="462"/>
      <c r="P72" s="461"/>
      <c r="Q72" s="461"/>
      <c r="R72" s="462"/>
      <c r="S72" s="478">
        <f>ROUND('TUoS (t-1)'!S72*$BT$134,4)</f>
        <v>0.1162</v>
      </c>
      <c r="T72" s="483">
        <f>ROUND('TUoS (t-1)'!T72*$BT$134,4)</f>
        <v>0</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0</v>
      </c>
      <c r="AP72" s="184">
        <f t="shared" si="53"/>
        <v>0</v>
      </c>
      <c r="AQ72" s="178">
        <f t="shared" si="53"/>
        <v>4271.2284</v>
      </c>
      <c r="AR72" s="178">
        <f t="shared" si="53"/>
        <v>0</v>
      </c>
      <c r="AS72" s="179">
        <f t="shared" si="53"/>
        <v>2502.9136000000003</v>
      </c>
      <c r="AT72" s="178">
        <f t="shared" si="53"/>
        <v>0</v>
      </c>
      <c r="AU72" s="178">
        <f t="shared" si="53"/>
        <v>0</v>
      </c>
      <c r="AV72" s="178">
        <f t="shared" si="53"/>
        <v>0</v>
      </c>
      <c r="AW72" s="179">
        <f t="shared" si="53"/>
        <v>0</v>
      </c>
      <c r="AX72" s="178">
        <f t="shared" si="54"/>
        <v>0</v>
      </c>
      <c r="AY72" s="178">
        <f t="shared" si="54"/>
        <v>0</v>
      </c>
      <c r="AZ72" s="179">
        <f t="shared" si="54"/>
        <v>0</v>
      </c>
      <c r="BA72" s="184">
        <f t="shared" si="26"/>
        <v>6396.5307326666671</v>
      </c>
      <c r="BB72" s="178">
        <f t="shared" si="26"/>
        <v>0</v>
      </c>
      <c r="BC72" s="184">
        <f t="shared" si="26"/>
        <v>0</v>
      </c>
      <c r="BD72" s="178">
        <f t="shared" si="26"/>
        <v>0</v>
      </c>
      <c r="BE72" s="244">
        <f t="shared" si="3"/>
        <v>149</v>
      </c>
      <c r="BF72" s="245">
        <f t="shared" si="25"/>
        <v>587346</v>
      </c>
      <c r="BH72" s="255">
        <f t="shared" ref="BH72:BH92" si="55">SUM(AO72)</f>
        <v>0</v>
      </c>
      <c r="BI72" s="255">
        <f t="shared" ref="BI72:BI92" si="56">SUM(AP72:AS72)</f>
        <v>6774.1419999999998</v>
      </c>
      <c r="BJ72" s="255">
        <f t="shared" ref="BJ72:BJ92" si="57">SUM(AT72:AW72)</f>
        <v>0</v>
      </c>
      <c r="BK72" s="256">
        <f t="shared" ref="BK72:BK92" si="58">SUM(AX72:BB72)</f>
        <v>6396.5307326666671</v>
      </c>
      <c r="BL72" s="262">
        <f t="shared" ref="BL72:BL92" si="59">SUM(BC72:BD72)</f>
        <v>0</v>
      </c>
      <c r="BM72" s="257">
        <f t="shared" si="5"/>
        <v>13170.672732666666</v>
      </c>
      <c r="BO72" s="714">
        <f t="shared" si="6"/>
        <v>22.424044315729851</v>
      </c>
    </row>
    <row r="73" spans="2:67" ht="15" customHeight="1" x14ac:dyDescent="0.25">
      <c r="B73" s="19">
        <f>B72+1</f>
        <v>2</v>
      </c>
      <c r="C73" s="44" t="s">
        <v>587</v>
      </c>
      <c r="D73" s="45" t="s">
        <v>588</v>
      </c>
      <c r="E73" s="105" t="s">
        <v>105</v>
      </c>
      <c r="G73" s="477">
        <f>ROUND('TUoS (t-1)'!G73*$BT$134,4)</f>
        <v>0</v>
      </c>
      <c r="H73" s="479"/>
      <c r="I73" s="483">
        <f>ROUND('TUoS (t-1)'!I73*$BT$134,4)</f>
        <v>1.41E-2</v>
      </c>
      <c r="J73" s="461"/>
      <c r="K73" s="484">
        <f>ROUND('TUoS (t-1)'!K73*$BT$134,4)</f>
        <v>8.8000000000000005E-3</v>
      </c>
      <c r="L73" s="461"/>
      <c r="M73" s="461"/>
      <c r="N73" s="461"/>
      <c r="O73" s="462"/>
      <c r="P73" s="483">
        <f>ROUND('TUoS (t-1)'!P73*$BT$134,4)</f>
        <v>0.42130000000000001</v>
      </c>
      <c r="Q73" s="461"/>
      <c r="R73" s="462"/>
      <c r="S73" s="479"/>
      <c r="T73" s="483">
        <f>ROUND('TUoS (t-1)'!T73*$BT$134,4)</f>
        <v>0</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0</v>
      </c>
      <c r="AP73" s="184">
        <f t="shared" si="53"/>
        <v>0</v>
      </c>
      <c r="AQ73" s="178">
        <f t="shared" si="53"/>
        <v>365.19</v>
      </c>
      <c r="AR73" s="178">
        <f t="shared" si="53"/>
        <v>0</v>
      </c>
      <c r="AS73" s="179">
        <f t="shared" si="53"/>
        <v>220</v>
      </c>
      <c r="AT73" s="178">
        <f t="shared" si="53"/>
        <v>0</v>
      </c>
      <c r="AU73" s="178">
        <f t="shared" si="53"/>
        <v>0</v>
      </c>
      <c r="AV73" s="178">
        <f t="shared" si="53"/>
        <v>0</v>
      </c>
      <c r="AW73" s="179">
        <f t="shared" si="53"/>
        <v>0</v>
      </c>
      <c r="AX73" s="178">
        <f t="shared" si="54"/>
        <v>626.93863650000003</v>
      </c>
      <c r="AY73" s="178">
        <f t="shared" si="54"/>
        <v>0</v>
      </c>
      <c r="AZ73" s="179">
        <f t="shared" si="54"/>
        <v>0</v>
      </c>
      <c r="BA73" s="184">
        <f t="shared" si="26"/>
        <v>0</v>
      </c>
      <c r="BB73" s="178">
        <f t="shared" si="26"/>
        <v>0</v>
      </c>
      <c r="BC73" s="184">
        <f t="shared" si="26"/>
        <v>0</v>
      </c>
      <c r="BD73" s="178">
        <f t="shared" si="26"/>
        <v>0</v>
      </c>
      <c r="BE73" s="244">
        <f t="shared" si="3"/>
        <v>14</v>
      </c>
      <c r="BF73" s="245">
        <f t="shared" si="25"/>
        <v>50900</v>
      </c>
      <c r="BH73" s="255">
        <f t="shared" si="55"/>
        <v>0</v>
      </c>
      <c r="BI73" s="255">
        <f t="shared" si="56"/>
        <v>585.19000000000005</v>
      </c>
      <c r="BJ73" s="255">
        <f t="shared" si="57"/>
        <v>0</v>
      </c>
      <c r="BK73" s="256">
        <f t="shared" si="58"/>
        <v>626.93863650000003</v>
      </c>
      <c r="BL73" s="262">
        <f t="shared" si="59"/>
        <v>0</v>
      </c>
      <c r="BM73" s="257">
        <f t="shared" si="5"/>
        <v>1212.1286365000001</v>
      </c>
      <c r="BO73" s="714">
        <f t="shared" si="6"/>
        <v>23.813922131630648</v>
      </c>
    </row>
    <row r="74" spans="2:67" ht="15" customHeight="1" x14ac:dyDescent="0.25">
      <c r="B74" s="19">
        <f>B73+1</f>
        <v>3</v>
      </c>
      <c r="C74" s="833" t="s">
        <v>589</v>
      </c>
      <c r="D74" s="834" t="s">
        <v>590</v>
      </c>
      <c r="E74" s="835" t="s">
        <v>106</v>
      </c>
      <c r="G74" s="482"/>
      <c r="H74" s="479"/>
      <c r="I74" s="461"/>
      <c r="J74" s="461"/>
      <c r="K74" s="462"/>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53"/>
        <v>0</v>
      </c>
      <c r="AQ74" s="178">
        <f t="shared" si="53"/>
        <v>0</v>
      </c>
      <c r="AR74" s="178">
        <f t="shared" si="53"/>
        <v>0</v>
      </c>
      <c r="AS74" s="179">
        <f t="shared" si="53"/>
        <v>0</v>
      </c>
      <c r="AT74" s="178">
        <f t="shared" si="53"/>
        <v>0</v>
      </c>
      <c r="AU74" s="178">
        <f t="shared" si="53"/>
        <v>0</v>
      </c>
      <c r="AV74" s="178">
        <f t="shared" si="53"/>
        <v>0</v>
      </c>
      <c r="AW74" s="179">
        <f t="shared" si="53"/>
        <v>0</v>
      </c>
      <c r="AX74" s="178">
        <f t="shared" si="54"/>
        <v>0</v>
      </c>
      <c r="AY74" s="178">
        <f t="shared" si="54"/>
        <v>0</v>
      </c>
      <c r="AZ74" s="179">
        <f t="shared" si="54"/>
        <v>0</v>
      </c>
      <c r="BA74" s="184">
        <f t="shared" si="26"/>
        <v>0</v>
      </c>
      <c r="BB74" s="178">
        <f t="shared" si="26"/>
        <v>0</v>
      </c>
      <c r="BC74" s="184">
        <f t="shared" si="26"/>
        <v>0</v>
      </c>
      <c r="BD74" s="178">
        <f t="shared" si="26"/>
        <v>0</v>
      </c>
      <c r="BE74" s="244">
        <f t="shared" si="3"/>
        <v>0</v>
      </c>
      <c r="BF74" s="245">
        <f t="shared" si="25"/>
        <v>0</v>
      </c>
      <c r="BH74" s="255">
        <f t="shared" si="55"/>
        <v>0</v>
      </c>
      <c r="BI74" s="255">
        <f t="shared" si="56"/>
        <v>0</v>
      </c>
      <c r="BJ74" s="255">
        <f t="shared" si="57"/>
        <v>0</v>
      </c>
      <c r="BK74" s="256">
        <f t="shared" si="58"/>
        <v>0</v>
      </c>
      <c r="BL74" s="262">
        <f t="shared" si="59"/>
        <v>0</v>
      </c>
      <c r="BM74" s="257">
        <f t="shared" si="5"/>
        <v>0</v>
      </c>
      <c r="BO74" s="714" t="str">
        <f t="shared" si="6"/>
        <v/>
      </c>
    </row>
    <row r="75" spans="2:67" ht="15" customHeight="1" x14ac:dyDescent="0.25">
      <c r="B75" s="19">
        <f>B74+1</f>
        <v>4</v>
      </c>
      <c r="C75" s="44" t="s">
        <v>107</v>
      </c>
      <c r="D75" s="45" t="s">
        <v>107</v>
      </c>
      <c r="E75" s="105" t="s">
        <v>108</v>
      </c>
      <c r="G75" s="850">
        <f>ROUND('[15]2020-25 Pricing Schedule'!$K$122/Days_Year,4)</f>
        <v>0</v>
      </c>
      <c r="H75" s="859">
        <f>'[15]2020-25 Pricing Schedule'!$K$125</f>
        <v>2.3100000000000002E-2</v>
      </c>
      <c r="I75" s="461"/>
      <c r="J75" s="461"/>
      <c r="K75" s="462"/>
      <c r="L75" s="461"/>
      <c r="M75" s="461"/>
      <c r="N75" s="461"/>
      <c r="O75" s="462"/>
      <c r="P75" s="461"/>
      <c r="Q75" s="860">
        <f>'TUoS (t-1)'!Q75</f>
        <v>8.6800000000000002E-2</v>
      </c>
      <c r="R75" s="861">
        <f>'TUoS (t-1)'!R75</f>
        <v>4.2900000000000001E-2</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53"/>
        <v>0</v>
      </c>
      <c r="AQ75" s="178">
        <f t="shared" si="53"/>
        <v>0</v>
      </c>
      <c r="AR75" s="178">
        <f t="shared" si="53"/>
        <v>0</v>
      </c>
      <c r="AS75" s="179">
        <f t="shared" si="53"/>
        <v>0</v>
      </c>
      <c r="AT75" s="178">
        <f t="shared" si="53"/>
        <v>0</v>
      </c>
      <c r="AU75" s="178">
        <f t="shared" si="53"/>
        <v>0</v>
      </c>
      <c r="AV75" s="178">
        <f t="shared" si="53"/>
        <v>0</v>
      </c>
      <c r="AW75" s="179">
        <f t="shared" si="53"/>
        <v>0</v>
      </c>
      <c r="AX75" s="178">
        <f t="shared" si="54"/>
        <v>0</v>
      </c>
      <c r="AY75" s="178">
        <f t="shared" si="54"/>
        <v>0</v>
      </c>
      <c r="AZ75" s="179">
        <f t="shared" si="54"/>
        <v>0</v>
      </c>
      <c r="BA75" s="184">
        <f t="shared" si="26"/>
        <v>0</v>
      </c>
      <c r="BB75" s="178">
        <f t="shared" si="26"/>
        <v>0</v>
      </c>
      <c r="BC75" s="184">
        <f t="shared" si="26"/>
        <v>0</v>
      </c>
      <c r="BD75" s="178">
        <f t="shared" si="26"/>
        <v>0</v>
      </c>
      <c r="BE75" s="244">
        <f t="shared" si="3"/>
        <v>0</v>
      </c>
      <c r="BF75" s="245">
        <f t="shared" si="25"/>
        <v>0</v>
      </c>
      <c r="BH75" s="255">
        <f t="shared" si="55"/>
        <v>0</v>
      </c>
      <c r="BI75" s="255">
        <f t="shared" si="56"/>
        <v>0</v>
      </c>
      <c r="BJ75" s="255">
        <f t="shared" si="57"/>
        <v>0</v>
      </c>
      <c r="BK75" s="256">
        <f t="shared" si="58"/>
        <v>0</v>
      </c>
      <c r="BL75" s="262">
        <f t="shared" si="59"/>
        <v>0</v>
      </c>
      <c r="BM75" s="257">
        <f t="shared" si="5"/>
        <v>0</v>
      </c>
      <c r="BO75" s="714" t="str">
        <f t="shared" si="6"/>
        <v/>
      </c>
    </row>
    <row r="76" spans="2:67" ht="15" customHeight="1" x14ac:dyDescent="0.25">
      <c r="B76" s="19">
        <f>B75+1</f>
        <v>5</v>
      </c>
      <c r="C76" s="845" t="s">
        <v>591</v>
      </c>
      <c r="D76" s="76" t="s">
        <v>592</v>
      </c>
      <c r="E76" s="105" t="s">
        <v>109</v>
      </c>
      <c r="G76" s="862">
        <f>G49</f>
        <v>0</v>
      </c>
      <c r="H76" s="479"/>
      <c r="I76" s="851">
        <f>I49</f>
        <v>1.89E-2</v>
      </c>
      <c r="J76" s="461"/>
      <c r="K76" s="852">
        <f>K49</f>
        <v>1.18E-2</v>
      </c>
      <c r="L76" s="461"/>
      <c r="M76" s="461"/>
      <c r="N76" s="461"/>
      <c r="O76" s="462"/>
      <c r="P76" s="461"/>
      <c r="Q76" s="461"/>
      <c r="R76" s="462"/>
      <c r="S76" s="863">
        <f>S49</f>
        <v>0.11609999999999999</v>
      </c>
      <c r="T76" s="851">
        <f>T49</f>
        <v>0</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0</v>
      </c>
      <c r="AP76" s="184">
        <f t="shared" si="53"/>
        <v>0</v>
      </c>
      <c r="AQ76" s="178">
        <f t="shared" si="53"/>
        <v>115.29</v>
      </c>
      <c r="AR76" s="178">
        <f t="shared" si="53"/>
        <v>0</v>
      </c>
      <c r="AS76" s="179">
        <f t="shared" si="53"/>
        <v>56.64</v>
      </c>
      <c r="AT76" s="178">
        <f t="shared" si="53"/>
        <v>0</v>
      </c>
      <c r="AU76" s="178">
        <f t="shared" si="53"/>
        <v>0</v>
      </c>
      <c r="AV76" s="178">
        <f t="shared" si="53"/>
        <v>0</v>
      </c>
      <c r="AW76" s="179">
        <f t="shared" si="53"/>
        <v>0</v>
      </c>
      <c r="AX76" s="178">
        <f t="shared" si="54"/>
        <v>0</v>
      </c>
      <c r="AY76" s="178">
        <f t="shared" si="54"/>
        <v>0</v>
      </c>
      <c r="AZ76" s="179">
        <f t="shared" si="54"/>
        <v>0</v>
      </c>
      <c r="BA76" s="184">
        <f t="shared" si="26"/>
        <v>92.846911500000004</v>
      </c>
      <c r="BB76" s="178">
        <f t="shared" si="26"/>
        <v>0</v>
      </c>
      <c r="BC76" s="184">
        <f t="shared" si="26"/>
        <v>0</v>
      </c>
      <c r="BD76" s="178">
        <f t="shared" si="26"/>
        <v>0</v>
      </c>
      <c r="BE76" s="244">
        <f t="shared" si="3"/>
        <v>24</v>
      </c>
      <c r="BF76" s="245">
        <f t="shared" si="25"/>
        <v>10900</v>
      </c>
      <c r="BH76" s="255">
        <f t="shared" si="55"/>
        <v>0</v>
      </c>
      <c r="BI76" s="255">
        <f t="shared" si="56"/>
        <v>171.93</v>
      </c>
      <c r="BJ76" s="255">
        <f t="shared" si="57"/>
        <v>0</v>
      </c>
      <c r="BK76" s="256">
        <f t="shared" si="58"/>
        <v>92.846911500000004</v>
      </c>
      <c r="BL76" s="262">
        <f t="shared" si="59"/>
        <v>0</v>
      </c>
      <c r="BM76" s="257">
        <f t="shared" si="5"/>
        <v>264.77691149999998</v>
      </c>
      <c r="BO76" s="714">
        <f t="shared" si="6"/>
        <v>24.291459770642202</v>
      </c>
    </row>
    <row r="77" spans="2:67" ht="15" customHeight="1" x14ac:dyDescent="0.25">
      <c r="B77" s="19">
        <f>B76+1</f>
        <v>6</v>
      </c>
      <c r="C77" s="44" t="s">
        <v>593</v>
      </c>
      <c r="D77" s="45" t="s">
        <v>594</v>
      </c>
      <c r="E77" s="105" t="s">
        <v>110</v>
      </c>
      <c r="G77" s="477">
        <f>ROUND('TUoS (t-1)'!G77*$BT$134,4)</f>
        <v>0</v>
      </c>
      <c r="H77" s="479"/>
      <c r="I77" s="483">
        <f>ROUND('TUoS (t-1)'!I77*$BT$134,4)</f>
        <v>0</v>
      </c>
      <c r="J77" s="461"/>
      <c r="K77" s="484">
        <f>ROUND('TUoS (t-1)'!K77*$BT$134,4)</f>
        <v>0</v>
      </c>
      <c r="L77" s="461"/>
      <c r="M77" s="461"/>
      <c r="N77" s="461"/>
      <c r="O77" s="462"/>
      <c r="P77" s="461"/>
      <c r="Q77" s="461"/>
      <c r="R77" s="462"/>
      <c r="S77" s="478">
        <f>ROUND('TUoS (t-1)'!S77*$BT$134,4)</f>
        <v>0.1162</v>
      </c>
      <c r="T77" s="483">
        <f>ROUND('TUoS (t-1)'!T77*$BT$134,4)</f>
        <v>0</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53"/>
        <v>0</v>
      </c>
      <c r="AQ77" s="178">
        <f t="shared" si="53"/>
        <v>0</v>
      </c>
      <c r="AR77" s="178">
        <f t="shared" si="53"/>
        <v>0</v>
      </c>
      <c r="AS77" s="179">
        <f t="shared" si="53"/>
        <v>0</v>
      </c>
      <c r="AT77" s="178">
        <f t="shared" si="53"/>
        <v>0</v>
      </c>
      <c r="AU77" s="178">
        <f t="shared" si="53"/>
        <v>0</v>
      </c>
      <c r="AV77" s="178">
        <f t="shared" si="53"/>
        <v>0</v>
      </c>
      <c r="AW77" s="179">
        <f t="shared" si="53"/>
        <v>0</v>
      </c>
      <c r="AX77" s="178">
        <f t="shared" si="54"/>
        <v>0</v>
      </c>
      <c r="AY77" s="178">
        <f t="shared" si="54"/>
        <v>0</v>
      </c>
      <c r="AZ77" s="179">
        <f t="shared" si="54"/>
        <v>0</v>
      </c>
      <c r="BA77" s="184">
        <f t="shared" si="26"/>
        <v>0</v>
      </c>
      <c r="BB77" s="178">
        <f t="shared" si="26"/>
        <v>0</v>
      </c>
      <c r="BC77" s="184">
        <f t="shared" si="26"/>
        <v>0</v>
      </c>
      <c r="BD77" s="178">
        <f t="shared" si="26"/>
        <v>0</v>
      </c>
      <c r="BE77" s="244">
        <f t="shared" si="3"/>
        <v>9</v>
      </c>
      <c r="BF77" s="245">
        <f t="shared" si="25"/>
        <v>2700</v>
      </c>
      <c r="BH77" s="255">
        <f t="shared" si="55"/>
        <v>0</v>
      </c>
      <c r="BI77" s="255">
        <f t="shared" si="56"/>
        <v>0</v>
      </c>
      <c r="BJ77" s="255">
        <f t="shared" si="57"/>
        <v>0</v>
      </c>
      <c r="BK77" s="256">
        <f t="shared" si="58"/>
        <v>0</v>
      </c>
      <c r="BL77" s="262">
        <f t="shared" si="59"/>
        <v>0</v>
      </c>
      <c r="BM77" s="257">
        <f t="shared" si="5"/>
        <v>0</v>
      </c>
      <c r="BO77" s="714">
        <f t="shared" si="6"/>
        <v>0</v>
      </c>
    </row>
    <row r="78" spans="2:67" ht="15" customHeight="1" x14ac:dyDescent="0.25">
      <c r="B78" s="19"/>
      <c r="C78" s="785"/>
      <c r="D78" s="772"/>
      <c r="E78" s="836"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53"/>
        <v>0</v>
      </c>
      <c r="AQ78" s="178">
        <f t="shared" si="53"/>
        <v>0</v>
      </c>
      <c r="AR78" s="178">
        <f t="shared" si="53"/>
        <v>0</v>
      </c>
      <c r="AS78" s="179">
        <f t="shared" si="53"/>
        <v>0</v>
      </c>
      <c r="AT78" s="178">
        <f t="shared" si="53"/>
        <v>0</v>
      </c>
      <c r="AU78" s="178">
        <f t="shared" si="53"/>
        <v>0</v>
      </c>
      <c r="AV78" s="178">
        <f t="shared" si="53"/>
        <v>0</v>
      </c>
      <c r="AW78" s="179">
        <f t="shared" si="53"/>
        <v>0</v>
      </c>
      <c r="AX78" s="178">
        <f t="shared" si="54"/>
        <v>0</v>
      </c>
      <c r="AY78" s="178">
        <f t="shared" si="54"/>
        <v>0</v>
      </c>
      <c r="AZ78" s="179">
        <f t="shared" si="54"/>
        <v>0</v>
      </c>
      <c r="BA78" s="184">
        <f t="shared" si="26"/>
        <v>0</v>
      </c>
      <c r="BB78" s="178">
        <f t="shared" si="26"/>
        <v>0</v>
      </c>
      <c r="BC78" s="184">
        <f t="shared" si="26"/>
        <v>0</v>
      </c>
      <c r="BD78" s="178">
        <f t="shared" si="26"/>
        <v>0</v>
      </c>
      <c r="BE78" s="244">
        <f t="shared" si="3"/>
        <v>0</v>
      </c>
      <c r="BF78" s="245">
        <f t="shared" si="25"/>
        <v>0</v>
      </c>
      <c r="BH78" s="255">
        <f t="shared" si="55"/>
        <v>0</v>
      </c>
      <c r="BI78" s="255">
        <f t="shared" si="56"/>
        <v>0</v>
      </c>
      <c r="BJ78" s="255">
        <f t="shared" si="57"/>
        <v>0</v>
      </c>
      <c r="BK78" s="256">
        <f t="shared" si="58"/>
        <v>0</v>
      </c>
      <c r="BL78" s="262">
        <f t="shared" si="59"/>
        <v>0</v>
      </c>
      <c r="BM78" s="257">
        <f t="shared" si="5"/>
        <v>0</v>
      </c>
      <c r="BO78" s="714" t="str">
        <f t="shared" si="6"/>
        <v/>
      </c>
    </row>
    <row r="79" spans="2:67" ht="15" customHeight="1" x14ac:dyDescent="0.25">
      <c r="B79" s="19">
        <f>B77+1</f>
        <v>7</v>
      </c>
      <c r="C79" s="833" t="s">
        <v>553</v>
      </c>
      <c r="D79" s="45"/>
      <c r="E79" s="835" t="s">
        <v>104</v>
      </c>
      <c r="G79" s="482"/>
      <c r="H79" s="479"/>
      <c r="I79" s="461"/>
      <c r="J79" s="461"/>
      <c r="K79" s="462"/>
      <c r="L79" s="461"/>
      <c r="M79" s="461"/>
      <c r="N79" s="461"/>
      <c r="O79" s="462"/>
      <c r="P79" s="461"/>
      <c r="Q79" s="461"/>
      <c r="R79" s="462"/>
      <c r="S79" s="479"/>
      <c r="T79" s="461"/>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53"/>
        <v>0</v>
      </c>
      <c r="AQ79" s="178">
        <f t="shared" si="53"/>
        <v>0</v>
      </c>
      <c r="AR79" s="178">
        <f t="shared" si="53"/>
        <v>0</v>
      </c>
      <c r="AS79" s="179">
        <f t="shared" si="53"/>
        <v>0</v>
      </c>
      <c r="AT79" s="178">
        <f t="shared" si="53"/>
        <v>0</v>
      </c>
      <c r="AU79" s="178">
        <f t="shared" si="53"/>
        <v>0</v>
      </c>
      <c r="AV79" s="178">
        <f t="shared" si="53"/>
        <v>0</v>
      </c>
      <c r="AW79" s="179">
        <f t="shared" si="53"/>
        <v>0</v>
      </c>
      <c r="AX79" s="178">
        <f t="shared" si="54"/>
        <v>0</v>
      </c>
      <c r="AY79" s="178">
        <f t="shared" si="54"/>
        <v>0</v>
      </c>
      <c r="AZ79" s="179">
        <f t="shared" si="54"/>
        <v>0</v>
      </c>
      <c r="BA79" s="184">
        <f t="shared" si="26"/>
        <v>0</v>
      </c>
      <c r="BB79" s="178">
        <f t="shared" si="26"/>
        <v>0</v>
      </c>
      <c r="BC79" s="184">
        <f t="shared" si="26"/>
        <v>0</v>
      </c>
      <c r="BD79" s="178">
        <f t="shared" si="26"/>
        <v>0</v>
      </c>
      <c r="BE79" s="244">
        <f t="shared" si="3"/>
        <v>0</v>
      </c>
      <c r="BF79" s="245">
        <f t="shared" si="25"/>
        <v>0</v>
      </c>
      <c r="BH79" s="255">
        <f t="shared" si="55"/>
        <v>0</v>
      </c>
      <c r="BI79" s="255">
        <f t="shared" si="56"/>
        <v>0</v>
      </c>
      <c r="BJ79" s="255">
        <f t="shared" si="57"/>
        <v>0</v>
      </c>
      <c r="BK79" s="256">
        <f t="shared" si="58"/>
        <v>0</v>
      </c>
      <c r="BL79" s="262">
        <f t="shared" si="59"/>
        <v>0</v>
      </c>
      <c r="BM79" s="257">
        <f t="shared" si="5"/>
        <v>0</v>
      </c>
      <c r="BO79" s="714" t="str">
        <f t="shared" si="6"/>
        <v/>
      </c>
    </row>
    <row r="80" spans="2:67" ht="15" customHeight="1" x14ac:dyDescent="0.25">
      <c r="B80" s="19">
        <f t="shared" ref="B80:B93" si="60">B79+1</f>
        <v>8</v>
      </c>
      <c r="C80" s="833" t="s">
        <v>554</v>
      </c>
      <c r="D80" s="45"/>
      <c r="E80" s="835" t="s">
        <v>104</v>
      </c>
      <c r="G80" s="482"/>
      <c r="H80" s="479"/>
      <c r="I80" s="461"/>
      <c r="J80" s="461"/>
      <c r="K80" s="462"/>
      <c r="L80" s="461"/>
      <c r="M80" s="461"/>
      <c r="N80" s="461"/>
      <c r="O80" s="462"/>
      <c r="P80" s="461"/>
      <c r="Q80" s="461"/>
      <c r="R80" s="462"/>
      <c r="S80" s="479"/>
      <c r="T80" s="461"/>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ref="AO80:AO129" si="61">G80*X80/1000</f>
        <v>0</v>
      </c>
      <c r="AP80" s="184">
        <f t="shared" ref="AP80:AW96" si="62">H80*Y80</f>
        <v>0</v>
      </c>
      <c r="AQ80" s="178">
        <f t="shared" si="62"/>
        <v>0</v>
      </c>
      <c r="AR80" s="178">
        <f t="shared" si="62"/>
        <v>0</v>
      </c>
      <c r="AS80" s="179">
        <f t="shared" si="62"/>
        <v>0</v>
      </c>
      <c r="AT80" s="178">
        <f t="shared" si="62"/>
        <v>0</v>
      </c>
      <c r="AU80" s="178">
        <f t="shared" si="62"/>
        <v>0</v>
      </c>
      <c r="AV80" s="178">
        <f t="shared" si="62"/>
        <v>0</v>
      </c>
      <c r="AW80" s="179">
        <f t="shared" si="62"/>
        <v>0</v>
      </c>
      <c r="AX80" s="178">
        <f t="shared" si="54"/>
        <v>0</v>
      </c>
      <c r="AY80" s="178">
        <f t="shared" si="54"/>
        <v>0</v>
      </c>
      <c r="AZ80" s="179">
        <f t="shared" si="54"/>
        <v>0</v>
      </c>
      <c r="BA80" s="184">
        <f t="shared" si="26"/>
        <v>0</v>
      </c>
      <c r="BB80" s="178">
        <f t="shared" si="26"/>
        <v>0</v>
      </c>
      <c r="BC80" s="184">
        <f t="shared" si="26"/>
        <v>0</v>
      </c>
      <c r="BD80" s="178">
        <f t="shared" si="26"/>
        <v>0</v>
      </c>
      <c r="BE80" s="244">
        <f t="shared" ref="BE80:BE129" si="63">X80/$BE$7</f>
        <v>0</v>
      </c>
      <c r="BF80" s="245">
        <f t="shared" ref="BF80:BF111" si="64">SUM(Y80:AF80)</f>
        <v>0</v>
      </c>
      <c r="BH80" s="255">
        <f t="shared" si="55"/>
        <v>0</v>
      </c>
      <c r="BI80" s="255">
        <f t="shared" si="56"/>
        <v>0</v>
      </c>
      <c r="BJ80" s="255">
        <f t="shared" si="57"/>
        <v>0</v>
      </c>
      <c r="BK80" s="256">
        <f t="shared" si="58"/>
        <v>0</v>
      </c>
      <c r="BL80" s="262">
        <f t="shared" si="59"/>
        <v>0</v>
      </c>
      <c r="BM80" s="257">
        <f t="shared" ref="BM80:BM129" si="65">SUM(BH80:BL80)</f>
        <v>0</v>
      </c>
      <c r="BO80" s="714" t="str">
        <f t="shared" ref="BO80:BO129" si="66">IF(BF80=0,"",BM80*1000/BF80)</f>
        <v/>
      </c>
    </row>
    <row r="81" spans="2:75" ht="15" customHeight="1" x14ac:dyDescent="0.25">
      <c r="B81" s="19">
        <f t="shared" si="60"/>
        <v>9</v>
      </c>
      <c r="C81" s="44" t="s">
        <v>566</v>
      </c>
      <c r="D81" s="45"/>
      <c r="E81" s="105" t="s">
        <v>104</v>
      </c>
      <c r="G81" s="862">
        <f>('Cust Specific'!S150)</f>
        <v>0</v>
      </c>
      <c r="H81" s="479"/>
      <c r="I81" s="851">
        <f>'Cust Specific'!S153</f>
        <v>1.41E-2</v>
      </c>
      <c r="J81" s="461"/>
      <c r="K81" s="852">
        <f>'Cust Specific'!S154</f>
        <v>8.8000000000000005E-3</v>
      </c>
      <c r="L81" s="461"/>
      <c r="M81" s="461"/>
      <c r="N81" s="461"/>
      <c r="O81" s="462"/>
      <c r="P81" s="461"/>
      <c r="Q81" s="461"/>
      <c r="R81" s="462"/>
      <c r="S81" s="863">
        <f>'Cust Specific'!S151</f>
        <v>0.1162</v>
      </c>
      <c r="T81" s="851">
        <f>'Cust Specific'!S152</f>
        <v>0</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si="61"/>
        <v>0</v>
      </c>
      <c r="AP81" s="184">
        <f t="shared" si="62"/>
        <v>0</v>
      </c>
      <c r="AQ81" s="178">
        <f t="shared" si="62"/>
        <v>89.957999999999998</v>
      </c>
      <c r="AR81" s="178">
        <f t="shared" si="62"/>
        <v>0</v>
      </c>
      <c r="AS81" s="179">
        <f t="shared" si="62"/>
        <v>122.16160000000001</v>
      </c>
      <c r="AT81" s="178">
        <f t="shared" si="62"/>
        <v>0</v>
      </c>
      <c r="AU81" s="178">
        <f t="shared" si="62"/>
        <v>0</v>
      </c>
      <c r="AV81" s="178">
        <f t="shared" si="62"/>
        <v>0</v>
      </c>
      <c r="AW81" s="179">
        <f t="shared" si="62"/>
        <v>0</v>
      </c>
      <c r="AX81" s="178">
        <f t="shared" si="54"/>
        <v>0</v>
      </c>
      <c r="AY81" s="178">
        <f t="shared" si="54"/>
        <v>0</v>
      </c>
      <c r="AZ81" s="179">
        <f t="shared" si="54"/>
        <v>0</v>
      </c>
      <c r="BA81" s="184">
        <f t="shared" si="26"/>
        <v>60.000257333333337</v>
      </c>
      <c r="BB81" s="178">
        <f t="shared" si="26"/>
        <v>0</v>
      </c>
      <c r="BC81" s="184">
        <f t="shared" si="26"/>
        <v>0</v>
      </c>
      <c r="BD81" s="178">
        <f t="shared" si="26"/>
        <v>0</v>
      </c>
      <c r="BE81" s="244">
        <f>X81/$BE$7</f>
        <v>1</v>
      </c>
      <c r="BF81" s="245">
        <f t="shared" si="64"/>
        <v>20262</v>
      </c>
      <c r="BH81" s="255">
        <f t="shared" si="55"/>
        <v>0</v>
      </c>
      <c r="BI81" s="255">
        <f t="shared" si="56"/>
        <v>212.11959999999999</v>
      </c>
      <c r="BJ81" s="255">
        <f t="shared" si="57"/>
        <v>0</v>
      </c>
      <c r="BK81" s="256">
        <f t="shared" si="58"/>
        <v>60.000257333333337</v>
      </c>
      <c r="BL81" s="262">
        <f t="shared" si="59"/>
        <v>0</v>
      </c>
      <c r="BM81" s="257">
        <f t="shared" si="65"/>
        <v>272.11985733333336</v>
      </c>
      <c r="BO81" s="714">
        <f t="shared" si="66"/>
        <v>13.430059092554208</v>
      </c>
    </row>
    <row r="82" spans="2:75" ht="15" customHeight="1" x14ac:dyDescent="0.25">
      <c r="B82" s="19">
        <f t="shared" si="60"/>
        <v>10</v>
      </c>
      <c r="C82" s="833" t="s">
        <v>555</v>
      </c>
      <c r="D82" s="45"/>
      <c r="E82" s="835" t="s">
        <v>104</v>
      </c>
      <c r="G82" s="482"/>
      <c r="H82" s="479"/>
      <c r="I82" s="461"/>
      <c r="J82" s="461"/>
      <c r="K82" s="462"/>
      <c r="L82" s="461"/>
      <c r="M82" s="461"/>
      <c r="N82" s="461"/>
      <c r="O82" s="462"/>
      <c r="P82" s="461"/>
      <c r="Q82" s="461"/>
      <c r="R82" s="462"/>
      <c r="S82" s="479"/>
      <c r="T82" s="461"/>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61"/>
        <v>0</v>
      </c>
      <c r="AP82" s="184">
        <f t="shared" si="62"/>
        <v>0</v>
      </c>
      <c r="AQ82" s="178">
        <f t="shared" si="62"/>
        <v>0</v>
      </c>
      <c r="AR82" s="178">
        <f t="shared" si="62"/>
        <v>0</v>
      </c>
      <c r="AS82" s="179">
        <f t="shared" si="62"/>
        <v>0</v>
      </c>
      <c r="AT82" s="178">
        <f t="shared" si="62"/>
        <v>0</v>
      </c>
      <c r="AU82" s="178">
        <f t="shared" si="62"/>
        <v>0</v>
      </c>
      <c r="AV82" s="178">
        <f t="shared" si="62"/>
        <v>0</v>
      </c>
      <c r="AW82" s="179">
        <f t="shared" si="62"/>
        <v>0</v>
      </c>
      <c r="AX82" s="178">
        <f t="shared" si="54"/>
        <v>0</v>
      </c>
      <c r="AY82" s="178">
        <f t="shared" si="54"/>
        <v>0</v>
      </c>
      <c r="AZ82" s="179">
        <f t="shared" si="54"/>
        <v>0</v>
      </c>
      <c r="BA82" s="184">
        <f t="shared" si="26"/>
        <v>0</v>
      </c>
      <c r="BB82" s="178">
        <f t="shared" si="26"/>
        <v>0</v>
      </c>
      <c r="BC82" s="184">
        <f t="shared" si="26"/>
        <v>0</v>
      </c>
      <c r="BD82" s="178">
        <f t="shared" si="26"/>
        <v>0</v>
      </c>
      <c r="BE82" s="244">
        <f>X82/$BE$7</f>
        <v>0</v>
      </c>
      <c r="BF82" s="245">
        <f t="shared" si="64"/>
        <v>0</v>
      </c>
      <c r="BH82" s="255">
        <f t="shared" si="55"/>
        <v>0</v>
      </c>
      <c r="BI82" s="255">
        <f t="shared" si="56"/>
        <v>0</v>
      </c>
      <c r="BJ82" s="255">
        <f t="shared" si="57"/>
        <v>0</v>
      </c>
      <c r="BK82" s="256">
        <f t="shared" si="58"/>
        <v>0</v>
      </c>
      <c r="BL82" s="262">
        <f t="shared" si="59"/>
        <v>0</v>
      </c>
      <c r="BM82" s="257">
        <f t="shared" si="65"/>
        <v>0</v>
      </c>
      <c r="BO82" s="714" t="str">
        <f t="shared" si="66"/>
        <v/>
      </c>
    </row>
    <row r="83" spans="2:75" ht="15" customHeight="1" x14ac:dyDescent="0.25">
      <c r="B83" s="19">
        <f t="shared" si="60"/>
        <v>11</v>
      </c>
      <c r="C83" s="833" t="s">
        <v>556</v>
      </c>
      <c r="D83" s="45"/>
      <c r="E83" s="835" t="s">
        <v>104</v>
      </c>
      <c r="G83" s="482"/>
      <c r="H83" s="479"/>
      <c r="I83" s="461"/>
      <c r="J83" s="461"/>
      <c r="K83" s="462"/>
      <c r="L83" s="461"/>
      <c r="M83" s="461"/>
      <c r="N83" s="461"/>
      <c r="O83" s="462"/>
      <c r="P83" s="461"/>
      <c r="Q83" s="461"/>
      <c r="R83" s="462"/>
      <c r="S83" s="479"/>
      <c r="T83" s="461"/>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61"/>
        <v>0</v>
      </c>
      <c r="AP83" s="184">
        <f t="shared" si="62"/>
        <v>0</v>
      </c>
      <c r="AQ83" s="178">
        <f t="shared" si="62"/>
        <v>0</v>
      </c>
      <c r="AR83" s="178">
        <f t="shared" si="62"/>
        <v>0</v>
      </c>
      <c r="AS83" s="179">
        <f t="shared" si="62"/>
        <v>0</v>
      </c>
      <c r="AT83" s="178">
        <f t="shared" si="62"/>
        <v>0</v>
      </c>
      <c r="AU83" s="178">
        <f t="shared" si="62"/>
        <v>0</v>
      </c>
      <c r="AV83" s="178">
        <f t="shared" si="62"/>
        <v>0</v>
      </c>
      <c r="AW83" s="179">
        <f t="shared" si="62"/>
        <v>0</v>
      </c>
      <c r="AX83" s="178">
        <f t="shared" si="54"/>
        <v>0</v>
      </c>
      <c r="AY83" s="178">
        <f t="shared" si="54"/>
        <v>0</v>
      </c>
      <c r="AZ83" s="179">
        <f t="shared" si="54"/>
        <v>0</v>
      </c>
      <c r="BA83" s="184">
        <f t="shared" si="26"/>
        <v>0</v>
      </c>
      <c r="BB83" s="178">
        <f t="shared" si="26"/>
        <v>0</v>
      </c>
      <c r="BC83" s="184">
        <f t="shared" si="26"/>
        <v>0</v>
      </c>
      <c r="BD83" s="178">
        <f t="shared" si="26"/>
        <v>0</v>
      </c>
      <c r="BE83" s="244">
        <f>X83/$BE$7</f>
        <v>0</v>
      </c>
      <c r="BF83" s="245">
        <f t="shared" si="64"/>
        <v>0</v>
      </c>
      <c r="BH83" s="255">
        <f t="shared" si="55"/>
        <v>0</v>
      </c>
      <c r="BI83" s="255">
        <f t="shared" si="56"/>
        <v>0</v>
      </c>
      <c r="BJ83" s="255">
        <f t="shared" si="57"/>
        <v>0</v>
      </c>
      <c r="BK83" s="256">
        <f t="shared" si="58"/>
        <v>0</v>
      </c>
      <c r="BL83" s="262">
        <f t="shared" si="59"/>
        <v>0</v>
      </c>
      <c r="BM83" s="257">
        <f t="shared" si="65"/>
        <v>0</v>
      </c>
      <c r="BO83" s="714" t="str">
        <f t="shared" si="66"/>
        <v/>
      </c>
    </row>
    <row r="84" spans="2:75" ht="15" customHeight="1" x14ac:dyDescent="0.25">
      <c r="B84" s="19">
        <f t="shared" si="60"/>
        <v>12</v>
      </c>
      <c r="C84" s="833" t="s">
        <v>557</v>
      </c>
      <c r="D84" s="45"/>
      <c r="E84" s="835" t="s">
        <v>104</v>
      </c>
      <c r="G84" s="482"/>
      <c r="H84" s="479"/>
      <c r="I84" s="461"/>
      <c r="J84" s="461"/>
      <c r="K84" s="462"/>
      <c r="L84" s="461"/>
      <c r="M84" s="461"/>
      <c r="N84" s="461"/>
      <c r="O84" s="462"/>
      <c r="P84" s="461"/>
      <c r="Q84" s="461"/>
      <c r="R84" s="462"/>
      <c r="S84" s="479"/>
      <c r="T84" s="461"/>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61"/>
        <v>0</v>
      </c>
      <c r="AP84" s="184">
        <f t="shared" si="62"/>
        <v>0</v>
      </c>
      <c r="AQ84" s="178">
        <f t="shared" si="62"/>
        <v>0</v>
      </c>
      <c r="AR84" s="178">
        <f t="shared" si="62"/>
        <v>0</v>
      </c>
      <c r="AS84" s="179">
        <f t="shared" si="62"/>
        <v>0</v>
      </c>
      <c r="AT84" s="178">
        <f t="shared" si="62"/>
        <v>0</v>
      </c>
      <c r="AU84" s="178">
        <f t="shared" si="62"/>
        <v>0</v>
      </c>
      <c r="AV84" s="178">
        <f t="shared" si="62"/>
        <v>0</v>
      </c>
      <c r="AW84" s="179">
        <f t="shared" si="62"/>
        <v>0</v>
      </c>
      <c r="AX84" s="178">
        <f t="shared" si="54"/>
        <v>0</v>
      </c>
      <c r="AY84" s="178">
        <f t="shared" si="54"/>
        <v>0</v>
      </c>
      <c r="AZ84" s="179">
        <f t="shared" si="54"/>
        <v>0</v>
      </c>
      <c r="BA84" s="184">
        <f t="shared" si="26"/>
        <v>0</v>
      </c>
      <c r="BB84" s="178">
        <f t="shared" si="26"/>
        <v>0</v>
      </c>
      <c r="BC84" s="184">
        <f t="shared" si="26"/>
        <v>0</v>
      </c>
      <c r="BD84" s="178">
        <f t="shared" si="26"/>
        <v>0</v>
      </c>
      <c r="BE84" s="244">
        <f>X84/$BE$7</f>
        <v>0</v>
      </c>
      <c r="BF84" s="245">
        <f t="shared" si="64"/>
        <v>0</v>
      </c>
      <c r="BH84" s="255">
        <f t="shared" si="55"/>
        <v>0</v>
      </c>
      <c r="BI84" s="255">
        <f t="shared" si="56"/>
        <v>0</v>
      </c>
      <c r="BJ84" s="255">
        <f t="shared" si="57"/>
        <v>0</v>
      </c>
      <c r="BK84" s="256">
        <f t="shared" si="58"/>
        <v>0</v>
      </c>
      <c r="BL84" s="262">
        <f t="shared" si="59"/>
        <v>0</v>
      </c>
      <c r="BM84" s="257">
        <f t="shared" si="65"/>
        <v>0</v>
      </c>
      <c r="BO84" s="714" t="str">
        <f t="shared" si="66"/>
        <v/>
      </c>
    </row>
    <row r="85" spans="2:75" ht="15" customHeight="1" x14ac:dyDescent="0.25">
      <c r="B85" s="19">
        <f t="shared" si="60"/>
        <v>13</v>
      </c>
      <c r="C85" s="44" t="s">
        <v>558</v>
      </c>
      <c r="D85" s="45"/>
      <c r="E85" s="105" t="s">
        <v>104</v>
      </c>
      <c r="G85" s="862">
        <f>('Cust Specific'!S182)</f>
        <v>100.46850000000001</v>
      </c>
      <c r="H85" s="479"/>
      <c r="I85" s="851">
        <f>'Cust Specific'!S185</f>
        <v>0</v>
      </c>
      <c r="J85" s="461"/>
      <c r="K85" s="852">
        <f>'Cust Specific'!S186</f>
        <v>0</v>
      </c>
      <c r="L85" s="461"/>
      <c r="M85" s="461"/>
      <c r="N85" s="461"/>
      <c r="O85" s="462"/>
      <c r="P85" s="461"/>
      <c r="Q85" s="461"/>
      <c r="R85" s="462"/>
      <c r="S85" s="863">
        <f>'Cust Specific'!S183</f>
        <v>0.17349999999999999</v>
      </c>
      <c r="T85" s="851">
        <f>'Cust Specific'!S184</f>
        <v>0</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61"/>
        <v>36.6710025</v>
      </c>
      <c r="AP85" s="184">
        <f t="shared" si="62"/>
        <v>0</v>
      </c>
      <c r="AQ85" s="178">
        <f t="shared" si="62"/>
        <v>0</v>
      </c>
      <c r="AR85" s="178">
        <f t="shared" si="62"/>
        <v>0</v>
      </c>
      <c r="AS85" s="179">
        <f t="shared" si="62"/>
        <v>0</v>
      </c>
      <c r="AT85" s="178">
        <f t="shared" si="62"/>
        <v>0</v>
      </c>
      <c r="AU85" s="178">
        <f t="shared" si="62"/>
        <v>0</v>
      </c>
      <c r="AV85" s="178">
        <f t="shared" si="62"/>
        <v>0</v>
      </c>
      <c r="AW85" s="179">
        <f t="shared" si="62"/>
        <v>0</v>
      </c>
      <c r="AX85" s="178">
        <f t="shared" si="54"/>
        <v>0</v>
      </c>
      <c r="AY85" s="178">
        <f t="shared" si="54"/>
        <v>0</v>
      </c>
      <c r="AZ85" s="179">
        <f t="shared" si="54"/>
        <v>0</v>
      </c>
      <c r="BA85" s="184">
        <f t="shared" si="26"/>
        <v>272.75154249999997</v>
      </c>
      <c r="BB85" s="178">
        <f t="shared" si="26"/>
        <v>0</v>
      </c>
      <c r="BC85" s="184">
        <f t="shared" si="26"/>
        <v>0</v>
      </c>
      <c r="BD85" s="178">
        <f t="shared" si="26"/>
        <v>0</v>
      </c>
      <c r="BE85" s="244">
        <f t="shared" si="63"/>
        <v>1</v>
      </c>
      <c r="BF85" s="245">
        <f t="shared" si="64"/>
        <v>22800</v>
      </c>
      <c r="BH85" s="255">
        <f t="shared" si="55"/>
        <v>36.6710025</v>
      </c>
      <c r="BI85" s="255">
        <f t="shared" si="56"/>
        <v>0</v>
      </c>
      <c r="BJ85" s="255">
        <f t="shared" si="57"/>
        <v>0</v>
      </c>
      <c r="BK85" s="256">
        <f t="shared" si="58"/>
        <v>272.75154249999997</v>
      </c>
      <c r="BL85" s="262">
        <f t="shared" si="59"/>
        <v>0</v>
      </c>
      <c r="BM85" s="257">
        <f t="shared" si="65"/>
        <v>309.42254499999996</v>
      </c>
      <c r="BO85" s="714">
        <f t="shared" si="66"/>
        <v>13.571164254385964</v>
      </c>
    </row>
    <row r="86" spans="2:75" ht="15" customHeight="1" x14ac:dyDescent="0.25">
      <c r="B86" s="19">
        <f t="shared" si="60"/>
        <v>14</v>
      </c>
      <c r="C86" s="44" t="s">
        <v>631</v>
      </c>
      <c r="D86" s="45"/>
      <c r="E86" s="105" t="s">
        <v>104</v>
      </c>
      <c r="G86" s="862">
        <f>'Cust Specific'!S190</f>
        <v>0</v>
      </c>
      <c r="H86" s="479"/>
      <c r="I86" s="851">
        <f>'Cust Specific'!S193</f>
        <v>1.41E-2</v>
      </c>
      <c r="J86" s="461"/>
      <c r="K86" s="852">
        <f>'Cust Specific'!S194</f>
        <v>8.8000000000000005E-3</v>
      </c>
      <c r="L86" s="461"/>
      <c r="M86" s="461"/>
      <c r="N86" s="461"/>
      <c r="O86" s="462"/>
      <c r="P86" s="461"/>
      <c r="Q86" s="461"/>
      <c r="R86" s="462"/>
      <c r="S86" s="863">
        <f>'Cust Specific'!S191</f>
        <v>0.1162</v>
      </c>
      <c r="T86" s="851">
        <f>'Cust Specific'!S192</f>
        <v>0</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G86*X86/1000</f>
        <v>0</v>
      </c>
      <c r="AP86" s="184">
        <f t="shared" ref="AP86:AW86" si="67">H86*Y86</f>
        <v>0</v>
      </c>
      <c r="AQ86" s="178">
        <f t="shared" si="67"/>
        <v>146.63999999999999</v>
      </c>
      <c r="AR86" s="178">
        <f t="shared" si="67"/>
        <v>0</v>
      </c>
      <c r="AS86" s="179">
        <f t="shared" si="67"/>
        <v>84.48</v>
      </c>
      <c r="AT86" s="178">
        <f t="shared" si="67"/>
        <v>0</v>
      </c>
      <c r="AU86" s="178">
        <f t="shared" si="67"/>
        <v>0</v>
      </c>
      <c r="AV86" s="178">
        <f t="shared" si="67"/>
        <v>0</v>
      </c>
      <c r="AW86" s="179">
        <f t="shared" si="67"/>
        <v>0</v>
      </c>
      <c r="AX86" s="178">
        <f t="shared" ref="AX86:BD86" si="68">P86*AG86/1000</f>
        <v>0</v>
      </c>
      <c r="AY86" s="178">
        <f t="shared" si="68"/>
        <v>0</v>
      </c>
      <c r="AZ86" s="179">
        <f t="shared" si="68"/>
        <v>0</v>
      </c>
      <c r="BA86" s="184">
        <f t="shared" si="68"/>
        <v>172.917801</v>
      </c>
      <c r="BB86" s="178">
        <f t="shared" si="68"/>
        <v>0</v>
      </c>
      <c r="BC86" s="184">
        <f t="shared" si="68"/>
        <v>0</v>
      </c>
      <c r="BD86" s="178">
        <f t="shared" si="68"/>
        <v>0</v>
      </c>
      <c r="BE86" s="244">
        <f>X86/$BE$7</f>
        <v>1</v>
      </c>
      <c r="BF86" s="245">
        <f>SUM(Y86:AF86)</f>
        <v>20000</v>
      </c>
      <c r="BH86" s="255">
        <f>SUM(AO86)</f>
        <v>0</v>
      </c>
      <c r="BI86" s="255">
        <f>SUM(AP86:AS86)</f>
        <v>231.12</v>
      </c>
      <c r="BJ86" s="255">
        <f>SUM(AT86:AW86)</f>
        <v>0</v>
      </c>
      <c r="BK86" s="256">
        <f>SUM(AX86:BB86)</f>
        <v>172.917801</v>
      </c>
      <c r="BL86" s="262">
        <f>SUM(BC86:BD86)</f>
        <v>0</v>
      </c>
      <c r="BM86" s="257">
        <f>SUM(BH86:BL86)</f>
        <v>404.037801</v>
      </c>
      <c r="BO86" s="714">
        <f>IF(BF86=0,"",BM86*1000/BF86)</f>
        <v>20.201890049999999</v>
      </c>
    </row>
    <row r="87" spans="2:75" ht="15" customHeight="1" x14ac:dyDescent="0.25">
      <c r="B87" s="19">
        <f t="shared" si="60"/>
        <v>15</v>
      </c>
      <c r="C87" s="833" t="s">
        <v>559</v>
      </c>
      <c r="D87" s="45"/>
      <c r="E87" s="835" t="s">
        <v>104</v>
      </c>
      <c r="G87" s="482"/>
      <c r="H87" s="479"/>
      <c r="I87" s="461"/>
      <c r="J87" s="461"/>
      <c r="K87" s="462"/>
      <c r="L87" s="461"/>
      <c r="M87" s="461"/>
      <c r="N87" s="461"/>
      <c r="O87" s="462"/>
      <c r="P87" s="461"/>
      <c r="Q87" s="461"/>
      <c r="R87" s="462"/>
      <c r="S87" s="479"/>
      <c r="T87" s="461"/>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61"/>
        <v>0</v>
      </c>
      <c r="AP87" s="184">
        <f t="shared" si="62"/>
        <v>0</v>
      </c>
      <c r="AQ87" s="178">
        <f t="shared" si="62"/>
        <v>0</v>
      </c>
      <c r="AR87" s="178">
        <f t="shared" si="62"/>
        <v>0</v>
      </c>
      <c r="AS87" s="179">
        <f t="shared" si="62"/>
        <v>0</v>
      </c>
      <c r="AT87" s="178">
        <f t="shared" si="62"/>
        <v>0</v>
      </c>
      <c r="AU87" s="178">
        <f t="shared" si="62"/>
        <v>0</v>
      </c>
      <c r="AV87" s="178">
        <f t="shared" si="62"/>
        <v>0</v>
      </c>
      <c r="AW87" s="179">
        <f t="shared" si="62"/>
        <v>0</v>
      </c>
      <c r="AX87" s="178">
        <f t="shared" si="54"/>
        <v>0</v>
      </c>
      <c r="AY87" s="178">
        <f t="shared" si="54"/>
        <v>0</v>
      </c>
      <c r="AZ87" s="179">
        <f t="shared" si="54"/>
        <v>0</v>
      </c>
      <c r="BA87" s="184">
        <f t="shared" si="26"/>
        <v>0</v>
      </c>
      <c r="BB87" s="178">
        <f t="shared" si="26"/>
        <v>0</v>
      </c>
      <c r="BC87" s="184">
        <f t="shared" si="26"/>
        <v>0</v>
      </c>
      <c r="BD87" s="178">
        <f t="shared" si="26"/>
        <v>0</v>
      </c>
      <c r="BE87" s="244">
        <f t="shared" si="63"/>
        <v>0</v>
      </c>
      <c r="BF87" s="245">
        <f t="shared" si="64"/>
        <v>0</v>
      </c>
      <c r="BH87" s="255">
        <f t="shared" si="55"/>
        <v>0</v>
      </c>
      <c r="BI87" s="255">
        <f t="shared" si="56"/>
        <v>0</v>
      </c>
      <c r="BJ87" s="255">
        <f t="shared" si="57"/>
        <v>0</v>
      </c>
      <c r="BK87" s="256">
        <f t="shared" si="58"/>
        <v>0</v>
      </c>
      <c r="BL87" s="262">
        <f t="shared" si="59"/>
        <v>0</v>
      </c>
      <c r="BM87" s="257">
        <f t="shared" si="65"/>
        <v>0</v>
      </c>
      <c r="BO87" s="714" t="str">
        <f t="shared" si="66"/>
        <v/>
      </c>
    </row>
    <row r="88" spans="2:75" ht="15" customHeight="1" x14ac:dyDescent="0.25">
      <c r="B88" s="19">
        <f t="shared" si="60"/>
        <v>16</v>
      </c>
      <c r="C88" s="785"/>
      <c r="D88" s="772"/>
      <c r="E88" s="836"/>
      <c r="G88" s="482"/>
      <c r="H88" s="479"/>
      <c r="I88" s="461"/>
      <c r="J88" s="461"/>
      <c r="K88" s="462"/>
      <c r="L88" s="461"/>
      <c r="M88" s="461"/>
      <c r="N88" s="461"/>
      <c r="O88" s="462"/>
      <c r="P88" s="461"/>
      <c r="Q88" s="461"/>
      <c r="R88" s="462"/>
      <c r="S88" s="479"/>
      <c r="T88" s="461"/>
      <c r="U88" s="479"/>
      <c r="V88" s="462"/>
      <c r="X88" s="183">
        <f>'Q (t)'!G88</f>
        <v>0</v>
      </c>
      <c r="Y88" s="184">
        <f>'Q (t)'!H88</f>
        <v>0</v>
      </c>
      <c r="Z88" s="178">
        <f>'Q (t)'!I88</f>
        <v>0</v>
      </c>
      <c r="AA88" s="178">
        <f>'Q (t)'!J88</f>
        <v>0</v>
      </c>
      <c r="AB88" s="179">
        <f>'Q (t)'!K88</f>
        <v>0</v>
      </c>
      <c r="AC88" s="178">
        <f>'Q (t)'!L88</f>
        <v>0</v>
      </c>
      <c r="AD88" s="178">
        <f>'Q (t)'!M88</f>
        <v>0</v>
      </c>
      <c r="AE88" s="178">
        <f>'Q (t)'!N88</f>
        <v>0</v>
      </c>
      <c r="AF88" s="179">
        <f>'Q (t)'!O88</f>
        <v>0</v>
      </c>
      <c r="AG88" s="178">
        <f>'Q (t)'!P88</f>
        <v>0</v>
      </c>
      <c r="AH88" s="178">
        <f>'Q (t)'!Q88</f>
        <v>0</v>
      </c>
      <c r="AI88" s="179">
        <f>'Q (t)'!R88</f>
        <v>0</v>
      </c>
      <c r="AJ88" s="184">
        <f>'Q (t)'!S88</f>
        <v>0</v>
      </c>
      <c r="AK88" s="178">
        <f>'Q (t)'!T88</f>
        <v>0</v>
      </c>
      <c r="AL88" s="184">
        <f>'Q (t)'!U88</f>
        <v>0</v>
      </c>
      <c r="AM88" s="179">
        <f>'Q (t)'!V88</f>
        <v>0</v>
      </c>
      <c r="AO88" s="183">
        <f t="shared" si="61"/>
        <v>0</v>
      </c>
      <c r="AP88" s="184">
        <f t="shared" si="62"/>
        <v>0</v>
      </c>
      <c r="AQ88" s="178">
        <f t="shared" si="62"/>
        <v>0</v>
      </c>
      <c r="AR88" s="178">
        <f t="shared" si="62"/>
        <v>0</v>
      </c>
      <c r="AS88" s="179">
        <f t="shared" si="62"/>
        <v>0</v>
      </c>
      <c r="AT88" s="178">
        <f t="shared" si="62"/>
        <v>0</v>
      </c>
      <c r="AU88" s="178">
        <f t="shared" si="62"/>
        <v>0</v>
      </c>
      <c r="AV88" s="178">
        <f t="shared" si="62"/>
        <v>0</v>
      </c>
      <c r="AW88" s="179">
        <f t="shared" si="62"/>
        <v>0</v>
      </c>
      <c r="AX88" s="178">
        <f t="shared" si="54"/>
        <v>0</v>
      </c>
      <c r="AY88" s="178">
        <f t="shared" si="54"/>
        <v>0</v>
      </c>
      <c r="AZ88" s="179">
        <f t="shared" si="54"/>
        <v>0</v>
      </c>
      <c r="BA88" s="184">
        <f t="shared" si="26"/>
        <v>0</v>
      </c>
      <c r="BB88" s="178">
        <f t="shared" si="26"/>
        <v>0</v>
      </c>
      <c r="BC88" s="184">
        <f t="shared" si="26"/>
        <v>0</v>
      </c>
      <c r="BD88" s="178">
        <f t="shared" si="26"/>
        <v>0</v>
      </c>
      <c r="BE88" s="244">
        <f t="shared" si="63"/>
        <v>0</v>
      </c>
      <c r="BF88" s="245">
        <f t="shared" si="64"/>
        <v>0</v>
      </c>
      <c r="BH88" s="255">
        <f t="shared" si="55"/>
        <v>0</v>
      </c>
      <c r="BI88" s="255">
        <f t="shared" si="56"/>
        <v>0</v>
      </c>
      <c r="BJ88" s="255">
        <f t="shared" si="57"/>
        <v>0</v>
      </c>
      <c r="BK88" s="256">
        <f t="shared" si="58"/>
        <v>0</v>
      </c>
      <c r="BL88" s="262">
        <f t="shared" si="59"/>
        <v>0</v>
      </c>
      <c r="BM88" s="257">
        <f t="shared" si="65"/>
        <v>0</v>
      </c>
      <c r="BO88" s="714" t="str">
        <f t="shared" si="66"/>
        <v/>
      </c>
    </row>
    <row r="89" spans="2:75" ht="15" customHeight="1" x14ac:dyDescent="0.25">
      <c r="B89" s="19">
        <f t="shared" si="60"/>
        <v>17</v>
      </c>
      <c r="C89" s="785"/>
      <c r="D89" s="772"/>
      <c r="E89" s="836"/>
      <c r="G89" s="482"/>
      <c r="H89" s="479"/>
      <c r="I89" s="461"/>
      <c r="J89" s="461"/>
      <c r="K89" s="462"/>
      <c r="L89" s="461"/>
      <c r="M89" s="461"/>
      <c r="N89" s="461"/>
      <c r="O89" s="462"/>
      <c r="P89" s="461"/>
      <c r="Q89" s="461"/>
      <c r="R89" s="462"/>
      <c r="S89" s="479"/>
      <c r="T89" s="461"/>
      <c r="U89" s="479"/>
      <c r="V89" s="462"/>
      <c r="X89" s="183">
        <f>'Q (t)'!G89</f>
        <v>0</v>
      </c>
      <c r="Y89" s="184">
        <f>'Q (t)'!H89</f>
        <v>0</v>
      </c>
      <c r="Z89" s="178">
        <f>'Q (t)'!I89</f>
        <v>0</v>
      </c>
      <c r="AA89" s="178">
        <f>'Q (t)'!J89</f>
        <v>0</v>
      </c>
      <c r="AB89" s="179">
        <f>'Q (t)'!K89</f>
        <v>0</v>
      </c>
      <c r="AC89" s="178">
        <f>'Q (t)'!L89</f>
        <v>0</v>
      </c>
      <c r="AD89" s="178">
        <f>'Q (t)'!M89</f>
        <v>0</v>
      </c>
      <c r="AE89" s="178">
        <f>'Q (t)'!N89</f>
        <v>0</v>
      </c>
      <c r="AF89" s="179">
        <f>'Q (t)'!O89</f>
        <v>0</v>
      </c>
      <c r="AG89" s="178">
        <f>'Q (t)'!P89</f>
        <v>0</v>
      </c>
      <c r="AH89" s="178">
        <f>'Q (t)'!Q89</f>
        <v>0</v>
      </c>
      <c r="AI89" s="179">
        <f>'Q (t)'!R89</f>
        <v>0</v>
      </c>
      <c r="AJ89" s="184">
        <f>'Q (t)'!S89</f>
        <v>0</v>
      </c>
      <c r="AK89" s="178">
        <f>'Q (t)'!T89</f>
        <v>0</v>
      </c>
      <c r="AL89" s="184">
        <f>'Q (t)'!U89</f>
        <v>0</v>
      </c>
      <c r="AM89" s="179">
        <f>'Q (t)'!V89</f>
        <v>0</v>
      </c>
      <c r="AO89" s="183">
        <f t="shared" si="61"/>
        <v>0</v>
      </c>
      <c r="AP89" s="184">
        <f t="shared" si="62"/>
        <v>0</v>
      </c>
      <c r="AQ89" s="178">
        <f t="shared" si="62"/>
        <v>0</v>
      </c>
      <c r="AR89" s="178">
        <f t="shared" si="62"/>
        <v>0</v>
      </c>
      <c r="AS89" s="179">
        <f t="shared" si="62"/>
        <v>0</v>
      </c>
      <c r="AT89" s="178">
        <f t="shared" si="62"/>
        <v>0</v>
      </c>
      <c r="AU89" s="178">
        <f t="shared" si="62"/>
        <v>0</v>
      </c>
      <c r="AV89" s="178">
        <f t="shared" si="62"/>
        <v>0</v>
      </c>
      <c r="AW89" s="179">
        <f t="shared" si="62"/>
        <v>0</v>
      </c>
      <c r="AX89" s="178">
        <f t="shared" si="54"/>
        <v>0</v>
      </c>
      <c r="AY89" s="178">
        <f t="shared" si="54"/>
        <v>0</v>
      </c>
      <c r="AZ89" s="179">
        <f t="shared" si="54"/>
        <v>0</v>
      </c>
      <c r="BA89" s="184">
        <f t="shared" si="26"/>
        <v>0</v>
      </c>
      <c r="BB89" s="178">
        <f t="shared" si="26"/>
        <v>0</v>
      </c>
      <c r="BC89" s="184">
        <f t="shared" si="26"/>
        <v>0</v>
      </c>
      <c r="BD89" s="178">
        <f t="shared" si="26"/>
        <v>0</v>
      </c>
      <c r="BE89" s="244">
        <f t="shared" si="63"/>
        <v>0</v>
      </c>
      <c r="BF89" s="245">
        <f t="shared" si="64"/>
        <v>0</v>
      </c>
      <c r="BH89" s="255">
        <f t="shared" si="55"/>
        <v>0</v>
      </c>
      <c r="BI89" s="255">
        <f t="shared" si="56"/>
        <v>0</v>
      </c>
      <c r="BJ89" s="255">
        <f t="shared" si="57"/>
        <v>0</v>
      </c>
      <c r="BK89" s="256">
        <f t="shared" si="58"/>
        <v>0</v>
      </c>
      <c r="BL89" s="262">
        <f t="shared" si="59"/>
        <v>0</v>
      </c>
      <c r="BM89" s="257">
        <f t="shared" si="65"/>
        <v>0</v>
      </c>
      <c r="BO89" s="714" t="str">
        <f t="shared" si="66"/>
        <v/>
      </c>
    </row>
    <row r="90" spans="2:75" ht="15" customHeight="1" x14ac:dyDescent="0.25">
      <c r="B90" s="19">
        <f t="shared" si="60"/>
        <v>18</v>
      </c>
      <c r="C90" s="785"/>
      <c r="D90" s="772"/>
      <c r="E90" s="836"/>
      <c r="G90" s="482"/>
      <c r="H90" s="479"/>
      <c r="I90" s="461"/>
      <c r="J90" s="461"/>
      <c r="K90" s="462"/>
      <c r="L90" s="461"/>
      <c r="M90" s="461"/>
      <c r="N90" s="461"/>
      <c r="O90" s="462"/>
      <c r="P90" s="461"/>
      <c r="Q90" s="461"/>
      <c r="R90" s="462"/>
      <c r="S90" s="479"/>
      <c r="T90" s="461"/>
      <c r="U90" s="479"/>
      <c r="V90" s="462"/>
      <c r="X90" s="183">
        <f>'Q (t)'!G90</f>
        <v>0</v>
      </c>
      <c r="Y90" s="184">
        <f>'Q (t)'!H90</f>
        <v>0</v>
      </c>
      <c r="Z90" s="178">
        <f>'Q (t)'!I90</f>
        <v>0</v>
      </c>
      <c r="AA90" s="178">
        <f>'Q (t)'!J90</f>
        <v>0</v>
      </c>
      <c r="AB90" s="179">
        <f>'Q (t)'!K90</f>
        <v>0</v>
      </c>
      <c r="AC90" s="178">
        <f>'Q (t)'!L90</f>
        <v>0</v>
      </c>
      <c r="AD90" s="178">
        <f>'Q (t)'!M90</f>
        <v>0</v>
      </c>
      <c r="AE90" s="178">
        <f>'Q (t)'!N90</f>
        <v>0</v>
      </c>
      <c r="AF90" s="179">
        <f>'Q (t)'!O90</f>
        <v>0</v>
      </c>
      <c r="AG90" s="178">
        <f>'Q (t)'!P90</f>
        <v>0</v>
      </c>
      <c r="AH90" s="178">
        <f>'Q (t)'!Q90</f>
        <v>0</v>
      </c>
      <c r="AI90" s="179">
        <f>'Q (t)'!R90</f>
        <v>0</v>
      </c>
      <c r="AJ90" s="184">
        <f>'Q (t)'!S90</f>
        <v>0</v>
      </c>
      <c r="AK90" s="178">
        <f>'Q (t)'!T90</f>
        <v>0</v>
      </c>
      <c r="AL90" s="184">
        <f>'Q (t)'!U90</f>
        <v>0</v>
      </c>
      <c r="AM90" s="179">
        <f>'Q (t)'!V90</f>
        <v>0</v>
      </c>
      <c r="AO90" s="183">
        <f t="shared" si="61"/>
        <v>0</v>
      </c>
      <c r="AP90" s="184">
        <f t="shared" si="62"/>
        <v>0</v>
      </c>
      <c r="AQ90" s="178">
        <f t="shared" si="62"/>
        <v>0</v>
      </c>
      <c r="AR90" s="178">
        <f t="shared" si="62"/>
        <v>0</v>
      </c>
      <c r="AS90" s="179">
        <f t="shared" si="62"/>
        <v>0</v>
      </c>
      <c r="AT90" s="178">
        <f t="shared" si="62"/>
        <v>0</v>
      </c>
      <c r="AU90" s="178">
        <f t="shared" si="62"/>
        <v>0</v>
      </c>
      <c r="AV90" s="178">
        <f t="shared" si="62"/>
        <v>0</v>
      </c>
      <c r="AW90" s="179">
        <f t="shared" si="62"/>
        <v>0</v>
      </c>
      <c r="AX90" s="178">
        <f t="shared" si="54"/>
        <v>0</v>
      </c>
      <c r="AY90" s="178">
        <f t="shared" si="54"/>
        <v>0</v>
      </c>
      <c r="AZ90" s="179">
        <f t="shared" si="54"/>
        <v>0</v>
      </c>
      <c r="BA90" s="184">
        <f t="shared" si="26"/>
        <v>0</v>
      </c>
      <c r="BB90" s="178">
        <f t="shared" si="26"/>
        <v>0</v>
      </c>
      <c r="BC90" s="184">
        <f t="shared" si="26"/>
        <v>0</v>
      </c>
      <c r="BD90" s="178">
        <f t="shared" si="26"/>
        <v>0</v>
      </c>
      <c r="BE90" s="244">
        <f t="shared" si="63"/>
        <v>0</v>
      </c>
      <c r="BF90" s="245">
        <f t="shared" si="64"/>
        <v>0</v>
      </c>
      <c r="BH90" s="255">
        <f t="shared" si="55"/>
        <v>0</v>
      </c>
      <c r="BI90" s="255">
        <f t="shared" si="56"/>
        <v>0</v>
      </c>
      <c r="BJ90" s="255">
        <f t="shared" si="57"/>
        <v>0</v>
      </c>
      <c r="BK90" s="256">
        <f t="shared" si="58"/>
        <v>0</v>
      </c>
      <c r="BL90" s="262">
        <f t="shared" si="59"/>
        <v>0</v>
      </c>
      <c r="BM90" s="257">
        <f t="shared" si="65"/>
        <v>0</v>
      </c>
      <c r="BO90" s="714" t="str">
        <f t="shared" si="66"/>
        <v/>
      </c>
    </row>
    <row r="91" spans="2:75" ht="15" customHeight="1" x14ac:dyDescent="0.25">
      <c r="B91" s="19">
        <f t="shared" si="60"/>
        <v>19</v>
      </c>
      <c r="C91" s="785"/>
      <c r="D91" s="772"/>
      <c r="E91" s="836"/>
      <c r="G91" s="482"/>
      <c r="H91" s="479"/>
      <c r="I91" s="461"/>
      <c r="J91" s="461"/>
      <c r="K91" s="462"/>
      <c r="L91" s="461"/>
      <c r="M91" s="461"/>
      <c r="N91" s="461"/>
      <c r="O91" s="462"/>
      <c r="P91" s="461"/>
      <c r="Q91" s="461"/>
      <c r="R91" s="462"/>
      <c r="S91" s="479"/>
      <c r="T91" s="461"/>
      <c r="U91" s="479"/>
      <c r="V91" s="462"/>
      <c r="X91" s="183">
        <f>'Q (t)'!G91</f>
        <v>0</v>
      </c>
      <c r="Y91" s="184">
        <f>'Q (t)'!H91</f>
        <v>0</v>
      </c>
      <c r="Z91" s="178">
        <f>'Q (t)'!I91</f>
        <v>0</v>
      </c>
      <c r="AA91" s="178">
        <f>'Q (t)'!J91</f>
        <v>0</v>
      </c>
      <c r="AB91" s="179">
        <f>'Q (t)'!K91</f>
        <v>0</v>
      </c>
      <c r="AC91" s="178">
        <f>'Q (t)'!L91</f>
        <v>0</v>
      </c>
      <c r="AD91" s="178">
        <f>'Q (t)'!M91</f>
        <v>0</v>
      </c>
      <c r="AE91" s="178">
        <f>'Q (t)'!N91</f>
        <v>0</v>
      </c>
      <c r="AF91" s="179">
        <f>'Q (t)'!O91</f>
        <v>0</v>
      </c>
      <c r="AG91" s="178">
        <f>'Q (t)'!P91</f>
        <v>0</v>
      </c>
      <c r="AH91" s="178">
        <f>'Q (t)'!Q91</f>
        <v>0</v>
      </c>
      <c r="AI91" s="179">
        <f>'Q (t)'!R91</f>
        <v>0</v>
      </c>
      <c r="AJ91" s="184">
        <f>'Q (t)'!S91</f>
        <v>0</v>
      </c>
      <c r="AK91" s="178">
        <f>'Q (t)'!T91</f>
        <v>0</v>
      </c>
      <c r="AL91" s="184">
        <f>'Q (t)'!U91</f>
        <v>0</v>
      </c>
      <c r="AM91" s="179">
        <f>'Q (t)'!V91</f>
        <v>0</v>
      </c>
      <c r="AO91" s="183">
        <f t="shared" si="61"/>
        <v>0</v>
      </c>
      <c r="AP91" s="184">
        <f t="shared" si="62"/>
        <v>0</v>
      </c>
      <c r="AQ91" s="178">
        <f t="shared" si="62"/>
        <v>0</v>
      </c>
      <c r="AR91" s="178">
        <f t="shared" si="62"/>
        <v>0</v>
      </c>
      <c r="AS91" s="179">
        <f t="shared" si="62"/>
        <v>0</v>
      </c>
      <c r="AT91" s="178">
        <f t="shared" si="62"/>
        <v>0</v>
      </c>
      <c r="AU91" s="178">
        <f t="shared" si="62"/>
        <v>0</v>
      </c>
      <c r="AV91" s="178">
        <f t="shared" si="62"/>
        <v>0</v>
      </c>
      <c r="AW91" s="179">
        <f t="shared" si="62"/>
        <v>0</v>
      </c>
      <c r="AX91" s="178">
        <f t="shared" si="54"/>
        <v>0</v>
      </c>
      <c r="AY91" s="178">
        <f t="shared" si="54"/>
        <v>0</v>
      </c>
      <c r="AZ91" s="179">
        <f t="shared" si="54"/>
        <v>0</v>
      </c>
      <c r="BA91" s="184">
        <f t="shared" si="26"/>
        <v>0</v>
      </c>
      <c r="BB91" s="178">
        <f t="shared" si="26"/>
        <v>0</v>
      </c>
      <c r="BC91" s="184">
        <f t="shared" si="26"/>
        <v>0</v>
      </c>
      <c r="BD91" s="178">
        <f t="shared" si="26"/>
        <v>0</v>
      </c>
      <c r="BE91" s="244">
        <f t="shared" si="63"/>
        <v>0</v>
      </c>
      <c r="BF91" s="245">
        <f t="shared" si="64"/>
        <v>0</v>
      </c>
      <c r="BH91" s="255">
        <f t="shared" si="55"/>
        <v>0</v>
      </c>
      <c r="BI91" s="255">
        <f t="shared" si="56"/>
        <v>0</v>
      </c>
      <c r="BJ91" s="255">
        <f t="shared" si="57"/>
        <v>0</v>
      </c>
      <c r="BK91" s="256">
        <f t="shared" si="58"/>
        <v>0</v>
      </c>
      <c r="BL91" s="262">
        <f t="shared" si="59"/>
        <v>0</v>
      </c>
      <c r="BM91" s="257">
        <f t="shared" si="65"/>
        <v>0</v>
      </c>
      <c r="BO91" s="714" t="str">
        <f t="shared" si="66"/>
        <v/>
      </c>
    </row>
    <row r="92" spans="2:75" ht="15" customHeight="1" x14ac:dyDescent="0.25">
      <c r="B92" s="19">
        <f t="shared" si="60"/>
        <v>20</v>
      </c>
      <c r="C92" s="785"/>
      <c r="D92" s="772"/>
      <c r="E92" s="836"/>
      <c r="G92" s="482"/>
      <c r="H92" s="479"/>
      <c r="I92" s="461"/>
      <c r="J92" s="461"/>
      <c r="K92" s="462"/>
      <c r="L92" s="461"/>
      <c r="M92" s="461"/>
      <c r="N92" s="461"/>
      <c r="O92" s="462"/>
      <c r="P92" s="461"/>
      <c r="Q92" s="461"/>
      <c r="R92" s="462"/>
      <c r="S92" s="479"/>
      <c r="T92" s="461"/>
      <c r="U92" s="479"/>
      <c r="V92" s="462"/>
      <c r="X92" s="183">
        <f>'Q (t)'!G92</f>
        <v>0</v>
      </c>
      <c r="Y92" s="184">
        <f>'Q (t)'!H92</f>
        <v>0</v>
      </c>
      <c r="Z92" s="178">
        <f>'Q (t)'!I92</f>
        <v>0</v>
      </c>
      <c r="AA92" s="178">
        <f>'Q (t)'!J92</f>
        <v>0</v>
      </c>
      <c r="AB92" s="179">
        <f>'Q (t)'!K92</f>
        <v>0</v>
      </c>
      <c r="AC92" s="178">
        <f>'Q (t)'!L92</f>
        <v>0</v>
      </c>
      <c r="AD92" s="178">
        <f>'Q (t)'!M92</f>
        <v>0</v>
      </c>
      <c r="AE92" s="178">
        <f>'Q (t)'!N92</f>
        <v>0</v>
      </c>
      <c r="AF92" s="179">
        <f>'Q (t)'!O92</f>
        <v>0</v>
      </c>
      <c r="AG92" s="178">
        <f>'Q (t)'!P92</f>
        <v>0</v>
      </c>
      <c r="AH92" s="178">
        <f>'Q (t)'!Q92</f>
        <v>0</v>
      </c>
      <c r="AI92" s="179">
        <f>'Q (t)'!R92</f>
        <v>0</v>
      </c>
      <c r="AJ92" s="184">
        <f>'Q (t)'!S92</f>
        <v>0</v>
      </c>
      <c r="AK92" s="178">
        <f>'Q (t)'!T92</f>
        <v>0</v>
      </c>
      <c r="AL92" s="184">
        <f>'Q (t)'!U92</f>
        <v>0</v>
      </c>
      <c r="AM92" s="179">
        <f>'Q (t)'!V92</f>
        <v>0</v>
      </c>
      <c r="AO92" s="183">
        <f t="shared" si="61"/>
        <v>0</v>
      </c>
      <c r="AP92" s="184">
        <f t="shared" si="62"/>
        <v>0</v>
      </c>
      <c r="AQ92" s="178">
        <f t="shared" si="62"/>
        <v>0</v>
      </c>
      <c r="AR92" s="178">
        <f t="shared" si="62"/>
        <v>0</v>
      </c>
      <c r="AS92" s="179">
        <f t="shared" si="62"/>
        <v>0</v>
      </c>
      <c r="AT92" s="178">
        <f t="shared" si="62"/>
        <v>0</v>
      </c>
      <c r="AU92" s="178">
        <f t="shared" si="62"/>
        <v>0</v>
      </c>
      <c r="AV92" s="178">
        <f t="shared" si="62"/>
        <v>0</v>
      </c>
      <c r="AW92" s="179">
        <f t="shared" si="62"/>
        <v>0</v>
      </c>
      <c r="AX92" s="178">
        <f t="shared" si="54"/>
        <v>0</v>
      </c>
      <c r="AY92" s="178">
        <f t="shared" si="54"/>
        <v>0</v>
      </c>
      <c r="AZ92" s="179">
        <f t="shared" si="54"/>
        <v>0</v>
      </c>
      <c r="BA92" s="184">
        <f t="shared" si="26"/>
        <v>0</v>
      </c>
      <c r="BB92" s="178">
        <f t="shared" si="26"/>
        <v>0</v>
      </c>
      <c r="BC92" s="184">
        <f t="shared" si="26"/>
        <v>0</v>
      </c>
      <c r="BD92" s="178">
        <f t="shared" si="26"/>
        <v>0</v>
      </c>
      <c r="BE92" s="244">
        <f t="shared" si="63"/>
        <v>0</v>
      </c>
      <c r="BF92" s="245">
        <f t="shared" si="64"/>
        <v>0</v>
      </c>
      <c r="BH92" s="255">
        <f t="shared" si="55"/>
        <v>0</v>
      </c>
      <c r="BI92" s="255">
        <f t="shared" si="56"/>
        <v>0</v>
      </c>
      <c r="BJ92" s="255">
        <f t="shared" si="57"/>
        <v>0</v>
      </c>
      <c r="BK92" s="256">
        <f t="shared" si="58"/>
        <v>0</v>
      </c>
      <c r="BL92" s="262">
        <f t="shared" si="59"/>
        <v>0</v>
      </c>
      <c r="BM92" s="257">
        <f t="shared" si="65"/>
        <v>0</v>
      </c>
      <c r="BO92" s="714" t="str">
        <f t="shared" si="66"/>
        <v/>
      </c>
    </row>
    <row r="93" spans="2:75" ht="15" customHeight="1" x14ac:dyDescent="0.25">
      <c r="B93" s="26">
        <f t="shared" si="60"/>
        <v>21</v>
      </c>
      <c r="C93" s="837"/>
      <c r="D93" s="778"/>
      <c r="E93" s="838"/>
      <c r="G93" s="498"/>
      <c r="H93" s="491"/>
      <c r="I93" s="487"/>
      <c r="J93" s="487"/>
      <c r="K93" s="488"/>
      <c r="L93" s="487"/>
      <c r="M93" s="487"/>
      <c r="N93" s="487"/>
      <c r="O93" s="488"/>
      <c r="P93" s="487"/>
      <c r="Q93" s="487"/>
      <c r="R93" s="488"/>
      <c r="S93" s="491"/>
      <c r="T93" s="487"/>
      <c r="U93" s="491"/>
      <c r="V93" s="488"/>
      <c r="X93" s="190">
        <f>'Q (t)'!G93</f>
        <v>0</v>
      </c>
      <c r="Y93" s="197">
        <f>'Q (t)'!H93</f>
        <v>0</v>
      </c>
      <c r="Z93" s="192">
        <f>'Q (t)'!I93</f>
        <v>0</v>
      </c>
      <c r="AA93" s="192">
        <f>'Q (t)'!J93</f>
        <v>0</v>
      </c>
      <c r="AB93" s="193">
        <f>'Q (t)'!K93</f>
        <v>0</v>
      </c>
      <c r="AC93" s="192">
        <f>'Q (t)'!L93</f>
        <v>0</v>
      </c>
      <c r="AD93" s="192">
        <f>'Q (t)'!M93</f>
        <v>0</v>
      </c>
      <c r="AE93" s="192">
        <f>'Q (t)'!N93</f>
        <v>0</v>
      </c>
      <c r="AF93" s="193">
        <f>'Q (t)'!O93</f>
        <v>0</v>
      </c>
      <c r="AG93" s="192">
        <f>'Q (t)'!P93</f>
        <v>0</v>
      </c>
      <c r="AH93" s="192">
        <f>'Q (t)'!Q93</f>
        <v>0</v>
      </c>
      <c r="AI93" s="193">
        <f>'Q (t)'!R93</f>
        <v>0</v>
      </c>
      <c r="AJ93" s="197">
        <f>'Q (t)'!S93</f>
        <v>0</v>
      </c>
      <c r="AK93" s="192">
        <f>'Q (t)'!T93</f>
        <v>0</v>
      </c>
      <c r="AL93" s="197">
        <f>'Q (t)'!U93</f>
        <v>0</v>
      </c>
      <c r="AM93" s="193">
        <f>'Q (t)'!V93</f>
        <v>0</v>
      </c>
      <c r="AO93" s="190">
        <f t="shared" si="61"/>
        <v>0</v>
      </c>
      <c r="AP93" s="197">
        <f t="shared" si="62"/>
        <v>0</v>
      </c>
      <c r="AQ93" s="192">
        <f t="shared" si="62"/>
        <v>0</v>
      </c>
      <c r="AR93" s="192">
        <f t="shared" si="62"/>
        <v>0</v>
      </c>
      <c r="AS93" s="193">
        <f t="shared" si="62"/>
        <v>0</v>
      </c>
      <c r="AT93" s="192">
        <f t="shared" si="62"/>
        <v>0</v>
      </c>
      <c r="AU93" s="192">
        <f t="shared" si="62"/>
        <v>0</v>
      </c>
      <c r="AV93" s="192">
        <f t="shared" si="62"/>
        <v>0</v>
      </c>
      <c r="AW93" s="193">
        <f t="shared" si="62"/>
        <v>0</v>
      </c>
      <c r="AX93" s="192">
        <f t="shared" si="54"/>
        <v>0</v>
      </c>
      <c r="AY93" s="192">
        <f t="shared" si="54"/>
        <v>0</v>
      </c>
      <c r="AZ93" s="193">
        <f t="shared" si="54"/>
        <v>0</v>
      </c>
      <c r="BA93" s="197">
        <f t="shared" si="26"/>
        <v>0</v>
      </c>
      <c r="BB93" s="192">
        <f t="shared" si="26"/>
        <v>0</v>
      </c>
      <c r="BC93" s="197">
        <f t="shared" si="26"/>
        <v>0</v>
      </c>
      <c r="BD93" s="192">
        <f t="shared" si="26"/>
        <v>0</v>
      </c>
      <c r="BE93" s="246">
        <f t="shared" si="63"/>
        <v>0</v>
      </c>
      <c r="BF93" s="247">
        <f t="shared" si="64"/>
        <v>0</v>
      </c>
      <c r="BH93" s="255">
        <f>SUM(AO93)</f>
        <v>0</v>
      </c>
      <c r="BI93" s="255">
        <f>SUM(AP93:AS93)</f>
        <v>0</v>
      </c>
      <c r="BJ93" s="255">
        <f>SUM(AT93:AW93)</f>
        <v>0</v>
      </c>
      <c r="BK93" s="256">
        <f>SUM(AX93:BB93)</f>
        <v>0</v>
      </c>
      <c r="BL93" s="262">
        <f>SUM(BC93:BD93)</f>
        <v>0</v>
      </c>
      <c r="BM93" s="257">
        <f t="shared" si="65"/>
        <v>0</v>
      </c>
      <c r="BO93" s="714" t="str">
        <f t="shared" si="66"/>
        <v/>
      </c>
    </row>
    <row r="94" spans="2:75"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f>'Q (t)'!G94</f>
        <v>0</v>
      </c>
      <c r="Y94" s="184">
        <f>'Q (t)'!H94</f>
        <v>0</v>
      </c>
      <c r="Z94" s="178">
        <f>'Q (t)'!I94</f>
        <v>0</v>
      </c>
      <c r="AA94" s="178">
        <f>'Q (t)'!J94</f>
        <v>0</v>
      </c>
      <c r="AB94" s="179">
        <f>'Q (t)'!K94</f>
        <v>0</v>
      </c>
      <c r="AC94" s="178">
        <f>'Q (t)'!L94</f>
        <v>0</v>
      </c>
      <c r="AD94" s="178">
        <f>'Q (t)'!M94</f>
        <v>0</v>
      </c>
      <c r="AE94" s="178">
        <f>'Q (t)'!N94</f>
        <v>0</v>
      </c>
      <c r="AF94" s="179">
        <f>'Q (t)'!O94</f>
        <v>0</v>
      </c>
      <c r="AG94" s="178">
        <f>'Q (t)'!P94</f>
        <v>0</v>
      </c>
      <c r="AH94" s="178">
        <f>'Q (t)'!Q94</f>
        <v>0</v>
      </c>
      <c r="AI94" s="179">
        <f>'Q (t)'!R94</f>
        <v>0</v>
      </c>
      <c r="AJ94" s="184">
        <f>'Q (t)'!S94</f>
        <v>0</v>
      </c>
      <c r="AK94" s="178">
        <f>'Q (t)'!T94</f>
        <v>0</v>
      </c>
      <c r="AL94" s="184">
        <f>'Q (t)'!U94</f>
        <v>0</v>
      </c>
      <c r="AM94" s="179">
        <f>'Q (t)'!V94</f>
        <v>0</v>
      </c>
      <c r="AO94" s="183">
        <f t="shared" si="61"/>
        <v>0</v>
      </c>
      <c r="AP94" s="184">
        <f t="shared" si="62"/>
        <v>0</v>
      </c>
      <c r="AQ94" s="178">
        <f t="shared" si="62"/>
        <v>0</v>
      </c>
      <c r="AR94" s="178">
        <f t="shared" si="62"/>
        <v>0</v>
      </c>
      <c r="AS94" s="179">
        <f t="shared" si="62"/>
        <v>0</v>
      </c>
      <c r="AT94" s="178">
        <f t="shared" si="62"/>
        <v>0</v>
      </c>
      <c r="AU94" s="178">
        <f t="shared" si="62"/>
        <v>0</v>
      </c>
      <c r="AV94" s="178">
        <f t="shared" si="62"/>
        <v>0</v>
      </c>
      <c r="AW94" s="179">
        <f t="shared" si="62"/>
        <v>0</v>
      </c>
      <c r="AX94" s="178">
        <f t="shared" si="54"/>
        <v>0</v>
      </c>
      <c r="AY94" s="178">
        <f t="shared" si="54"/>
        <v>0</v>
      </c>
      <c r="AZ94" s="179">
        <f t="shared" si="54"/>
        <v>0</v>
      </c>
      <c r="BA94" s="184">
        <f t="shared" si="26"/>
        <v>0</v>
      </c>
      <c r="BB94" s="178">
        <f t="shared" si="26"/>
        <v>0</v>
      </c>
      <c r="BC94" s="184">
        <f t="shared" si="26"/>
        <v>0</v>
      </c>
      <c r="BD94" s="178">
        <f t="shared" si="26"/>
        <v>0</v>
      </c>
      <c r="BE94" s="244">
        <f t="shared" si="63"/>
        <v>0</v>
      </c>
      <c r="BF94" s="245">
        <f t="shared" si="64"/>
        <v>0</v>
      </c>
      <c r="BH94" s="253">
        <f>SUBTOTAL(9,BH95:BH129)</f>
        <v>6591.3345055</v>
      </c>
      <c r="BI94" s="253">
        <f>SUBTOTAL(9,BI95:BI129)</f>
        <v>1796.5295999999996</v>
      </c>
      <c r="BJ94" s="253">
        <f>SUBTOTAL(9,BJ95:BJ129)</f>
        <v>0</v>
      </c>
      <c r="BK94" s="253">
        <f>SUBTOTAL(9,BK95:BK129)</f>
        <v>9933.9237675000004</v>
      </c>
      <c r="BL94" s="253">
        <f>SUBTOTAL(9,BL95:BL129)</f>
        <v>0</v>
      </c>
      <c r="BM94" s="257">
        <f t="shared" si="65"/>
        <v>18321.787873000001</v>
      </c>
      <c r="BO94" s="714" t="str">
        <f t="shared" si="66"/>
        <v/>
      </c>
    </row>
    <row r="95" spans="2:75"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f>'Q (t)'!G95</f>
        <v>0</v>
      </c>
      <c r="Y95" s="184">
        <f>'Q (t)'!H95</f>
        <v>0</v>
      </c>
      <c r="Z95" s="178">
        <f>'Q (t)'!I95</f>
        <v>0</v>
      </c>
      <c r="AA95" s="178">
        <f>'Q (t)'!J95</f>
        <v>0</v>
      </c>
      <c r="AB95" s="179">
        <f>'Q (t)'!K95</f>
        <v>0</v>
      </c>
      <c r="AC95" s="178">
        <f>'Q (t)'!L95</f>
        <v>0</v>
      </c>
      <c r="AD95" s="178">
        <f>'Q (t)'!M95</f>
        <v>0</v>
      </c>
      <c r="AE95" s="178">
        <f>'Q (t)'!N95</f>
        <v>0</v>
      </c>
      <c r="AF95" s="179">
        <f>'Q (t)'!O95</f>
        <v>0</v>
      </c>
      <c r="AG95" s="178">
        <f>'Q (t)'!P95</f>
        <v>0</v>
      </c>
      <c r="AH95" s="178">
        <f>'Q (t)'!Q95</f>
        <v>0</v>
      </c>
      <c r="AI95" s="179">
        <f>'Q (t)'!R95</f>
        <v>0</v>
      </c>
      <c r="AJ95" s="184">
        <f>'Q (t)'!S95</f>
        <v>0</v>
      </c>
      <c r="AK95" s="178">
        <f>'Q (t)'!T95</f>
        <v>0</v>
      </c>
      <c r="AL95" s="184">
        <f>'Q (t)'!U95</f>
        <v>0</v>
      </c>
      <c r="AM95" s="179">
        <f>'Q (t)'!V95</f>
        <v>0</v>
      </c>
      <c r="AO95" s="183">
        <f t="shared" si="61"/>
        <v>0</v>
      </c>
      <c r="AP95" s="184">
        <f t="shared" si="62"/>
        <v>0</v>
      </c>
      <c r="AQ95" s="178">
        <f t="shared" si="62"/>
        <v>0</v>
      </c>
      <c r="AR95" s="178">
        <f t="shared" si="62"/>
        <v>0</v>
      </c>
      <c r="AS95" s="179">
        <f t="shared" si="62"/>
        <v>0</v>
      </c>
      <c r="AT95" s="178">
        <f t="shared" si="62"/>
        <v>0</v>
      </c>
      <c r="AU95" s="178">
        <f t="shared" si="62"/>
        <v>0</v>
      </c>
      <c r="AV95" s="178">
        <f t="shared" si="62"/>
        <v>0</v>
      </c>
      <c r="AW95" s="179">
        <f t="shared" si="62"/>
        <v>0</v>
      </c>
      <c r="AX95" s="178">
        <f t="shared" si="54"/>
        <v>0</v>
      </c>
      <c r="AY95" s="178">
        <f t="shared" si="54"/>
        <v>0</v>
      </c>
      <c r="AZ95" s="179">
        <f t="shared" si="54"/>
        <v>0</v>
      </c>
      <c r="BA95" s="184">
        <f t="shared" si="26"/>
        <v>0</v>
      </c>
      <c r="BB95" s="178">
        <f t="shared" si="26"/>
        <v>0</v>
      </c>
      <c r="BC95" s="184">
        <f t="shared" si="26"/>
        <v>0</v>
      </c>
      <c r="BD95" s="178">
        <f t="shared" si="26"/>
        <v>0</v>
      </c>
      <c r="BE95" s="244">
        <f t="shared" si="63"/>
        <v>0</v>
      </c>
      <c r="BF95" s="245">
        <f t="shared" si="64"/>
        <v>0</v>
      </c>
      <c r="BH95" s="252">
        <f>SUBTOTAL(9,BH96:BH103)</f>
        <v>39.207205000000002</v>
      </c>
      <c r="BI95" s="252">
        <f>SUBTOTAL(9,BI96:BI103)</f>
        <v>819.64960000000008</v>
      </c>
      <c r="BJ95" s="252">
        <f>SUBTOTAL(9,BJ96:BJ103)</f>
        <v>0</v>
      </c>
      <c r="BK95" s="252">
        <f>SUBTOTAL(9,BK96:BK103)</f>
        <v>1261.5280379999999</v>
      </c>
      <c r="BL95" s="252">
        <f>SUBTOTAL(9,BL96:BL103)</f>
        <v>0</v>
      </c>
      <c r="BM95" s="257">
        <f t="shared" si="65"/>
        <v>2120.3848429999998</v>
      </c>
      <c r="BO95" s="714" t="str">
        <f t="shared" si="66"/>
        <v/>
      </c>
    </row>
    <row r="96" spans="2:75" ht="15" customHeight="1" x14ac:dyDescent="0.25">
      <c r="B96" s="19">
        <v>1</v>
      </c>
      <c r="C96" s="44" t="s">
        <v>115</v>
      </c>
      <c r="D96" s="45"/>
      <c r="E96" s="105" t="s">
        <v>116</v>
      </c>
      <c r="G96" s="477">
        <f>ROUND('TUoS (t-1)'!G96*$BT$135,4)</f>
        <v>0</v>
      </c>
      <c r="H96" s="478">
        <f>ROUND('TUoS (t-1)'!H96*$BT$135,4)</f>
        <v>8.8000000000000005E-3</v>
      </c>
      <c r="I96" s="461"/>
      <c r="J96" s="461"/>
      <c r="K96" s="462"/>
      <c r="L96" s="461"/>
      <c r="M96" s="461"/>
      <c r="N96" s="461"/>
      <c r="O96" s="462"/>
      <c r="P96" s="461"/>
      <c r="Q96" s="461"/>
      <c r="R96" s="462"/>
      <c r="S96" s="478">
        <f>ROUND('TUoS (t-1)'!S96*$BT$135,4)</f>
        <v>0.1162</v>
      </c>
      <c r="T96" s="483">
        <f>ROUND('TUoS (t-1)'!T96*$BT$135,4)</f>
        <v>0</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61"/>
        <v>0</v>
      </c>
      <c r="AP96" s="184">
        <f t="shared" si="62"/>
        <v>0</v>
      </c>
      <c r="AQ96" s="178">
        <f t="shared" si="62"/>
        <v>0</v>
      </c>
      <c r="AR96" s="178">
        <f t="shared" si="62"/>
        <v>0</v>
      </c>
      <c r="AS96" s="179">
        <f t="shared" si="62"/>
        <v>0</v>
      </c>
      <c r="AT96" s="178">
        <f t="shared" si="62"/>
        <v>0</v>
      </c>
      <c r="AU96" s="178">
        <f t="shared" si="62"/>
        <v>0</v>
      </c>
      <c r="AV96" s="178">
        <f t="shared" si="62"/>
        <v>0</v>
      </c>
      <c r="AW96" s="179">
        <f t="shared" si="62"/>
        <v>0</v>
      </c>
      <c r="AX96" s="178">
        <f t="shared" si="54"/>
        <v>0</v>
      </c>
      <c r="AY96" s="178">
        <f t="shared" si="54"/>
        <v>0</v>
      </c>
      <c r="AZ96" s="179">
        <f t="shared" si="54"/>
        <v>0</v>
      </c>
      <c r="BA96" s="184">
        <f t="shared" si="26"/>
        <v>0</v>
      </c>
      <c r="BB96" s="178">
        <f t="shared" si="26"/>
        <v>0</v>
      </c>
      <c r="BC96" s="184">
        <f t="shared" si="26"/>
        <v>0</v>
      </c>
      <c r="BD96" s="178">
        <f t="shared" si="26"/>
        <v>0</v>
      </c>
      <c r="BE96" s="244">
        <f t="shared" si="63"/>
        <v>0</v>
      </c>
      <c r="BF96" s="245">
        <f t="shared" si="64"/>
        <v>0</v>
      </c>
      <c r="BH96" s="255">
        <f t="shared" ref="BH96:BH103" si="69">SUM(AO96)</f>
        <v>0</v>
      </c>
      <c r="BI96" s="255">
        <f t="shared" ref="BI96:BI103" si="70">SUM(AP96:AS96)</f>
        <v>0</v>
      </c>
      <c r="BJ96" s="255">
        <f t="shared" ref="BJ96:BJ103" si="71">SUM(AT96:AW96)</f>
        <v>0</v>
      </c>
      <c r="BK96" s="256">
        <f t="shared" ref="BK96:BK103" si="72">SUM(AX96:BB96)</f>
        <v>0</v>
      </c>
      <c r="BL96" s="262">
        <f t="shared" ref="BL96:BL103" si="73">SUM(BC96:BD96)</f>
        <v>0</v>
      </c>
      <c r="BM96" s="257">
        <f t="shared" si="65"/>
        <v>0</v>
      </c>
      <c r="BO96" s="714" t="str">
        <f t="shared" si="66"/>
        <v/>
      </c>
      <c r="BV96" s="178">
        <f t="shared" ref="BV96:BV103" si="74">IF(H96=$H$96,BM96,0)</f>
        <v>0</v>
      </c>
      <c r="BW96" s="178">
        <f t="shared" ref="BW96:BW103" si="75">BM96-BV96</f>
        <v>0</v>
      </c>
    </row>
    <row r="97" spans="2:75" ht="15" customHeight="1" x14ac:dyDescent="0.25">
      <c r="B97" s="19">
        <f>1+B96</f>
        <v>2</v>
      </c>
      <c r="C97" s="44" t="s">
        <v>117</v>
      </c>
      <c r="D97" s="45"/>
      <c r="E97" s="105" t="s">
        <v>118</v>
      </c>
      <c r="G97" s="864">
        <f>'Cust Specific'!S210</f>
        <v>0</v>
      </c>
      <c r="H97" s="865">
        <f>'Cust Specific'!S213</f>
        <v>8.8000000000000005E-3</v>
      </c>
      <c r="I97" s="461"/>
      <c r="J97" s="461"/>
      <c r="K97" s="462"/>
      <c r="L97" s="461"/>
      <c r="M97" s="461"/>
      <c r="N97" s="461"/>
      <c r="O97" s="462"/>
      <c r="P97" s="461"/>
      <c r="Q97" s="461"/>
      <c r="R97" s="462"/>
      <c r="S97" s="865">
        <f>'Cust Specific'!S211</f>
        <v>0.1162</v>
      </c>
      <c r="T97" s="866">
        <f>'Cust Specific'!S212</f>
        <v>0</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61"/>
        <v>0</v>
      </c>
      <c r="AP97" s="184">
        <f t="shared" ref="AP97:AW112" si="76">H97*Y97</f>
        <v>156.11200000000002</v>
      </c>
      <c r="AQ97" s="178">
        <f t="shared" si="76"/>
        <v>0</v>
      </c>
      <c r="AR97" s="178">
        <f t="shared" si="76"/>
        <v>0</v>
      </c>
      <c r="AS97" s="179">
        <f t="shared" si="76"/>
        <v>0</v>
      </c>
      <c r="AT97" s="178">
        <f t="shared" si="76"/>
        <v>0</v>
      </c>
      <c r="AU97" s="178">
        <f t="shared" si="76"/>
        <v>0</v>
      </c>
      <c r="AV97" s="178">
        <f t="shared" si="76"/>
        <v>0</v>
      </c>
      <c r="AW97" s="179">
        <f t="shared" si="76"/>
        <v>0</v>
      </c>
      <c r="AX97" s="178">
        <f t="shared" si="54"/>
        <v>0</v>
      </c>
      <c r="AY97" s="178">
        <f t="shared" si="54"/>
        <v>0</v>
      </c>
      <c r="AZ97" s="179">
        <f t="shared" si="54"/>
        <v>0</v>
      </c>
      <c r="BA97" s="184">
        <f t="shared" si="26"/>
        <v>165.15622200000001</v>
      </c>
      <c r="BB97" s="178">
        <f t="shared" si="26"/>
        <v>0</v>
      </c>
      <c r="BC97" s="184">
        <f t="shared" si="26"/>
        <v>0</v>
      </c>
      <c r="BD97" s="178">
        <f t="shared" si="26"/>
        <v>0</v>
      </c>
      <c r="BE97" s="244">
        <f t="shared" si="63"/>
        <v>1</v>
      </c>
      <c r="BF97" s="245">
        <f t="shared" si="64"/>
        <v>17740</v>
      </c>
      <c r="BH97" s="255">
        <f t="shared" si="69"/>
        <v>0</v>
      </c>
      <c r="BI97" s="255">
        <f t="shared" si="70"/>
        <v>156.11200000000002</v>
      </c>
      <c r="BJ97" s="255">
        <f t="shared" si="71"/>
        <v>0</v>
      </c>
      <c r="BK97" s="256">
        <f t="shared" si="72"/>
        <v>165.15622200000001</v>
      </c>
      <c r="BL97" s="262">
        <f t="shared" si="73"/>
        <v>0</v>
      </c>
      <c r="BM97" s="257">
        <f t="shared" si="65"/>
        <v>321.26822200000004</v>
      </c>
      <c r="BO97" s="714">
        <f t="shared" si="66"/>
        <v>18.109820856820743</v>
      </c>
      <c r="BV97" s="178">
        <f t="shared" si="74"/>
        <v>321.26822200000004</v>
      </c>
      <c r="BW97" s="178">
        <f t="shared" si="75"/>
        <v>0</v>
      </c>
    </row>
    <row r="98" spans="2:75" ht="15" customHeight="1" x14ac:dyDescent="0.25">
      <c r="B98" s="19">
        <f t="shared" ref="B98:B129" si="77">B97+1</f>
        <v>3</v>
      </c>
      <c r="C98" s="44" t="s">
        <v>122</v>
      </c>
      <c r="D98" s="45"/>
      <c r="E98" s="105" t="s">
        <v>118</v>
      </c>
      <c r="G98" s="864">
        <f>'Cust Specific'!S217</f>
        <v>0</v>
      </c>
      <c r="H98" s="865">
        <f>'Cust Specific'!S220</f>
        <v>8.8000000000000005E-3</v>
      </c>
      <c r="I98" s="461"/>
      <c r="J98" s="461"/>
      <c r="K98" s="462"/>
      <c r="L98" s="461"/>
      <c r="M98" s="461"/>
      <c r="N98" s="461"/>
      <c r="O98" s="462"/>
      <c r="P98" s="461"/>
      <c r="Q98" s="461"/>
      <c r="R98" s="462"/>
      <c r="S98" s="865">
        <f>'Cust Specific'!S218</f>
        <v>0.1162</v>
      </c>
      <c r="T98" s="866">
        <f>'Cust Specific'!S219</f>
        <v>0</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61"/>
        <v>0</v>
      </c>
      <c r="AP98" s="184">
        <f t="shared" si="76"/>
        <v>215.072</v>
      </c>
      <c r="AQ98" s="178">
        <f t="shared" si="76"/>
        <v>0</v>
      </c>
      <c r="AR98" s="178">
        <f t="shared" si="76"/>
        <v>0</v>
      </c>
      <c r="AS98" s="179">
        <f t="shared" si="76"/>
        <v>0</v>
      </c>
      <c r="AT98" s="178">
        <f t="shared" si="76"/>
        <v>0</v>
      </c>
      <c r="AU98" s="178">
        <f t="shared" si="76"/>
        <v>0</v>
      </c>
      <c r="AV98" s="178">
        <f t="shared" si="76"/>
        <v>0</v>
      </c>
      <c r="AW98" s="179">
        <f t="shared" si="76"/>
        <v>0</v>
      </c>
      <c r="AX98" s="178">
        <f t="shared" si="54"/>
        <v>0</v>
      </c>
      <c r="AY98" s="178">
        <f t="shared" si="54"/>
        <v>0</v>
      </c>
      <c r="AZ98" s="179">
        <f t="shared" si="54"/>
        <v>0</v>
      </c>
      <c r="BA98" s="184">
        <f t="shared" si="26"/>
        <v>170.79715099999999</v>
      </c>
      <c r="BB98" s="178">
        <f t="shared" si="26"/>
        <v>0</v>
      </c>
      <c r="BC98" s="184">
        <f t="shared" si="26"/>
        <v>0</v>
      </c>
      <c r="BD98" s="178">
        <f t="shared" si="26"/>
        <v>0</v>
      </c>
      <c r="BE98" s="244">
        <f>X98/$BE$7</f>
        <v>1</v>
      </c>
      <c r="BF98" s="245">
        <f t="shared" si="64"/>
        <v>24440</v>
      </c>
      <c r="BH98" s="255">
        <f t="shared" si="69"/>
        <v>0</v>
      </c>
      <c r="BI98" s="255">
        <f t="shared" si="70"/>
        <v>215.072</v>
      </c>
      <c r="BJ98" s="255">
        <f t="shared" si="71"/>
        <v>0</v>
      </c>
      <c r="BK98" s="256">
        <f t="shared" si="72"/>
        <v>170.79715099999999</v>
      </c>
      <c r="BL98" s="262">
        <f t="shared" si="73"/>
        <v>0</v>
      </c>
      <c r="BM98" s="257">
        <f>SUM(BH98:BL98)</f>
        <v>385.86915099999999</v>
      </c>
      <c r="BO98" s="714">
        <f t="shared" si="66"/>
        <v>15.788426800327333</v>
      </c>
      <c r="BV98" s="178">
        <f t="shared" si="74"/>
        <v>385.86915099999999</v>
      </c>
      <c r="BW98" s="178">
        <f t="shared" si="75"/>
        <v>0</v>
      </c>
    </row>
    <row r="99" spans="2:75" ht="15" customHeight="1" x14ac:dyDescent="0.25">
      <c r="B99" s="19">
        <f t="shared" si="77"/>
        <v>4</v>
      </c>
      <c r="C99" s="44" t="s">
        <v>123</v>
      </c>
      <c r="D99" s="45"/>
      <c r="E99" s="105" t="s">
        <v>118</v>
      </c>
      <c r="G99" s="864">
        <f>'Cust Specific'!S224</f>
        <v>0</v>
      </c>
      <c r="H99" s="865">
        <f>'Cust Specific'!S227</f>
        <v>8.8000000000000005E-3</v>
      </c>
      <c r="I99" s="461"/>
      <c r="J99" s="461"/>
      <c r="K99" s="462"/>
      <c r="L99" s="461"/>
      <c r="M99" s="461"/>
      <c r="N99" s="461"/>
      <c r="O99" s="462"/>
      <c r="P99" s="461"/>
      <c r="Q99" s="461"/>
      <c r="R99" s="462"/>
      <c r="S99" s="865">
        <f>'Cust Specific'!S225</f>
        <v>0.1162</v>
      </c>
      <c r="T99" s="866">
        <f>'Cust Specific'!S226</f>
        <v>0</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61"/>
        <v>0</v>
      </c>
      <c r="AP99" s="184">
        <f t="shared" si="76"/>
        <v>100.14400000000001</v>
      </c>
      <c r="AQ99" s="178">
        <f t="shared" si="76"/>
        <v>0</v>
      </c>
      <c r="AR99" s="178">
        <f t="shared" si="76"/>
        <v>0</v>
      </c>
      <c r="AS99" s="179">
        <f t="shared" si="76"/>
        <v>0</v>
      </c>
      <c r="AT99" s="178">
        <f t="shared" si="76"/>
        <v>0</v>
      </c>
      <c r="AU99" s="178">
        <f t="shared" si="76"/>
        <v>0</v>
      </c>
      <c r="AV99" s="178">
        <f t="shared" si="76"/>
        <v>0</v>
      </c>
      <c r="AW99" s="179">
        <f t="shared" si="76"/>
        <v>0</v>
      </c>
      <c r="AX99" s="178">
        <f t="shared" si="54"/>
        <v>0</v>
      </c>
      <c r="AY99" s="178">
        <f t="shared" si="54"/>
        <v>0</v>
      </c>
      <c r="AZ99" s="179">
        <f t="shared" si="54"/>
        <v>0</v>
      </c>
      <c r="BA99" s="184">
        <f t="shared" si="26"/>
        <v>99.755375999999998</v>
      </c>
      <c r="BB99" s="178">
        <f t="shared" si="26"/>
        <v>0</v>
      </c>
      <c r="BC99" s="184">
        <f t="shared" si="26"/>
        <v>0</v>
      </c>
      <c r="BD99" s="178">
        <f t="shared" si="26"/>
        <v>0</v>
      </c>
      <c r="BE99" s="244">
        <f>X99/$BE$7</f>
        <v>1</v>
      </c>
      <c r="BF99" s="245">
        <f t="shared" si="64"/>
        <v>11380</v>
      </c>
      <c r="BH99" s="255">
        <f t="shared" si="69"/>
        <v>0</v>
      </c>
      <c r="BI99" s="255">
        <f t="shared" si="70"/>
        <v>100.14400000000001</v>
      </c>
      <c r="BJ99" s="255">
        <f t="shared" si="71"/>
        <v>0</v>
      </c>
      <c r="BK99" s="256">
        <f t="shared" si="72"/>
        <v>99.755375999999998</v>
      </c>
      <c r="BL99" s="262">
        <f t="shared" si="73"/>
        <v>0</v>
      </c>
      <c r="BM99" s="257">
        <f>SUM(BH99:BL99)</f>
        <v>199.89937600000002</v>
      </c>
      <c r="BO99" s="714">
        <f t="shared" si="66"/>
        <v>17.565850263620387</v>
      </c>
      <c r="BV99" s="178">
        <f t="shared" si="74"/>
        <v>199.89937600000002</v>
      </c>
      <c r="BW99" s="178">
        <f t="shared" si="75"/>
        <v>0</v>
      </c>
    </row>
    <row r="100" spans="2:75" ht="15" customHeight="1" x14ac:dyDescent="0.25">
      <c r="B100" s="19">
        <f t="shared" si="77"/>
        <v>5</v>
      </c>
      <c r="C100" s="44" t="s">
        <v>119</v>
      </c>
      <c r="D100" s="45"/>
      <c r="E100" s="105" t="s">
        <v>118</v>
      </c>
      <c r="G100" s="864">
        <f>'Cust Specific'!S231</f>
        <v>0</v>
      </c>
      <c r="H100" s="865">
        <f>'Cust Specific'!S234</f>
        <v>8.8000000000000005E-3</v>
      </c>
      <c r="I100" s="461"/>
      <c r="J100" s="461"/>
      <c r="K100" s="462"/>
      <c r="L100" s="461"/>
      <c r="M100" s="461"/>
      <c r="N100" s="461"/>
      <c r="O100" s="462"/>
      <c r="P100" s="461"/>
      <c r="Q100" s="461"/>
      <c r="R100" s="462"/>
      <c r="S100" s="865">
        <f>'Cust Specific'!S232</f>
        <v>0.1162</v>
      </c>
      <c r="T100" s="866">
        <f>'Cust Specific'!S233</f>
        <v>0</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61"/>
        <v>0</v>
      </c>
      <c r="AP100" s="184">
        <f t="shared" si="76"/>
        <v>220.26400000000001</v>
      </c>
      <c r="AQ100" s="178">
        <f t="shared" si="76"/>
        <v>0</v>
      </c>
      <c r="AR100" s="178">
        <f t="shared" si="76"/>
        <v>0</v>
      </c>
      <c r="AS100" s="179">
        <f t="shared" si="76"/>
        <v>0</v>
      </c>
      <c r="AT100" s="178">
        <f t="shared" si="76"/>
        <v>0</v>
      </c>
      <c r="AU100" s="178">
        <f t="shared" si="76"/>
        <v>0</v>
      </c>
      <c r="AV100" s="178">
        <f t="shared" si="76"/>
        <v>0</v>
      </c>
      <c r="AW100" s="179">
        <f t="shared" si="76"/>
        <v>0</v>
      </c>
      <c r="AX100" s="178">
        <f t="shared" si="54"/>
        <v>0</v>
      </c>
      <c r="AY100" s="178">
        <f t="shared" si="54"/>
        <v>0</v>
      </c>
      <c r="AZ100" s="179">
        <f t="shared" si="54"/>
        <v>0</v>
      </c>
      <c r="BA100" s="184">
        <f t="shared" si="26"/>
        <v>270.29804899999999</v>
      </c>
      <c r="BB100" s="178">
        <f t="shared" si="26"/>
        <v>0</v>
      </c>
      <c r="BC100" s="184">
        <f t="shared" si="26"/>
        <v>0</v>
      </c>
      <c r="BD100" s="178">
        <f t="shared" si="26"/>
        <v>0</v>
      </c>
      <c r="BE100" s="244">
        <f t="shared" si="63"/>
        <v>1</v>
      </c>
      <c r="BF100" s="245">
        <f t="shared" si="64"/>
        <v>25030</v>
      </c>
      <c r="BH100" s="255">
        <f t="shared" si="69"/>
        <v>0</v>
      </c>
      <c r="BI100" s="255">
        <f t="shared" si="70"/>
        <v>220.26400000000001</v>
      </c>
      <c r="BJ100" s="255">
        <f t="shared" si="71"/>
        <v>0</v>
      </c>
      <c r="BK100" s="256">
        <f t="shared" si="72"/>
        <v>270.29804899999999</v>
      </c>
      <c r="BL100" s="262">
        <f t="shared" si="73"/>
        <v>0</v>
      </c>
      <c r="BM100" s="257">
        <f t="shared" si="65"/>
        <v>490.562049</v>
      </c>
      <c r="BO100" s="714">
        <f t="shared" si="66"/>
        <v>19.598963204155012</v>
      </c>
      <c r="BV100" s="178">
        <f t="shared" si="74"/>
        <v>490.562049</v>
      </c>
      <c r="BW100" s="178">
        <f t="shared" si="75"/>
        <v>0</v>
      </c>
    </row>
    <row r="101" spans="2:75" ht="15" customHeight="1" x14ac:dyDescent="0.25">
      <c r="B101" s="19">
        <f t="shared" si="77"/>
        <v>6</v>
      </c>
      <c r="C101" s="44" t="s">
        <v>708</v>
      </c>
      <c r="D101" s="45"/>
      <c r="E101" s="105" t="s">
        <v>118</v>
      </c>
      <c r="G101" s="864">
        <f>'Cust Specific'!S238</f>
        <v>0</v>
      </c>
      <c r="H101" s="865">
        <f>'Cust Specific'!S241</f>
        <v>8.8000000000000005E-3</v>
      </c>
      <c r="I101" s="461"/>
      <c r="J101" s="461"/>
      <c r="K101" s="462"/>
      <c r="L101" s="461"/>
      <c r="M101" s="461"/>
      <c r="N101" s="461"/>
      <c r="O101" s="462"/>
      <c r="P101" s="461"/>
      <c r="Q101" s="461"/>
      <c r="R101" s="462"/>
      <c r="S101" s="865">
        <f>'Cust Specific'!S239</f>
        <v>0.1162</v>
      </c>
      <c r="T101" s="866">
        <f>'Cust Specific'!S240</f>
        <v>0</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G101*X101/1000</f>
        <v>0</v>
      </c>
      <c r="AP101" s="184">
        <f t="shared" ref="AP101:AW101" si="78">H101*Y101</f>
        <v>102.00960000000001</v>
      </c>
      <c r="AQ101" s="178">
        <f t="shared" si="78"/>
        <v>0</v>
      </c>
      <c r="AR101" s="178">
        <f t="shared" si="78"/>
        <v>0</v>
      </c>
      <c r="AS101" s="179">
        <f t="shared" si="78"/>
        <v>0</v>
      </c>
      <c r="AT101" s="178">
        <f t="shared" si="78"/>
        <v>0</v>
      </c>
      <c r="AU101" s="178">
        <f t="shared" si="78"/>
        <v>0</v>
      </c>
      <c r="AV101" s="178">
        <f t="shared" si="78"/>
        <v>0</v>
      </c>
      <c r="AW101" s="179">
        <f t="shared" si="78"/>
        <v>0</v>
      </c>
      <c r="AX101" s="178">
        <f t="shared" ref="AX101:BD101" si="79">P101*AG101/1000</f>
        <v>0</v>
      </c>
      <c r="AY101" s="178">
        <f t="shared" si="79"/>
        <v>0</v>
      </c>
      <c r="AZ101" s="179">
        <f t="shared" si="79"/>
        <v>0</v>
      </c>
      <c r="BA101" s="184">
        <f t="shared" si="79"/>
        <v>127.451065</v>
      </c>
      <c r="BB101" s="178">
        <f t="shared" si="79"/>
        <v>0</v>
      </c>
      <c r="BC101" s="184">
        <f t="shared" si="79"/>
        <v>0</v>
      </c>
      <c r="BD101" s="178">
        <f t="shared" si="79"/>
        <v>0</v>
      </c>
      <c r="BE101" s="244">
        <f>X101/$BE$7</f>
        <v>1</v>
      </c>
      <c r="BF101" s="245">
        <f>SUM(Y101:AF101)</f>
        <v>11592</v>
      </c>
      <c r="BH101" s="255">
        <f>SUM(AO101)</f>
        <v>0</v>
      </c>
      <c r="BI101" s="255">
        <f>SUM(AP101:AS101)</f>
        <v>102.00960000000001</v>
      </c>
      <c r="BJ101" s="255">
        <f>SUM(AT101:AW101)</f>
        <v>0</v>
      </c>
      <c r="BK101" s="256">
        <f>SUM(AX101:BB101)</f>
        <v>127.451065</v>
      </c>
      <c r="BL101" s="262">
        <f>SUM(BC101:BD101)</f>
        <v>0</v>
      </c>
      <c r="BM101" s="257">
        <f>SUM(BH101:BL101)</f>
        <v>229.46066500000001</v>
      </c>
      <c r="BO101" s="714">
        <f>IF(BF101=0,"",BM101*1000/BF101)</f>
        <v>19.794743357487924</v>
      </c>
      <c r="BV101" s="178">
        <f t="shared" si="74"/>
        <v>229.46066500000001</v>
      </c>
      <c r="BW101" s="178">
        <f t="shared" si="75"/>
        <v>0</v>
      </c>
    </row>
    <row r="102" spans="2:75" ht="15" customHeight="1" x14ac:dyDescent="0.25">
      <c r="B102" s="19">
        <f t="shared" si="77"/>
        <v>7</v>
      </c>
      <c r="C102" s="44" t="s">
        <v>120</v>
      </c>
      <c r="D102" s="45"/>
      <c r="E102" s="105" t="s">
        <v>118</v>
      </c>
      <c r="G102" s="864">
        <f>'Cust Specific'!S245</f>
        <v>0</v>
      </c>
      <c r="H102" s="865">
        <f>'Cust Specific'!S248</f>
        <v>8.8000000000000005E-3</v>
      </c>
      <c r="I102" s="461"/>
      <c r="J102" s="461"/>
      <c r="K102" s="462"/>
      <c r="L102" s="461"/>
      <c r="M102" s="461"/>
      <c r="N102" s="461"/>
      <c r="O102" s="462"/>
      <c r="P102" s="461"/>
      <c r="Q102" s="461"/>
      <c r="R102" s="462"/>
      <c r="S102" s="865">
        <f>'Cust Specific'!S246</f>
        <v>0.1162</v>
      </c>
      <c r="T102" s="866">
        <f>'Cust Specific'!S247</f>
        <v>0</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61"/>
        <v>0</v>
      </c>
      <c r="AP102" s="184">
        <f t="shared" si="76"/>
        <v>26.048000000000002</v>
      </c>
      <c r="AQ102" s="178">
        <f t="shared" si="76"/>
        <v>0</v>
      </c>
      <c r="AR102" s="178">
        <f t="shared" si="76"/>
        <v>0</v>
      </c>
      <c r="AS102" s="179">
        <f t="shared" si="76"/>
        <v>0</v>
      </c>
      <c r="AT102" s="178">
        <f t="shared" si="76"/>
        <v>0</v>
      </c>
      <c r="AU102" s="178">
        <f t="shared" si="76"/>
        <v>0</v>
      </c>
      <c r="AV102" s="178">
        <f t="shared" si="76"/>
        <v>0</v>
      </c>
      <c r="AW102" s="179">
        <f t="shared" si="76"/>
        <v>0</v>
      </c>
      <c r="AX102" s="178">
        <f t="shared" si="54"/>
        <v>0</v>
      </c>
      <c r="AY102" s="178">
        <f t="shared" si="54"/>
        <v>0</v>
      </c>
      <c r="AZ102" s="179">
        <f t="shared" si="54"/>
        <v>0</v>
      </c>
      <c r="BA102" s="184">
        <f t="shared" si="26"/>
        <v>151.20234500000001</v>
      </c>
      <c r="BB102" s="178">
        <f t="shared" si="26"/>
        <v>0</v>
      </c>
      <c r="BC102" s="184">
        <f t="shared" si="26"/>
        <v>0</v>
      </c>
      <c r="BD102" s="178">
        <f t="shared" si="26"/>
        <v>0</v>
      </c>
      <c r="BE102" s="244">
        <f t="shared" si="63"/>
        <v>1</v>
      </c>
      <c r="BF102" s="245">
        <f t="shared" si="64"/>
        <v>2960</v>
      </c>
      <c r="BH102" s="255">
        <f t="shared" si="69"/>
        <v>0</v>
      </c>
      <c r="BI102" s="255">
        <f t="shared" si="70"/>
        <v>26.048000000000002</v>
      </c>
      <c r="BJ102" s="255">
        <f t="shared" si="71"/>
        <v>0</v>
      </c>
      <c r="BK102" s="256">
        <f t="shared" si="72"/>
        <v>151.20234500000001</v>
      </c>
      <c r="BL102" s="262">
        <f t="shared" si="73"/>
        <v>0</v>
      </c>
      <c r="BM102" s="257">
        <f t="shared" si="65"/>
        <v>177.25034500000001</v>
      </c>
      <c r="BO102" s="714">
        <f t="shared" si="66"/>
        <v>59.881873310810811</v>
      </c>
      <c r="BV102" s="178">
        <f t="shared" si="74"/>
        <v>177.25034500000001</v>
      </c>
      <c r="BW102" s="178">
        <f t="shared" si="75"/>
        <v>0</v>
      </c>
    </row>
    <row r="103" spans="2:75" ht="15" customHeight="1" x14ac:dyDescent="0.25">
      <c r="B103" s="19">
        <f t="shared" si="77"/>
        <v>8</v>
      </c>
      <c r="C103" s="44" t="s">
        <v>121</v>
      </c>
      <c r="D103" s="45"/>
      <c r="E103" s="105" t="s">
        <v>118</v>
      </c>
      <c r="G103" s="864">
        <f>'Cust Specific'!S252</f>
        <v>107.417</v>
      </c>
      <c r="H103" s="865">
        <f>'Cust Specific'!S255</f>
        <v>0</v>
      </c>
      <c r="I103" s="461"/>
      <c r="J103" s="461"/>
      <c r="K103" s="462"/>
      <c r="L103" s="461"/>
      <c r="M103" s="461"/>
      <c r="N103" s="461"/>
      <c r="O103" s="462"/>
      <c r="P103" s="461"/>
      <c r="Q103" s="461"/>
      <c r="R103" s="462"/>
      <c r="S103" s="865">
        <f>'Cust Specific'!S253</f>
        <v>0.17349999999999999</v>
      </c>
      <c r="T103" s="866">
        <f>'Cust Specific'!S254</f>
        <v>0</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61"/>
        <v>39.207205000000002</v>
      </c>
      <c r="AP103" s="184">
        <f t="shared" si="76"/>
        <v>0</v>
      </c>
      <c r="AQ103" s="178">
        <f t="shared" si="76"/>
        <v>0</v>
      </c>
      <c r="AR103" s="178">
        <f t="shared" si="76"/>
        <v>0</v>
      </c>
      <c r="AS103" s="179">
        <f t="shared" si="76"/>
        <v>0</v>
      </c>
      <c r="AT103" s="178">
        <f t="shared" si="76"/>
        <v>0</v>
      </c>
      <c r="AU103" s="178">
        <f t="shared" si="76"/>
        <v>0</v>
      </c>
      <c r="AV103" s="178">
        <f t="shared" si="76"/>
        <v>0</v>
      </c>
      <c r="AW103" s="179">
        <f t="shared" si="76"/>
        <v>0</v>
      </c>
      <c r="AX103" s="178">
        <f t="shared" si="54"/>
        <v>0</v>
      </c>
      <c r="AY103" s="178">
        <f t="shared" si="54"/>
        <v>0</v>
      </c>
      <c r="AZ103" s="179">
        <f t="shared" si="54"/>
        <v>0</v>
      </c>
      <c r="BA103" s="184">
        <f t="shared" si="26"/>
        <v>276.86782999999997</v>
      </c>
      <c r="BB103" s="178">
        <f t="shared" si="26"/>
        <v>0</v>
      </c>
      <c r="BC103" s="184">
        <f t="shared" si="26"/>
        <v>0</v>
      </c>
      <c r="BD103" s="178">
        <f t="shared" si="26"/>
        <v>0</v>
      </c>
      <c r="BE103" s="244">
        <f t="shared" si="63"/>
        <v>1</v>
      </c>
      <c r="BF103" s="245">
        <f t="shared" si="64"/>
        <v>24300</v>
      </c>
      <c r="BH103" s="255">
        <f t="shared" si="69"/>
        <v>39.207205000000002</v>
      </c>
      <c r="BI103" s="255">
        <f t="shared" si="70"/>
        <v>0</v>
      </c>
      <c r="BJ103" s="255">
        <f t="shared" si="71"/>
        <v>0</v>
      </c>
      <c r="BK103" s="256">
        <f t="shared" si="72"/>
        <v>276.86782999999997</v>
      </c>
      <c r="BL103" s="262">
        <f t="shared" si="73"/>
        <v>0</v>
      </c>
      <c r="BM103" s="257">
        <f t="shared" si="65"/>
        <v>316.07503499999996</v>
      </c>
      <c r="BO103" s="714">
        <f t="shared" si="66"/>
        <v>13.007203086419752</v>
      </c>
      <c r="BV103" s="178">
        <f t="shared" si="74"/>
        <v>0</v>
      </c>
      <c r="BW103" s="178">
        <f t="shared" si="75"/>
        <v>316.07503499999996</v>
      </c>
    </row>
    <row r="104" spans="2:75"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61"/>
        <v>0</v>
      </c>
      <c r="AP104" s="184">
        <f t="shared" si="76"/>
        <v>0</v>
      </c>
      <c r="AQ104" s="178">
        <f t="shared" si="76"/>
        <v>0</v>
      </c>
      <c r="AR104" s="178">
        <f t="shared" si="76"/>
        <v>0</v>
      </c>
      <c r="AS104" s="179">
        <f t="shared" si="76"/>
        <v>0</v>
      </c>
      <c r="AT104" s="178">
        <f t="shared" si="76"/>
        <v>0</v>
      </c>
      <c r="AU104" s="178">
        <f t="shared" si="76"/>
        <v>0</v>
      </c>
      <c r="AV104" s="178">
        <f t="shared" si="76"/>
        <v>0</v>
      </c>
      <c r="AW104" s="179">
        <f t="shared" si="76"/>
        <v>0</v>
      </c>
      <c r="AX104" s="178">
        <f t="shared" si="54"/>
        <v>0</v>
      </c>
      <c r="AY104" s="178">
        <f t="shared" si="54"/>
        <v>0</v>
      </c>
      <c r="AZ104" s="179">
        <f t="shared" si="54"/>
        <v>0</v>
      </c>
      <c r="BA104" s="184">
        <f t="shared" si="26"/>
        <v>0</v>
      </c>
      <c r="BB104" s="178">
        <f t="shared" si="26"/>
        <v>0</v>
      </c>
      <c r="BC104" s="184">
        <f t="shared" si="26"/>
        <v>0</v>
      </c>
      <c r="BD104" s="178">
        <f t="shared" si="26"/>
        <v>0</v>
      </c>
      <c r="BE104" s="244">
        <f t="shared" si="63"/>
        <v>0</v>
      </c>
      <c r="BF104" s="245">
        <f t="shared" si="64"/>
        <v>0</v>
      </c>
      <c r="BH104" s="252">
        <f>SUBTOTAL(9,BH105:BH114)</f>
        <v>346.61772400000001</v>
      </c>
      <c r="BI104" s="252">
        <f>SUBTOTAL(9,BI105:BI114)</f>
        <v>253.17600000000002</v>
      </c>
      <c r="BJ104" s="252">
        <f>SUBTOTAL(9,BJ105:BJ114)</f>
        <v>0</v>
      </c>
      <c r="BK104" s="252">
        <f>SUBTOTAL(9,BK105:BK114)</f>
        <v>4601.3342480000001</v>
      </c>
      <c r="BL104" s="252">
        <f>SUBTOTAL(9,BL105:BL114)</f>
        <v>0</v>
      </c>
      <c r="BM104" s="257">
        <f t="shared" si="65"/>
        <v>5201.1279720000002</v>
      </c>
      <c r="BO104" s="714" t="str">
        <f t="shared" si="66"/>
        <v/>
      </c>
      <c r="BV104" s="178"/>
      <c r="BW104" s="178"/>
    </row>
    <row r="105" spans="2:75" ht="15" customHeight="1" x14ac:dyDescent="0.25">
      <c r="B105" s="19">
        <f>B103+1</f>
        <v>9</v>
      </c>
      <c r="C105" s="44" t="s">
        <v>125</v>
      </c>
      <c r="D105" s="45"/>
      <c r="E105" s="105" t="s">
        <v>126</v>
      </c>
      <c r="G105" s="864">
        <f>'Cust Specific'!S263</f>
        <v>392.8306</v>
      </c>
      <c r="H105" s="865">
        <f>'Cust Specific'!S266</f>
        <v>0</v>
      </c>
      <c r="I105" s="461"/>
      <c r="J105" s="461"/>
      <c r="K105" s="462"/>
      <c r="L105" s="461"/>
      <c r="M105" s="461"/>
      <c r="N105" s="461"/>
      <c r="O105" s="462"/>
      <c r="P105" s="461"/>
      <c r="Q105" s="461"/>
      <c r="R105" s="462"/>
      <c r="S105" s="865">
        <f>'Cust Specific'!S264</f>
        <v>0.21640000000000001</v>
      </c>
      <c r="T105" s="866">
        <f>'Cust Specific'!S265</f>
        <v>0</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61"/>
        <v>143.38316899999998</v>
      </c>
      <c r="AP105" s="184">
        <f t="shared" si="76"/>
        <v>0</v>
      </c>
      <c r="AQ105" s="178">
        <f t="shared" si="76"/>
        <v>0</v>
      </c>
      <c r="AR105" s="178">
        <f t="shared" si="76"/>
        <v>0</v>
      </c>
      <c r="AS105" s="179">
        <f t="shared" si="76"/>
        <v>0</v>
      </c>
      <c r="AT105" s="178">
        <f t="shared" si="76"/>
        <v>0</v>
      </c>
      <c r="AU105" s="178">
        <f t="shared" si="76"/>
        <v>0</v>
      </c>
      <c r="AV105" s="178">
        <f t="shared" si="76"/>
        <v>0</v>
      </c>
      <c r="AW105" s="179">
        <f t="shared" si="76"/>
        <v>0</v>
      </c>
      <c r="AX105" s="178">
        <f t="shared" si="54"/>
        <v>0</v>
      </c>
      <c r="AY105" s="178">
        <f t="shared" si="54"/>
        <v>0</v>
      </c>
      <c r="AZ105" s="179">
        <f t="shared" si="54"/>
        <v>0</v>
      </c>
      <c r="BA105" s="184">
        <f t="shared" si="26"/>
        <v>818.92684799999995</v>
      </c>
      <c r="BB105" s="178">
        <f t="shared" si="26"/>
        <v>0</v>
      </c>
      <c r="BC105" s="184">
        <f t="shared" si="26"/>
        <v>0</v>
      </c>
      <c r="BD105" s="178">
        <f t="shared" si="26"/>
        <v>0</v>
      </c>
      <c r="BE105" s="244">
        <f t="shared" si="63"/>
        <v>1</v>
      </c>
      <c r="BF105" s="245">
        <f t="shared" si="64"/>
        <v>70500</v>
      </c>
      <c r="BH105" s="255">
        <f t="shared" ref="BH105:BH114" si="80">SUM(AO105)</f>
        <v>143.38316899999998</v>
      </c>
      <c r="BI105" s="255">
        <f t="shared" ref="BI105:BI114" si="81">SUM(AP105:AS105)</f>
        <v>0</v>
      </c>
      <c r="BJ105" s="255">
        <f t="shared" ref="BJ105:BJ114" si="82">SUM(AT105:AW105)</f>
        <v>0</v>
      </c>
      <c r="BK105" s="256">
        <f t="shared" ref="BK105:BK114" si="83">SUM(AX105:BB105)</f>
        <v>818.92684799999995</v>
      </c>
      <c r="BL105" s="262">
        <f t="shared" ref="BL105:BL114" si="84">SUM(BC105:BD105)</f>
        <v>0</v>
      </c>
      <c r="BM105" s="257">
        <f t="shared" si="65"/>
        <v>962.3100169999999</v>
      </c>
      <c r="BO105" s="714">
        <f t="shared" si="66"/>
        <v>13.649787475177304</v>
      </c>
      <c r="BV105" s="178">
        <f t="shared" ref="BV105:BV114" si="85">IF(H105=$H$96,BM105,0)</f>
        <v>0</v>
      </c>
      <c r="BW105" s="178">
        <f t="shared" ref="BW105:BW114" si="86">BM105-BV105</f>
        <v>962.3100169999999</v>
      </c>
    </row>
    <row r="106" spans="2:75" ht="15" customHeight="1" x14ac:dyDescent="0.25">
      <c r="B106" s="19">
        <f t="shared" si="77"/>
        <v>10</v>
      </c>
      <c r="C106" s="44" t="s">
        <v>127</v>
      </c>
      <c r="D106" s="45"/>
      <c r="E106" s="105" t="s">
        <v>126</v>
      </c>
      <c r="G106" s="864">
        <f>'Cust Specific'!S270</f>
        <v>133.51089999999999</v>
      </c>
      <c r="H106" s="865">
        <f>'Cust Specific'!S273</f>
        <v>0</v>
      </c>
      <c r="I106" s="461"/>
      <c r="J106" s="461"/>
      <c r="K106" s="462"/>
      <c r="L106" s="461"/>
      <c r="M106" s="461"/>
      <c r="N106" s="461"/>
      <c r="O106" s="462"/>
      <c r="P106" s="461"/>
      <c r="Q106" s="461"/>
      <c r="R106" s="462"/>
      <c r="S106" s="865">
        <f>'Cust Specific'!S271</f>
        <v>0.17860000000000001</v>
      </c>
      <c r="T106" s="866">
        <f>'Cust Specific'!S272</f>
        <v>0</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61"/>
        <v>48.731478499999994</v>
      </c>
      <c r="AP106" s="184">
        <f t="shared" si="76"/>
        <v>0</v>
      </c>
      <c r="AQ106" s="178">
        <f t="shared" si="76"/>
        <v>0</v>
      </c>
      <c r="AR106" s="178">
        <f t="shared" si="76"/>
        <v>0</v>
      </c>
      <c r="AS106" s="179">
        <f t="shared" si="76"/>
        <v>0</v>
      </c>
      <c r="AT106" s="178">
        <f t="shared" si="76"/>
        <v>0</v>
      </c>
      <c r="AU106" s="178">
        <f t="shared" si="76"/>
        <v>0</v>
      </c>
      <c r="AV106" s="178">
        <f t="shared" si="76"/>
        <v>0</v>
      </c>
      <c r="AW106" s="179">
        <f t="shared" si="76"/>
        <v>0</v>
      </c>
      <c r="AX106" s="178">
        <f t="shared" si="54"/>
        <v>0</v>
      </c>
      <c r="AY106" s="178">
        <f t="shared" si="54"/>
        <v>0</v>
      </c>
      <c r="AZ106" s="179">
        <f t="shared" si="54"/>
        <v>0</v>
      </c>
      <c r="BA106" s="184">
        <f t="shared" si="26"/>
        <v>1575.9440750000001</v>
      </c>
      <c r="BB106" s="178">
        <f t="shared" si="26"/>
        <v>0</v>
      </c>
      <c r="BC106" s="184">
        <f t="shared" si="26"/>
        <v>0</v>
      </c>
      <c r="BD106" s="178">
        <f t="shared" si="26"/>
        <v>0</v>
      </c>
      <c r="BE106" s="244">
        <f t="shared" si="63"/>
        <v>1</v>
      </c>
      <c r="BF106" s="245">
        <f t="shared" si="64"/>
        <v>170500</v>
      </c>
      <c r="BH106" s="255">
        <f t="shared" si="80"/>
        <v>48.731478499999994</v>
      </c>
      <c r="BI106" s="255">
        <f t="shared" si="81"/>
        <v>0</v>
      </c>
      <c r="BJ106" s="255">
        <f t="shared" si="82"/>
        <v>0</v>
      </c>
      <c r="BK106" s="256">
        <f t="shared" si="83"/>
        <v>1575.9440750000001</v>
      </c>
      <c r="BL106" s="262">
        <f t="shared" si="84"/>
        <v>0</v>
      </c>
      <c r="BM106" s="257">
        <f t="shared" si="65"/>
        <v>1624.6755535000002</v>
      </c>
      <c r="BO106" s="714">
        <f t="shared" si="66"/>
        <v>9.5288888768328448</v>
      </c>
      <c r="BV106" s="178">
        <f t="shared" si="85"/>
        <v>0</v>
      </c>
      <c r="BW106" s="178">
        <f t="shared" si="86"/>
        <v>1624.6755535000002</v>
      </c>
    </row>
    <row r="107" spans="2:75" ht="15" customHeight="1" x14ac:dyDescent="0.25">
      <c r="B107" s="19">
        <f t="shared" si="77"/>
        <v>11</v>
      </c>
      <c r="C107" s="44" t="s">
        <v>128</v>
      </c>
      <c r="D107" s="45"/>
      <c r="E107" s="105" t="s">
        <v>126</v>
      </c>
      <c r="G107" s="864">
        <f>'Cust Specific'!S277</f>
        <v>165.33070000000001</v>
      </c>
      <c r="H107" s="865">
        <f>'Cust Specific'!S280</f>
        <v>0</v>
      </c>
      <c r="I107" s="461"/>
      <c r="J107" s="461"/>
      <c r="K107" s="462"/>
      <c r="L107" s="461"/>
      <c r="M107" s="461"/>
      <c r="N107" s="461"/>
      <c r="O107" s="462"/>
      <c r="P107" s="461"/>
      <c r="Q107" s="461"/>
      <c r="R107" s="462"/>
      <c r="S107" s="865">
        <f>'Cust Specific'!S278</f>
        <v>0.219</v>
      </c>
      <c r="T107" s="866">
        <f>'Cust Specific'!S279</f>
        <v>0</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61"/>
        <v>60.345705500000001</v>
      </c>
      <c r="AP107" s="184">
        <f t="shared" si="76"/>
        <v>0</v>
      </c>
      <c r="AQ107" s="178">
        <f t="shared" si="76"/>
        <v>0</v>
      </c>
      <c r="AR107" s="178">
        <f t="shared" si="76"/>
        <v>0</v>
      </c>
      <c r="AS107" s="179">
        <f t="shared" si="76"/>
        <v>0</v>
      </c>
      <c r="AT107" s="178">
        <f t="shared" si="76"/>
        <v>0</v>
      </c>
      <c r="AU107" s="178">
        <f t="shared" si="76"/>
        <v>0</v>
      </c>
      <c r="AV107" s="178">
        <f t="shared" si="76"/>
        <v>0</v>
      </c>
      <c r="AW107" s="179">
        <f t="shared" si="76"/>
        <v>0</v>
      </c>
      <c r="AX107" s="178">
        <f t="shared" si="54"/>
        <v>0</v>
      </c>
      <c r="AY107" s="178">
        <f t="shared" si="54"/>
        <v>0</v>
      </c>
      <c r="AZ107" s="179">
        <f t="shared" si="54"/>
        <v>0</v>
      </c>
      <c r="BA107" s="184">
        <f t="shared" si="26"/>
        <v>325.33545000000004</v>
      </c>
      <c r="BB107" s="178">
        <f t="shared" si="26"/>
        <v>0</v>
      </c>
      <c r="BC107" s="184">
        <f t="shared" si="26"/>
        <v>0</v>
      </c>
      <c r="BD107" s="178">
        <f t="shared" si="26"/>
        <v>0</v>
      </c>
      <c r="BE107" s="244">
        <f t="shared" ref="BE107:BE114" si="87">X107/$BE$7</f>
        <v>1</v>
      </c>
      <c r="BF107" s="245">
        <f t="shared" si="64"/>
        <v>24900</v>
      </c>
      <c r="BH107" s="255">
        <f t="shared" si="80"/>
        <v>60.345705500000001</v>
      </c>
      <c r="BI107" s="255">
        <f t="shared" si="81"/>
        <v>0</v>
      </c>
      <c r="BJ107" s="255">
        <f t="shared" si="82"/>
        <v>0</v>
      </c>
      <c r="BK107" s="256">
        <f t="shared" si="83"/>
        <v>325.33545000000004</v>
      </c>
      <c r="BL107" s="262">
        <f t="shared" si="84"/>
        <v>0</v>
      </c>
      <c r="BM107" s="257">
        <f t="shared" si="65"/>
        <v>385.68115550000005</v>
      </c>
      <c r="BO107" s="714">
        <f t="shared" si="66"/>
        <v>15.489203032128517</v>
      </c>
      <c r="BV107" s="178">
        <f t="shared" si="85"/>
        <v>0</v>
      </c>
      <c r="BW107" s="178">
        <f t="shared" si="86"/>
        <v>385.68115550000005</v>
      </c>
    </row>
    <row r="108" spans="2:75" ht="15" customHeight="1" x14ac:dyDescent="0.25">
      <c r="B108" s="19">
        <f t="shared" si="77"/>
        <v>12</v>
      </c>
      <c r="C108" s="44"/>
      <c r="D108" s="45" t="s">
        <v>129</v>
      </c>
      <c r="E108" s="105" t="s">
        <v>126</v>
      </c>
      <c r="G108" s="864">
        <f>'Cust Specific'!S284</f>
        <v>155.76759999999999</v>
      </c>
      <c r="H108" s="865">
        <f>'Cust Specific'!S287</f>
        <v>0</v>
      </c>
      <c r="I108" s="461"/>
      <c r="J108" s="461"/>
      <c r="K108" s="462"/>
      <c r="L108" s="461"/>
      <c r="M108" s="461"/>
      <c r="N108" s="461"/>
      <c r="O108" s="462"/>
      <c r="P108" s="461"/>
      <c r="Q108" s="461"/>
      <c r="R108" s="462"/>
      <c r="S108" s="865">
        <f>'Cust Specific'!S285</f>
        <v>0.19700000000000001</v>
      </c>
      <c r="T108" s="866">
        <f>'Cust Specific'!S286</f>
        <v>0</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61"/>
        <v>56.855173999999991</v>
      </c>
      <c r="AP108" s="184">
        <f t="shared" si="76"/>
        <v>0</v>
      </c>
      <c r="AQ108" s="178">
        <f t="shared" si="76"/>
        <v>0</v>
      </c>
      <c r="AR108" s="178">
        <f t="shared" si="76"/>
        <v>0</v>
      </c>
      <c r="AS108" s="179">
        <f t="shared" si="76"/>
        <v>0</v>
      </c>
      <c r="AT108" s="178">
        <f t="shared" si="76"/>
        <v>0</v>
      </c>
      <c r="AU108" s="178">
        <f t="shared" si="76"/>
        <v>0</v>
      </c>
      <c r="AV108" s="178">
        <f t="shared" si="76"/>
        <v>0</v>
      </c>
      <c r="AW108" s="179">
        <f t="shared" si="76"/>
        <v>0</v>
      </c>
      <c r="AX108" s="178">
        <f t="shared" si="54"/>
        <v>0</v>
      </c>
      <c r="AY108" s="178">
        <f t="shared" si="54"/>
        <v>0</v>
      </c>
      <c r="AZ108" s="179">
        <f t="shared" si="54"/>
        <v>0</v>
      </c>
      <c r="BA108" s="184">
        <f t="shared" si="26"/>
        <v>538.92797499999995</v>
      </c>
      <c r="BB108" s="178">
        <f t="shared" si="26"/>
        <v>0</v>
      </c>
      <c r="BC108" s="184">
        <f t="shared" si="26"/>
        <v>0</v>
      </c>
      <c r="BD108" s="178">
        <f t="shared" si="26"/>
        <v>0</v>
      </c>
      <c r="BE108" s="244">
        <f t="shared" si="87"/>
        <v>1</v>
      </c>
      <c r="BF108" s="245">
        <f t="shared" si="64"/>
        <v>25400</v>
      </c>
      <c r="BH108" s="255">
        <f t="shared" si="80"/>
        <v>56.855173999999991</v>
      </c>
      <c r="BI108" s="255">
        <f t="shared" si="81"/>
        <v>0</v>
      </c>
      <c r="BJ108" s="255">
        <f t="shared" si="82"/>
        <v>0</v>
      </c>
      <c r="BK108" s="256">
        <f t="shared" si="83"/>
        <v>538.92797499999995</v>
      </c>
      <c r="BL108" s="262">
        <f t="shared" si="84"/>
        <v>0</v>
      </c>
      <c r="BM108" s="257">
        <f t="shared" si="65"/>
        <v>595.78314899999998</v>
      </c>
      <c r="BO108" s="714">
        <f t="shared" si="66"/>
        <v>23.456029488188975</v>
      </c>
      <c r="BV108" s="178">
        <f t="shared" si="85"/>
        <v>0</v>
      </c>
      <c r="BW108" s="178">
        <f t="shared" si="86"/>
        <v>595.78314899999998</v>
      </c>
    </row>
    <row r="109" spans="2:75" ht="15" customHeight="1" x14ac:dyDescent="0.25">
      <c r="B109" s="19">
        <f t="shared" si="77"/>
        <v>13</v>
      </c>
      <c r="C109" s="44" t="s">
        <v>564</v>
      </c>
      <c r="D109" s="45"/>
      <c r="E109" s="105" t="s">
        <v>126</v>
      </c>
      <c r="G109" s="864">
        <f>'Cust Specific'!S291</f>
        <v>0</v>
      </c>
      <c r="H109" s="865">
        <f>'Cust Specific'!S294</f>
        <v>8.8000000000000005E-3</v>
      </c>
      <c r="I109" s="461"/>
      <c r="J109" s="461"/>
      <c r="K109" s="462"/>
      <c r="L109" s="461"/>
      <c r="M109" s="461"/>
      <c r="N109" s="461"/>
      <c r="O109" s="462"/>
      <c r="P109" s="461"/>
      <c r="Q109" s="461"/>
      <c r="R109" s="462"/>
      <c r="S109" s="865">
        <f>'Cust Specific'!S292</f>
        <v>0.1162</v>
      </c>
      <c r="T109" s="866">
        <f>'Cust Specific'!S293</f>
        <v>0</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61"/>
        <v>0</v>
      </c>
      <c r="AP109" s="184">
        <f t="shared" si="76"/>
        <v>98.12</v>
      </c>
      <c r="AQ109" s="178">
        <f t="shared" si="76"/>
        <v>0</v>
      </c>
      <c r="AR109" s="178">
        <f t="shared" si="76"/>
        <v>0</v>
      </c>
      <c r="AS109" s="179">
        <f t="shared" si="76"/>
        <v>0</v>
      </c>
      <c r="AT109" s="178">
        <f t="shared" si="76"/>
        <v>0</v>
      </c>
      <c r="AU109" s="178">
        <f t="shared" si="76"/>
        <v>0</v>
      </c>
      <c r="AV109" s="178">
        <f t="shared" si="76"/>
        <v>0</v>
      </c>
      <c r="AW109" s="179">
        <f t="shared" si="76"/>
        <v>0</v>
      </c>
      <c r="AX109" s="178">
        <f t="shared" si="54"/>
        <v>0</v>
      </c>
      <c r="AY109" s="178">
        <f t="shared" si="54"/>
        <v>0</v>
      </c>
      <c r="AZ109" s="179">
        <f t="shared" si="54"/>
        <v>0</v>
      </c>
      <c r="BA109" s="184">
        <f t="shared" si="26"/>
        <v>116.466098</v>
      </c>
      <c r="BB109" s="178">
        <f t="shared" si="26"/>
        <v>0</v>
      </c>
      <c r="BC109" s="184">
        <f t="shared" si="26"/>
        <v>0</v>
      </c>
      <c r="BD109" s="178">
        <f t="shared" si="26"/>
        <v>0</v>
      </c>
      <c r="BE109" s="244">
        <f t="shared" si="87"/>
        <v>1</v>
      </c>
      <c r="BF109" s="245">
        <f t="shared" si="64"/>
        <v>11150</v>
      </c>
      <c r="BH109" s="255">
        <f t="shared" si="80"/>
        <v>0</v>
      </c>
      <c r="BI109" s="255">
        <f t="shared" si="81"/>
        <v>98.12</v>
      </c>
      <c r="BJ109" s="255">
        <f t="shared" si="82"/>
        <v>0</v>
      </c>
      <c r="BK109" s="256">
        <f t="shared" si="83"/>
        <v>116.466098</v>
      </c>
      <c r="BL109" s="262">
        <f t="shared" si="84"/>
        <v>0</v>
      </c>
      <c r="BM109" s="257">
        <f t="shared" si="65"/>
        <v>214.58609799999999</v>
      </c>
      <c r="BO109" s="714">
        <f t="shared" si="66"/>
        <v>19.245389955156952</v>
      </c>
      <c r="BV109" s="178">
        <f t="shared" si="85"/>
        <v>214.58609799999999</v>
      </c>
      <c r="BW109" s="178">
        <f t="shared" si="86"/>
        <v>0</v>
      </c>
    </row>
    <row r="110" spans="2:75" ht="15" customHeight="1" x14ac:dyDescent="0.25">
      <c r="B110" s="19">
        <f t="shared" si="77"/>
        <v>14</v>
      </c>
      <c r="C110" s="44" t="s">
        <v>565</v>
      </c>
      <c r="D110" s="45"/>
      <c r="E110" s="105" t="s">
        <v>126</v>
      </c>
      <c r="G110" s="864">
        <f>'Cust Specific'!S298</f>
        <v>0</v>
      </c>
      <c r="H110" s="865">
        <f>'Cust Specific'!S301</f>
        <v>8.8000000000000005E-3</v>
      </c>
      <c r="I110" s="461"/>
      <c r="J110" s="461"/>
      <c r="K110" s="462"/>
      <c r="L110" s="461"/>
      <c r="M110" s="461"/>
      <c r="N110" s="461"/>
      <c r="O110" s="462"/>
      <c r="P110" s="461"/>
      <c r="Q110" s="461"/>
      <c r="R110" s="462"/>
      <c r="S110" s="865">
        <f>'Cust Specific'!S299</f>
        <v>0.1162</v>
      </c>
      <c r="T110" s="866">
        <f>'Cust Specific'!S300</f>
        <v>0</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61"/>
        <v>0</v>
      </c>
      <c r="AP110" s="184">
        <f t="shared" si="76"/>
        <v>93.544000000000011</v>
      </c>
      <c r="AQ110" s="178">
        <f t="shared" si="76"/>
        <v>0</v>
      </c>
      <c r="AR110" s="178">
        <f t="shared" si="76"/>
        <v>0</v>
      </c>
      <c r="AS110" s="179">
        <f t="shared" si="76"/>
        <v>0</v>
      </c>
      <c r="AT110" s="178">
        <f t="shared" si="76"/>
        <v>0</v>
      </c>
      <c r="AU110" s="178">
        <f t="shared" si="76"/>
        <v>0</v>
      </c>
      <c r="AV110" s="178">
        <f t="shared" si="76"/>
        <v>0</v>
      </c>
      <c r="AW110" s="179">
        <f t="shared" si="76"/>
        <v>0</v>
      </c>
      <c r="AX110" s="178">
        <f t="shared" si="54"/>
        <v>0</v>
      </c>
      <c r="AY110" s="178">
        <f t="shared" si="54"/>
        <v>0</v>
      </c>
      <c r="AZ110" s="179">
        <f t="shared" si="54"/>
        <v>0</v>
      </c>
      <c r="BA110" s="184">
        <f t="shared" si="26"/>
        <v>70.278340999999998</v>
      </c>
      <c r="BB110" s="178">
        <f t="shared" si="26"/>
        <v>0</v>
      </c>
      <c r="BC110" s="184">
        <f t="shared" si="26"/>
        <v>0</v>
      </c>
      <c r="BD110" s="178">
        <f t="shared" si="26"/>
        <v>0</v>
      </c>
      <c r="BE110" s="244">
        <f t="shared" si="87"/>
        <v>1</v>
      </c>
      <c r="BF110" s="245">
        <f t="shared" si="64"/>
        <v>10630</v>
      </c>
      <c r="BH110" s="255">
        <f t="shared" si="80"/>
        <v>0</v>
      </c>
      <c r="BI110" s="255">
        <f t="shared" si="81"/>
        <v>93.544000000000011</v>
      </c>
      <c r="BJ110" s="255">
        <f t="shared" si="82"/>
        <v>0</v>
      </c>
      <c r="BK110" s="256">
        <f t="shared" si="83"/>
        <v>70.278340999999998</v>
      </c>
      <c r="BL110" s="262">
        <f t="shared" si="84"/>
        <v>0</v>
      </c>
      <c r="BM110" s="257">
        <f t="shared" si="65"/>
        <v>163.82234099999999</v>
      </c>
      <c r="BO110" s="714">
        <f t="shared" si="66"/>
        <v>15.411320884289745</v>
      </c>
      <c r="BV110" s="178">
        <f t="shared" si="85"/>
        <v>163.82234099999999</v>
      </c>
      <c r="BW110" s="178">
        <f t="shared" si="86"/>
        <v>0</v>
      </c>
    </row>
    <row r="111" spans="2:75" ht="15" customHeight="1" x14ac:dyDescent="0.25">
      <c r="B111" s="19">
        <f t="shared" si="77"/>
        <v>15</v>
      </c>
      <c r="C111" s="44" t="s">
        <v>560</v>
      </c>
      <c r="D111" s="45"/>
      <c r="E111" s="105" t="s">
        <v>126</v>
      </c>
      <c r="G111" s="864">
        <f>'Cust Specific'!S305</f>
        <v>0</v>
      </c>
      <c r="H111" s="865">
        <f>'Cust Specific'!S308</f>
        <v>8.8000000000000005E-3</v>
      </c>
      <c r="I111" s="461"/>
      <c r="J111" s="461"/>
      <c r="K111" s="462"/>
      <c r="L111" s="461"/>
      <c r="M111" s="461"/>
      <c r="N111" s="461"/>
      <c r="O111" s="462"/>
      <c r="P111" s="461"/>
      <c r="Q111" s="461"/>
      <c r="R111" s="462"/>
      <c r="S111" s="865">
        <f>'Cust Specific'!S306</f>
        <v>0.1162</v>
      </c>
      <c r="T111" s="866">
        <f>'Cust Specific'!S307</f>
        <v>0</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61"/>
        <v>0</v>
      </c>
      <c r="AP111" s="184">
        <f t="shared" si="76"/>
        <v>36.344000000000001</v>
      </c>
      <c r="AQ111" s="178">
        <f t="shared" si="76"/>
        <v>0</v>
      </c>
      <c r="AR111" s="178">
        <f t="shared" si="76"/>
        <v>0</v>
      </c>
      <c r="AS111" s="179">
        <f t="shared" si="76"/>
        <v>0</v>
      </c>
      <c r="AT111" s="178">
        <f t="shared" si="76"/>
        <v>0</v>
      </c>
      <c r="AU111" s="178">
        <f t="shared" si="76"/>
        <v>0</v>
      </c>
      <c r="AV111" s="178">
        <f t="shared" si="76"/>
        <v>0</v>
      </c>
      <c r="AW111" s="179">
        <f t="shared" si="76"/>
        <v>0</v>
      </c>
      <c r="AX111" s="178">
        <f t="shared" si="54"/>
        <v>0</v>
      </c>
      <c r="AY111" s="178">
        <f t="shared" si="54"/>
        <v>0</v>
      </c>
      <c r="AZ111" s="179">
        <f t="shared" si="54"/>
        <v>0</v>
      </c>
      <c r="BA111" s="184">
        <f t="shared" si="26"/>
        <v>24.896431</v>
      </c>
      <c r="BB111" s="178">
        <f t="shared" si="26"/>
        <v>0</v>
      </c>
      <c r="BC111" s="184">
        <f t="shared" si="26"/>
        <v>0</v>
      </c>
      <c r="BD111" s="178">
        <f t="shared" si="26"/>
        <v>0</v>
      </c>
      <c r="BE111" s="244">
        <f t="shared" si="87"/>
        <v>1</v>
      </c>
      <c r="BF111" s="245">
        <f t="shared" si="64"/>
        <v>4130</v>
      </c>
      <c r="BH111" s="255">
        <f t="shared" si="80"/>
        <v>0</v>
      </c>
      <c r="BI111" s="255">
        <f t="shared" si="81"/>
        <v>36.344000000000001</v>
      </c>
      <c r="BJ111" s="255">
        <f t="shared" si="82"/>
        <v>0</v>
      </c>
      <c r="BK111" s="256">
        <f t="shared" si="83"/>
        <v>24.896431</v>
      </c>
      <c r="BL111" s="262">
        <f t="shared" si="84"/>
        <v>0</v>
      </c>
      <c r="BM111" s="257">
        <f t="shared" si="65"/>
        <v>61.240431000000001</v>
      </c>
      <c r="BO111" s="714">
        <f t="shared" si="66"/>
        <v>14.82819152542373</v>
      </c>
      <c r="BV111" s="178">
        <f t="shared" si="85"/>
        <v>61.240431000000001</v>
      </c>
      <c r="BW111" s="178">
        <f t="shared" si="86"/>
        <v>0</v>
      </c>
    </row>
    <row r="112" spans="2:75" ht="15" customHeight="1" x14ac:dyDescent="0.25">
      <c r="B112" s="19">
        <f t="shared" si="77"/>
        <v>16</v>
      </c>
      <c r="C112" s="44" t="s">
        <v>130</v>
      </c>
      <c r="D112" s="45"/>
      <c r="E112" s="105" t="s">
        <v>126</v>
      </c>
      <c r="G112" s="864">
        <f>'Cust Specific'!S312</f>
        <v>65.730699999999999</v>
      </c>
      <c r="H112" s="865">
        <f>'Cust Specific'!S315</f>
        <v>0</v>
      </c>
      <c r="I112" s="461"/>
      <c r="J112" s="461"/>
      <c r="K112" s="462"/>
      <c r="L112" s="461"/>
      <c r="M112" s="461"/>
      <c r="N112" s="461"/>
      <c r="O112" s="462"/>
      <c r="P112" s="461"/>
      <c r="Q112" s="461"/>
      <c r="R112" s="462"/>
      <c r="S112" s="865">
        <f>'Cust Specific'!S313</f>
        <v>0.17860000000000001</v>
      </c>
      <c r="T112" s="866">
        <f>'Cust Specific'!S314</f>
        <v>0</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61"/>
        <v>23.991705499999998</v>
      </c>
      <c r="AP112" s="184">
        <f t="shared" si="76"/>
        <v>0</v>
      </c>
      <c r="AQ112" s="178">
        <f t="shared" si="76"/>
        <v>0</v>
      </c>
      <c r="AR112" s="178">
        <f t="shared" si="76"/>
        <v>0</v>
      </c>
      <c r="AS112" s="179">
        <f t="shared" si="76"/>
        <v>0</v>
      </c>
      <c r="AT112" s="178">
        <f t="shared" si="76"/>
        <v>0</v>
      </c>
      <c r="AU112" s="178">
        <f t="shared" si="76"/>
        <v>0</v>
      </c>
      <c r="AV112" s="178">
        <f t="shared" si="76"/>
        <v>0</v>
      </c>
      <c r="AW112" s="179">
        <f t="shared" si="76"/>
        <v>0</v>
      </c>
      <c r="AX112" s="178">
        <f t="shared" si="54"/>
        <v>0</v>
      </c>
      <c r="AY112" s="178">
        <f t="shared" si="54"/>
        <v>0</v>
      </c>
      <c r="AZ112" s="179">
        <f t="shared" si="54"/>
        <v>0</v>
      </c>
      <c r="BA112" s="184">
        <f t="shared" si="26"/>
        <v>645.17553300000009</v>
      </c>
      <c r="BB112" s="178">
        <f t="shared" si="26"/>
        <v>0</v>
      </c>
      <c r="BC112" s="184">
        <f t="shared" si="26"/>
        <v>0</v>
      </c>
      <c r="BD112" s="178">
        <f t="shared" si="26"/>
        <v>0</v>
      </c>
      <c r="BE112" s="244">
        <f t="shared" si="87"/>
        <v>1</v>
      </c>
      <c r="BF112" s="245">
        <f t="shared" ref="BF112:BF129" si="88">SUM(Y112:AF112)</f>
        <v>30300</v>
      </c>
      <c r="BH112" s="255">
        <f t="shared" si="80"/>
        <v>23.991705499999998</v>
      </c>
      <c r="BI112" s="255">
        <f t="shared" si="81"/>
        <v>0</v>
      </c>
      <c r="BJ112" s="255">
        <f t="shared" si="82"/>
        <v>0</v>
      </c>
      <c r="BK112" s="256">
        <f t="shared" si="83"/>
        <v>645.17553300000009</v>
      </c>
      <c r="BL112" s="262">
        <f t="shared" si="84"/>
        <v>0</v>
      </c>
      <c r="BM112" s="257">
        <f t="shared" si="65"/>
        <v>669.16723850000005</v>
      </c>
      <c r="BO112" s="714">
        <f t="shared" si="66"/>
        <v>22.084727343234327</v>
      </c>
      <c r="BV112" s="178">
        <f t="shared" si="85"/>
        <v>0</v>
      </c>
      <c r="BW112" s="178">
        <f t="shared" si="86"/>
        <v>669.16723850000005</v>
      </c>
    </row>
    <row r="113" spans="2:75" ht="15" customHeight="1" x14ac:dyDescent="0.25">
      <c r="B113" s="19">
        <f t="shared" si="77"/>
        <v>17</v>
      </c>
      <c r="C113" s="44" t="s">
        <v>131</v>
      </c>
      <c r="D113" s="45"/>
      <c r="E113" s="105" t="s">
        <v>126</v>
      </c>
      <c r="G113" s="864">
        <f>'Cust Specific'!S319</f>
        <v>36.467100000000002</v>
      </c>
      <c r="H113" s="865">
        <f>'Cust Specific'!S322</f>
        <v>0</v>
      </c>
      <c r="I113" s="461"/>
      <c r="J113" s="461"/>
      <c r="K113" s="462"/>
      <c r="L113" s="461"/>
      <c r="M113" s="461"/>
      <c r="N113" s="461"/>
      <c r="O113" s="462"/>
      <c r="P113" s="461"/>
      <c r="Q113" s="461"/>
      <c r="R113" s="462"/>
      <c r="S113" s="865">
        <f>'Cust Specific'!S320</f>
        <v>0.17860000000000001</v>
      </c>
      <c r="T113" s="866">
        <f>'Cust Specific'!S321</f>
        <v>0</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61"/>
        <v>13.310491499999999</v>
      </c>
      <c r="AP113" s="184">
        <f t="shared" ref="AP113:AW127" si="89">H113*Y113</f>
        <v>0</v>
      </c>
      <c r="AQ113" s="178">
        <f t="shared" si="89"/>
        <v>0</v>
      </c>
      <c r="AR113" s="178">
        <f t="shared" si="89"/>
        <v>0</v>
      </c>
      <c r="AS113" s="179">
        <f t="shared" si="89"/>
        <v>0</v>
      </c>
      <c r="AT113" s="178">
        <f t="shared" si="89"/>
        <v>0</v>
      </c>
      <c r="AU113" s="178">
        <f t="shared" si="89"/>
        <v>0</v>
      </c>
      <c r="AV113" s="178">
        <f t="shared" si="89"/>
        <v>0</v>
      </c>
      <c r="AW113" s="179">
        <f t="shared" si="89"/>
        <v>0</v>
      </c>
      <c r="AX113" s="178">
        <f t="shared" si="54"/>
        <v>0</v>
      </c>
      <c r="AY113" s="178">
        <f t="shared" si="54"/>
        <v>0</v>
      </c>
      <c r="AZ113" s="179">
        <f t="shared" si="54"/>
        <v>0</v>
      </c>
      <c r="BA113" s="184">
        <f t="shared" si="26"/>
        <v>431.09485699999999</v>
      </c>
      <c r="BB113" s="178">
        <f t="shared" si="26"/>
        <v>0</v>
      </c>
      <c r="BC113" s="184">
        <f t="shared" si="26"/>
        <v>0</v>
      </c>
      <c r="BD113" s="178">
        <f t="shared" si="26"/>
        <v>0</v>
      </c>
      <c r="BE113" s="244">
        <f t="shared" si="87"/>
        <v>1</v>
      </c>
      <c r="BF113" s="245">
        <f t="shared" si="88"/>
        <v>47800</v>
      </c>
      <c r="BH113" s="255">
        <f t="shared" si="80"/>
        <v>13.310491499999999</v>
      </c>
      <c r="BI113" s="255">
        <f t="shared" si="81"/>
        <v>0</v>
      </c>
      <c r="BJ113" s="255">
        <f t="shared" si="82"/>
        <v>0</v>
      </c>
      <c r="BK113" s="256">
        <f t="shared" si="83"/>
        <v>431.09485699999999</v>
      </c>
      <c r="BL113" s="262">
        <f t="shared" si="84"/>
        <v>0</v>
      </c>
      <c r="BM113" s="257">
        <f t="shared" si="65"/>
        <v>444.4053485</v>
      </c>
      <c r="BO113" s="714">
        <f t="shared" si="66"/>
        <v>9.2971830230125523</v>
      </c>
      <c r="BV113" s="178">
        <f t="shared" si="85"/>
        <v>0</v>
      </c>
      <c r="BW113" s="178">
        <f t="shared" si="86"/>
        <v>444.4053485</v>
      </c>
    </row>
    <row r="114" spans="2:75" ht="15" customHeight="1" x14ac:dyDescent="0.25">
      <c r="B114" s="19">
        <f t="shared" si="77"/>
        <v>18</v>
      </c>
      <c r="C114" s="44" t="s">
        <v>561</v>
      </c>
      <c r="D114" s="45"/>
      <c r="E114" s="105" t="s">
        <v>126</v>
      </c>
      <c r="G114" s="864">
        <f>'Cust Specific'!S326</f>
        <v>0</v>
      </c>
      <c r="H114" s="865">
        <f>'Cust Specific'!S329</f>
        <v>8.8000000000000005E-3</v>
      </c>
      <c r="I114" s="461"/>
      <c r="J114" s="461"/>
      <c r="K114" s="462"/>
      <c r="L114" s="461"/>
      <c r="M114" s="461"/>
      <c r="N114" s="461"/>
      <c r="O114" s="462"/>
      <c r="P114" s="461"/>
      <c r="Q114" s="461"/>
      <c r="R114" s="462"/>
      <c r="S114" s="865">
        <f>'Cust Specific'!S327</f>
        <v>0.1162</v>
      </c>
      <c r="T114" s="866">
        <f>'Cust Specific'!S328</f>
        <v>0</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61"/>
        <v>0</v>
      </c>
      <c r="AP114" s="184">
        <f t="shared" si="89"/>
        <v>25.168000000000003</v>
      </c>
      <c r="AQ114" s="178">
        <f t="shared" si="89"/>
        <v>0</v>
      </c>
      <c r="AR114" s="178">
        <f t="shared" si="89"/>
        <v>0</v>
      </c>
      <c r="AS114" s="179">
        <f t="shared" si="89"/>
        <v>0</v>
      </c>
      <c r="AT114" s="178">
        <f t="shared" si="89"/>
        <v>0</v>
      </c>
      <c r="AU114" s="178">
        <f t="shared" si="89"/>
        <v>0</v>
      </c>
      <c r="AV114" s="178">
        <f t="shared" si="89"/>
        <v>0</v>
      </c>
      <c r="AW114" s="179">
        <f t="shared" si="89"/>
        <v>0</v>
      </c>
      <c r="AX114" s="178">
        <f t="shared" si="54"/>
        <v>0</v>
      </c>
      <c r="AY114" s="178">
        <f t="shared" si="54"/>
        <v>0</v>
      </c>
      <c r="AZ114" s="179">
        <f t="shared" si="54"/>
        <v>0</v>
      </c>
      <c r="BA114" s="184">
        <f t="shared" si="26"/>
        <v>54.288640000000001</v>
      </c>
      <c r="BB114" s="178">
        <f t="shared" si="26"/>
        <v>0</v>
      </c>
      <c r="BC114" s="184">
        <f t="shared" si="26"/>
        <v>0</v>
      </c>
      <c r="BD114" s="178">
        <f t="shared" ref="BD114:BD129" si="90">V114*AM114/1000</f>
        <v>0</v>
      </c>
      <c r="BE114" s="244">
        <f t="shared" si="87"/>
        <v>1</v>
      </c>
      <c r="BF114" s="245">
        <f t="shared" si="88"/>
        <v>2860</v>
      </c>
      <c r="BH114" s="255">
        <f t="shared" si="80"/>
        <v>0</v>
      </c>
      <c r="BI114" s="255">
        <f t="shared" si="81"/>
        <v>25.168000000000003</v>
      </c>
      <c r="BJ114" s="255">
        <f t="shared" si="82"/>
        <v>0</v>
      </c>
      <c r="BK114" s="256">
        <f t="shared" si="83"/>
        <v>54.288640000000001</v>
      </c>
      <c r="BL114" s="262">
        <f t="shared" si="84"/>
        <v>0</v>
      </c>
      <c r="BM114" s="257">
        <f t="shared" si="65"/>
        <v>79.456640000000007</v>
      </c>
      <c r="BO114" s="714">
        <f t="shared" si="66"/>
        <v>27.782041958041962</v>
      </c>
      <c r="BV114" s="178">
        <f t="shared" si="85"/>
        <v>79.456640000000007</v>
      </c>
      <c r="BW114" s="178">
        <f t="shared" si="86"/>
        <v>0</v>
      </c>
    </row>
    <row r="115" spans="2:75"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61"/>
        <v>0</v>
      </c>
      <c r="AP115" s="184">
        <f t="shared" si="89"/>
        <v>0</v>
      </c>
      <c r="AQ115" s="178">
        <f t="shared" si="89"/>
        <v>0</v>
      </c>
      <c r="AR115" s="178">
        <f t="shared" si="89"/>
        <v>0</v>
      </c>
      <c r="AS115" s="179">
        <f t="shared" si="89"/>
        <v>0</v>
      </c>
      <c r="AT115" s="178">
        <f t="shared" si="89"/>
        <v>0</v>
      </c>
      <c r="AU115" s="178">
        <f t="shared" si="89"/>
        <v>0</v>
      </c>
      <c r="AV115" s="178">
        <f t="shared" si="89"/>
        <v>0</v>
      </c>
      <c r="AW115" s="179">
        <f t="shared" si="89"/>
        <v>0</v>
      </c>
      <c r="AX115" s="178">
        <f t="shared" si="54"/>
        <v>0</v>
      </c>
      <c r="AY115" s="178">
        <f t="shared" si="54"/>
        <v>0</v>
      </c>
      <c r="AZ115" s="179">
        <f t="shared" si="54"/>
        <v>0</v>
      </c>
      <c r="BA115" s="184">
        <f t="shared" si="54"/>
        <v>0</v>
      </c>
      <c r="BB115" s="178">
        <f t="shared" si="54"/>
        <v>0</v>
      </c>
      <c r="BC115" s="184">
        <f t="shared" si="54"/>
        <v>0</v>
      </c>
      <c r="BD115" s="178">
        <f t="shared" si="90"/>
        <v>0</v>
      </c>
      <c r="BE115" s="244">
        <f t="shared" si="63"/>
        <v>0</v>
      </c>
      <c r="BF115" s="245">
        <f t="shared" si="88"/>
        <v>0</v>
      </c>
      <c r="BH115" s="252">
        <f>SUBTOTAL(9,BH116:BH119)</f>
        <v>0</v>
      </c>
      <c r="BI115" s="252">
        <f>SUBTOTAL(9,BI116:BI119)</f>
        <v>157.34399999999999</v>
      </c>
      <c r="BJ115" s="252">
        <f>SUBTOTAL(9,BJ116:BJ119)</f>
        <v>0</v>
      </c>
      <c r="BK115" s="252">
        <f>SUBTOTAL(9,BK116:BK119)</f>
        <v>264.27540299999998</v>
      </c>
      <c r="BL115" s="252">
        <f>SUBTOTAL(9,BL116:BL119)</f>
        <v>0</v>
      </c>
      <c r="BM115" s="257">
        <f t="shared" si="65"/>
        <v>421.61940299999998</v>
      </c>
      <c r="BO115" s="714" t="str">
        <f t="shared" si="66"/>
        <v/>
      </c>
      <c r="BV115" s="178"/>
      <c r="BW115" s="178"/>
    </row>
    <row r="116" spans="2:75" ht="15" customHeight="1" x14ac:dyDescent="0.25">
      <c r="B116" s="19">
        <f>B114+1</f>
        <v>19</v>
      </c>
      <c r="C116" s="44" t="s">
        <v>133</v>
      </c>
      <c r="D116" s="45"/>
      <c r="E116" s="105" t="s">
        <v>134</v>
      </c>
      <c r="G116" s="477">
        <f>ROUND('TUoS (t-1)'!G116*$BT$135,4)</f>
        <v>0</v>
      </c>
      <c r="H116" s="478">
        <f>ROUND('TUoS (t-1)'!H116*$BT$135,4)</f>
        <v>8.8000000000000005E-3</v>
      </c>
      <c r="I116" s="461"/>
      <c r="J116" s="461"/>
      <c r="K116" s="462"/>
      <c r="L116" s="461"/>
      <c r="M116" s="461"/>
      <c r="N116" s="461"/>
      <c r="O116" s="462"/>
      <c r="P116" s="461"/>
      <c r="Q116" s="461"/>
      <c r="R116" s="462"/>
      <c r="S116" s="478">
        <f>ROUND('TUoS (t-1)'!S116*$BT$135,4)</f>
        <v>0.1162</v>
      </c>
      <c r="T116" s="483">
        <f>ROUND('TUoS (t-1)'!T116*$BT$135,4)</f>
        <v>0</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61"/>
        <v>0</v>
      </c>
      <c r="AP116" s="184">
        <f t="shared" si="89"/>
        <v>0</v>
      </c>
      <c r="AQ116" s="178">
        <f t="shared" si="89"/>
        <v>0</v>
      </c>
      <c r="AR116" s="178">
        <f t="shared" si="89"/>
        <v>0</v>
      </c>
      <c r="AS116" s="179">
        <f t="shared" si="89"/>
        <v>0</v>
      </c>
      <c r="AT116" s="178">
        <f t="shared" si="89"/>
        <v>0</v>
      </c>
      <c r="AU116" s="178">
        <f t="shared" si="89"/>
        <v>0</v>
      </c>
      <c r="AV116" s="178">
        <f t="shared" si="89"/>
        <v>0</v>
      </c>
      <c r="AW116" s="179">
        <f t="shared" si="89"/>
        <v>0</v>
      </c>
      <c r="AX116" s="178">
        <f t="shared" ref="AX116:BC129" si="91">P116*AG116/1000</f>
        <v>0</v>
      </c>
      <c r="AY116" s="178">
        <f t="shared" si="91"/>
        <v>0</v>
      </c>
      <c r="AZ116" s="179">
        <f t="shared" si="91"/>
        <v>0</v>
      </c>
      <c r="BA116" s="184">
        <f t="shared" si="91"/>
        <v>0</v>
      </c>
      <c r="BB116" s="178">
        <f t="shared" si="91"/>
        <v>0</v>
      </c>
      <c r="BC116" s="184">
        <f t="shared" si="91"/>
        <v>0</v>
      </c>
      <c r="BD116" s="178">
        <f t="shared" si="90"/>
        <v>0</v>
      </c>
      <c r="BE116" s="244">
        <f t="shared" si="63"/>
        <v>0</v>
      </c>
      <c r="BF116" s="245">
        <f t="shared" si="88"/>
        <v>0</v>
      </c>
      <c r="BH116" s="255">
        <f>SUM(AO116)</f>
        <v>0</v>
      </c>
      <c r="BI116" s="255">
        <f>SUM(AP116:AS116)</f>
        <v>0</v>
      </c>
      <c r="BJ116" s="255">
        <f>SUM(AT116:AW116)</f>
        <v>0</v>
      </c>
      <c r="BK116" s="256">
        <f>SUM(AX116:BB116)</f>
        <v>0</v>
      </c>
      <c r="BL116" s="262">
        <f>SUM(BC116:BD116)</f>
        <v>0</v>
      </c>
      <c r="BM116" s="257">
        <f t="shared" si="65"/>
        <v>0</v>
      </c>
      <c r="BO116" s="714" t="str">
        <f t="shared" si="66"/>
        <v/>
      </c>
      <c r="BV116" s="178">
        <f>IF(H116=$H$96,BM116,0)</f>
        <v>0</v>
      </c>
      <c r="BW116" s="178">
        <f>BM116-BV116</f>
        <v>0</v>
      </c>
    </row>
    <row r="117" spans="2:75" ht="15" customHeight="1" x14ac:dyDescent="0.25">
      <c r="B117" s="19">
        <f>B116+1</f>
        <v>20</v>
      </c>
      <c r="C117" s="44" t="s">
        <v>135</v>
      </c>
      <c r="D117" s="45"/>
      <c r="E117" s="105" t="s">
        <v>136</v>
      </c>
      <c r="G117" s="864">
        <f>'Cust Specific'!S337</f>
        <v>0</v>
      </c>
      <c r="H117" s="865">
        <f>'Cust Specific'!S340</f>
        <v>8.8000000000000005E-3</v>
      </c>
      <c r="I117" s="461"/>
      <c r="J117" s="461"/>
      <c r="K117" s="462"/>
      <c r="L117" s="461"/>
      <c r="M117" s="461"/>
      <c r="N117" s="461"/>
      <c r="O117" s="462"/>
      <c r="P117" s="461"/>
      <c r="Q117" s="461"/>
      <c r="R117" s="462"/>
      <c r="S117" s="865">
        <f>'Cust Specific'!S338</f>
        <v>0.1162</v>
      </c>
      <c r="T117" s="866">
        <f>'Cust Specific'!S339</f>
        <v>0</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61"/>
        <v>0</v>
      </c>
      <c r="AP117" s="184">
        <f t="shared" si="89"/>
        <v>66</v>
      </c>
      <c r="AQ117" s="178">
        <f t="shared" si="89"/>
        <v>0</v>
      </c>
      <c r="AR117" s="178">
        <f t="shared" si="89"/>
        <v>0</v>
      </c>
      <c r="AS117" s="179">
        <f t="shared" si="89"/>
        <v>0</v>
      </c>
      <c r="AT117" s="178">
        <f t="shared" si="89"/>
        <v>0</v>
      </c>
      <c r="AU117" s="178">
        <f t="shared" si="89"/>
        <v>0</v>
      </c>
      <c r="AV117" s="178">
        <f t="shared" si="89"/>
        <v>0</v>
      </c>
      <c r="AW117" s="179">
        <f t="shared" si="89"/>
        <v>0</v>
      </c>
      <c r="AX117" s="178">
        <f t="shared" si="91"/>
        <v>0</v>
      </c>
      <c r="AY117" s="178">
        <f t="shared" si="91"/>
        <v>0</v>
      </c>
      <c r="AZ117" s="179">
        <f t="shared" si="91"/>
        <v>0</v>
      </c>
      <c r="BA117" s="184">
        <f t="shared" si="91"/>
        <v>91.187950000000001</v>
      </c>
      <c r="BB117" s="178">
        <f t="shared" si="91"/>
        <v>0</v>
      </c>
      <c r="BC117" s="184">
        <f t="shared" si="91"/>
        <v>0</v>
      </c>
      <c r="BD117" s="178">
        <f t="shared" si="90"/>
        <v>0</v>
      </c>
      <c r="BE117" s="244">
        <f t="shared" si="63"/>
        <v>1</v>
      </c>
      <c r="BF117" s="245">
        <f t="shared" si="88"/>
        <v>7500</v>
      </c>
      <c r="BH117" s="255">
        <f>SUM(AO117)</f>
        <v>0</v>
      </c>
      <c r="BI117" s="255">
        <f>SUM(AP117:AS117)</f>
        <v>66</v>
      </c>
      <c r="BJ117" s="255">
        <f>SUM(AT117:AW117)</f>
        <v>0</v>
      </c>
      <c r="BK117" s="256">
        <f>SUM(AX117:BB117)</f>
        <v>91.187950000000001</v>
      </c>
      <c r="BL117" s="262">
        <f>SUM(BC117:BD117)</f>
        <v>0</v>
      </c>
      <c r="BM117" s="257">
        <f t="shared" si="65"/>
        <v>157.18795</v>
      </c>
      <c r="BO117" s="714">
        <f t="shared" si="66"/>
        <v>20.958393333333333</v>
      </c>
      <c r="BV117" s="178">
        <f>IF(H117=$H$96,BM117,0)</f>
        <v>157.18795</v>
      </c>
      <c r="BW117" s="178">
        <f>BM117-BV117</f>
        <v>0</v>
      </c>
    </row>
    <row r="118" spans="2:75" ht="15" customHeight="1" x14ac:dyDescent="0.25">
      <c r="B118" s="19">
        <f t="shared" si="77"/>
        <v>21</v>
      </c>
      <c r="C118" s="44" t="s">
        <v>137</v>
      </c>
      <c r="D118" s="45"/>
      <c r="E118" s="105" t="s">
        <v>136</v>
      </c>
      <c r="G118" s="864">
        <f>'Cust Specific'!S344</f>
        <v>0</v>
      </c>
      <c r="H118" s="865">
        <f>'Cust Specific'!S347</f>
        <v>8.8000000000000005E-3</v>
      </c>
      <c r="I118" s="461"/>
      <c r="J118" s="461"/>
      <c r="K118" s="462"/>
      <c r="L118" s="461"/>
      <c r="M118" s="461"/>
      <c r="N118" s="461"/>
      <c r="O118" s="462"/>
      <c r="P118" s="461"/>
      <c r="Q118" s="461"/>
      <c r="R118" s="462"/>
      <c r="S118" s="865">
        <f>'Cust Specific'!S345</f>
        <v>0.1162</v>
      </c>
      <c r="T118" s="866">
        <f>'Cust Specific'!S346</f>
        <v>0</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61"/>
        <v>0</v>
      </c>
      <c r="AP118" s="184">
        <f t="shared" si="89"/>
        <v>19.36</v>
      </c>
      <c r="AQ118" s="178">
        <f t="shared" si="89"/>
        <v>0</v>
      </c>
      <c r="AR118" s="178">
        <f t="shared" si="89"/>
        <v>0</v>
      </c>
      <c r="AS118" s="179">
        <f t="shared" si="89"/>
        <v>0</v>
      </c>
      <c r="AT118" s="178">
        <f t="shared" si="89"/>
        <v>0</v>
      </c>
      <c r="AU118" s="178">
        <f t="shared" si="89"/>
        <v>0</v>
      </c>
      <c r="AV118" s="178">
        <f t="shared" si="89"/>
        <v>0</v>
      </c>
      <c r="AW118" s="179">
        <f t="shared" si="89"/>
        <v>0</v>
      </c>
      <c r="AX118" s="178">
        <f t="shared" si="91"/>
        <v>0</v>
      </c>
      <c r="AY118" s="178">
        <f t="shared" si="91"/>
        <v>0</v>
      </c>
      <c r="AZ118" s="179">
        <f t="shared" si="91"/>
        <v>0</v>
      </c>
      <c r="BA118" s="184">
        <f t="shared" si="91"/>
        <v>30.919077000000001</v>
      </c>
      <c r="BB118" s="178">
        <f t="shared" si="91"/>
        <v>0</v>
      </c>
      <c r="BC118" s="184">
        <f t="shared" si="91"/>
        <v>0</v>
      </c>
      <c r="BD118" s="178">
        <f t="shared" si="90"/>
        <v>0</v>
      </c>
      <c r="BE118" s="244">
        <f t="shared" si="63"/>
        <v>1</v>
      </c>
      <c r="BF118" s="245">
        <f t="shared" si="88"/>
        <v>2200</v>
      </c>
      <c r="BH118" s="255">
        <f>SUM(AO118)</f>
        <v>0</v>
      </c>
      <c r="BI118" s="255">
        <f>SUM(AP118:AS118)</f>
        <v>19.36</v>
      </c>
      <c r="BJ118" s="255">
        <f>SUM(AT118:AW118)</f>
        <v>0</v>
      </c>
      <c r="BK118" s="256">
        <f>SUM(AX118:BB118)</f>
        <v>30.919077000000001</v>
      </c>
      <c r="BL118" s="262">
        <f>SUM(BC118:BD118)</f>
        <v>0</v>
      </c>
      <c r="BM118" s="257">
        <f t="shared" si="65"/>
        <v>50.279077000000001</v>
      </c>
      <c r="BO118" s="714">
        <f t="shared" si="66"/>
        <v>22.854125909090907</v>
      </c>
      <c r="BV118" s="178">
        <f>IF(H118=$H$96,BM118,0)</f>
        <v>50.279077000000001</v>
      </c>
      <c r="BW118" s="178">
        <f>BM118-BV118</f>
        <v>0</v>
      </c>
    </row>
    <row r="119" spans="2:75" ht="15" customHeight="1" x14ac:dyDescent="0.25">
      <c r="B119" s="19">
        <f t="shared" si="77"/>
        <v>22</v>
      </c>
      <c r="C119" s="44" t="s">
        <v>138</v>
      </c>
      <c r="D119" s="45"/>
      <c r="E119" s="105" t="s">
        <v>136</v>
      </c>
      <c r="G119" s="864">
        <f>'Cust Specific'!S351</f>
        <v>0</v>
      </c>
      <c r="H119" s="865">
        <f>'Cust Specific'!S354</f>
        <v>8.8000000000000005E-3</v>
      </c>
      <c r="I119" s="461"/>
      <c r="J119" s="461"/>
      <c r="K119" s="462"/>
      <c r="L119" s="461"/>
      <c r="M119" s="461"/>
      <c r="N119" s="461"/>
      <c r="O119" s="462"/>
      <c r="P119" s="461"/>
      <c r="Q119" s="461"/>
      <c r="R119" s="462"/>
      <c r="S119" s="865">
        <f>'Cust Specific'!S352</f>
        <v>0.1162</v>
      </c>
      <c r="T119" s="866">
        <f>'Cust Specific'!S353</f>
        <v>0</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61"/>
        <v>0</v>
      </c>
      <c r="AP119" s="184">
        <f t="shared" si="89"/>
        <v>71.984000000000009</v>
      </c>
      <c r="AQ119" s="178">
        <f t="shared" si="89"/>
        <v>0</v>
      </c>
      <c r="AR119" s="178">
        <f t="shared" si="89"/>
        <v>0</v>
      </c>
      <c r="AS119" s="179">
        <f t="shared" si="89"/>
        <v>0</v>
      </c>
      <c r="AT119" s="178">
        <f t="shared" si="89"/>
        <v>0</v>
      </c>
      <c r="AU119" s="178">
        <f t="shared" si="89"/>
        <v>0</v>
      </c>
      <c r="AV119" s="178">
        <f t="shared" si="89"/>
        <v>0</v>
      </c>
      <c r="AW119" s="179">
        <f t="shared" si="89"/>
        <v>0</v>
      </c>
      <c r="AX119" s="178">
        <f t="shared" si="91"/>
        <v>0</v>
      </c>
      <c r="AY119" s="178">
        <f t="shared" si="91"/>
        <v>0</v>
      </c>
      <c r="AZ119" s="179">
        <f t="shared" si="91"/>
        <v>0</v>
      </c>
      <c r="BA119" s="184">
        <f t="shared" si="91"/>
        <v>142.16837599999999</v>
      </c>
      <c r="BB119" s="178">
        <f t="shared" si="91"/>
        <v>0</v>
      </c>
      <c r="BC119" s="184">
        <f t="shared" si="91"/>
        <v>0</v>
      </c>
      <c r="BD119" s="178">
        <f t="shared" si="90"/>
        <v>0</v>
      </c>
      <c r="BE119" s="244">
        <f t="shared" si="63"/>
        <v>1</v>
      </c>
      <c r="BF119" s="245">
        <f t="shared" si="88"/>
        <v>8180</v>
      </c>
      <c r="BH119" s="255">
        <f>SUM(AO119)</f>
        <v>0</v>
      </c>
      <c r="BI119" s="255">
        <f>SUM(AP119:AS119)</f>
        <v>71.984000000000009</v>
      </c>
      <c r="BJ119" s="255">
        <f>SUM(AT119:AW119)</f>
        <v>0</v>
      </c>
      <c r="BK119" s="256">
        <f>SUM(AX119:BB119)</f>
        <v>142.16837599999999</v>
      </c>
      <c r="BL119" s="262">
        <f>SUM(BC119:BD119)</f>
        <v>0</v>
      </c>
      <c r="BM119" s="257">
        <f t="shared" si="65"/>
        <v>214.152376</v>
      </c>
      <c r="BO119" s="714">
        <f t="shared" si="66"/>
        <v>26.179997066014668</v>
      </c>
      <c r="BV119" s="178">
        <f>IF(H119=$H$96,BM119,0)</f>
        <v>214.152376</v>
      </c>
      <c r="BW119" s="178">
        <f>BM119-BV119</f>
        <v>0</v>
      </c>
    </row>
    <row r="120" spans="2:75"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61"/>
        <v>0</v>
      </c>
      <c r="AP120" s="184">
        <f t="shared" si="89"/>
        <v>0</v>
      </c>
      <c r="AQ120" s="178">
        <f t="shared" si="89"/>
        <v>0</v>
      </c>
      <c r="AR120" s="178">
        <f t="shared" si="89"/>
        <v>0</v>
      </c>
      <c r="AS120" s="179">
        <f t="shared" si="89"/>
        <v>0</v>
      </c>
      <c r="AT120" s="178">
        <f t="shared" si="89"/>
        <v>0</v>
      </c>
      <c r="AU120" s="178">
        <f t="shared" si="89"/>
        <v>0</v>
      </c>
      <c r="AV120" s="178">
        <f t="shared" si="89"/>
        <v>0</v>
      </c>
      <c r="AW120" s="179">
        <f t="shared" si="89"/>
        <v>0</v>
      </c>
      <c r="AX120" s="178">
        <f t="shared" si="91"/>
        <v>0</v>
      </c>
      <c r="AY120" s="178">
        <f t="shared" si="91"/>
        <v>0</v>
      </c>
      <c r="AZ120" s="179">
        <f t="shared" si="91"/>
        <v>0</v>
      </c>
      <c r="BA120" s="184">
        <f t="shared" si="91"/>
        <v>0</v>
      </c>
      <c r="BB120" s="178">
        <f t="shared" si="91"/>
        <v>0</v>
      </c>
      <c r="BC120" s="184">
        <f t="shared" si="91"/>
        <v>0</v>
      </c>
      <c r="BD120" s="178">
        <f t="shared" si="90"/>
        <v>0</v>
      </c>
      <c r="BE120" s="244">
        <f t="shared" si="63"/>
        <v>0</v>
      </c>
      <c r="BF120" s="245">
        <f t="shared" si="88"/>
        <v>0</v>
      </c>
      <c r="BH120" s="252">
        <f>SUBTOTAL(9,BH121:BH129)</f>
        <v>6205.5095765000005</v>
      </c>
      <c r="BI120" s="252">
        <f>SUBTOTAL(9,BI121:BI129)</f>
        <v>566.36</v>
      </c>
      <c r="BJ120" s="252">
        <f>SUBTOTAL(9,BJ121:BJ129)</f>
        <v>0</v>
      </c>
      <c r="BK120" s="252">
        <f>SUBTOTAL(9,BK121:BK129)</f>
        <v>3806.7860784999998</v>
      </c>
      <c r="BL120" s="252">
        <f>SUBTOTAL(9,BL121:BL129)</f>
        <v>0</v>
      </c>
      <c r="BM120" s="257">
        <f t="shared" si="65"/>
        <v>10578.655655</v>
      </c>
      <c r="BO120" s="714" t="str">
        <f t="shared" si="66"/>
        <v/>
      </c>
      <c r="BV120" s="178"/>
      <c r="BW120" s="178"/>
    </row>
    <row r="121" spans="2:75" ht="15" customHeight="1" x14ac:dyDescent="0.25">
      <c r="B121" s="19">
        <f>B119+1</f>
        <v>23</v>
      </c>
      <c r="C121" s="44" t="s">
        <v>140</v>
      </c>
      <c r="D121" s="45"/>
      <c r="E121" s="105" t="s">
        <v>141</v>
      </c>
      <c r="G121" s="864">
        <f>'Cust Specific'!S362</f>
        <v>737.73490000000004</v>
      </c>
      <c r="H121" s="865">
        <f>'Cust Specific'!S365</f>
        <v>0</v>
      </c>
      <c r="I121" s="461"/>
      <c r="J121" s="461"/>
      <c r="K121" s="462"/>
      <c r="L121" s="461"/>
      <c r="M121" s="461"/>
      <c r="N121" s="461"/>
      <c r="O121" s="462"/>
      <c r="P121" s="461"/>
      <c r="Q121" s="461"/>
      <c r="R121" s="462"/>
      <c r="S121" s="865">
        <f>'Cust Specific'!S363</f>
        <v>0.21640000000000001</v>
      </c>
      <c r="T121" s="866">
        <f>'Cust Specific'!S364</f>
        <v>0</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61"/>
        <v>269.27323850000005</v>
      </c>
      <c r="AP121" s="184">
        <f t="shared" si="89"/>
        <v>0</v>
      </c>
      <c r="AQ121" s="178">
        <f t="shared" si="89"/>
        <v>0</v>
      </c>
      <c r="AR121" s="178">
        <f t="shared" si="89"/>
        <v>0</v>
      </c>
      <c r="AS121" s="179">
        <f t="shared" si="89"/>
        <v>0</v>
      </c>
      <c r="AT121" s="178">
        <f t="shared" si="89"/>
        <v>0</v>
      </c>
      <c r="AU121" s="178">
        <f t="shared" si="89"/>
        <v>0</v>
      </c>
      <c r="AV121" s="178">
        <f t="shared" si="89"/>
        <v>0</v>
      </c>
      <c r="AW121" s="179">
        <f t="shared" si="89"/>
        <v>0</v>
      </c>
      <c r="AX121" s="178">
        <f t="shared" si="91"/>
        <v>0</v>
      </c>
      <c r="AY121" s="178">
        <f t="shared" si="91"/>
        <v>0</v>
      </c>
      <c r="AZ121" s="179">
        <f t="shared" si="91"/>
        <v>0</v>
      </c>
      <c r="BA121" s="184">
        <f t="shared" si="91"/>
        <v>1557.0510180000001</v>
      </c>
      <c r="BB121" s="178">
        <f t="shared" si="91"/>
        <v>0</v>
      </c>
      <c r="BC121" s="184">
        <f t="shared" si="91"/>
        <v>0</v>
      </c>
      <c r="BD121" s="178">
        <f t="shared" si="90"/>
        <v>0</v>
      </c>
      <c r="BE121" s="244">
        <f t="shared" si="63"/>
        <v>1</v>
      </c>
      <c r="BF121" s="245">
        <f t="shared" si="88"/>
        <v>141500</v>
      </c>
      <c r="BH121" s="255">
        <f t="shared" ref="BH121:BH129" si="92">SUM(AO121)</f>
        <v>269.27323850000005</v>
      </c>
      <c r="BI121" s="255">
        <f t="shared" ref="BI121:BI129" si="93">SUM(AP121:AS121)</f>
        <v>0</v>
      </c>
      <c r="BJ121" s="255">
        <f t="shared" ref="BJ121:BJ129" si="94">SUM(AT121:AW121)</f>
        <v>0</v>
      </c>
      <c r="BK121" s="256">
        <f t="shared" ref="BK121:BK129" si="95">SUM(AX121:BB121)</f>
        <v>1557.0510180000001</v>
      </c>
      <c r="BL121" s="262">
        <f t="shared" ref="BL121:BL129" si="96">SUM(BC121:BD121)</f>
        <v>0</v>
      </c>
      <c r="BM121" s="257">
        <f t="shared" si="65"/>
        <v>1826.3242565</v>
      </c>
      <c r="BO121" s="714">
        <f t="shared" si="66"/>
        <v>12.906885204946997</v>
      </c>
      <c r="BV121" s="178">
        <f t="shared" ref="BV121:BV129" si="97">IF(H121=$H$96,BM121,0)</f>
        <v>0</v>
      </c>
      <c r="BW121" s="178">
        <f t="shared" ref="BW121:BW129" si="98">BM121-BV121</f>
        <v>1826.3242565</v>
      </c>
    </row>
    <row r="122" spans="2:75" ht="15" customHeight="1" x14ac:dyDescent="0.25">
      <c r="B122" s="19">
        <f t="shared" si="77"/>
        <v>24</v>
      </c>
      <c r="C122" s="44" t="s">
        <v>142</v>
      </c>
      <c r="D122" s="45"/>
      <c r="E122" s="105" t="s">
        <v>141</v>
      </c>
      <c r="G122" s="864">
        <f>'Cust Specific'!S369</f>
        <v>8326.2000000000007</v>
      </c>
      <c r="H122" s="865">
        <f>'Cust Specific'!S372</f>
        <v>0</v>
      </c>
      <c r="I122" s="461"/>
      <c r="J122" s="461"/>
      <c r="K122" s="462"/>
      <c r="L122" s="461"/>
      <c r="M122" s="461"/>
      <c r="N122" s="461"/>
      <c r="O122" s="462"/>
      <c r="P122" s="461"/>
      <c r="Q122" s="461"/>
      <c r="R122" s="462"/>
      <c r="S122" s="865">
        <f>'Cust Specific'!S370</f>
        <v>0</v>
      </c>
      <c r="T122" s="866">
        <f>'Cust Specific'!S371</f>
        <v>0</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61"/>
        <v>3039.0630000000006</v>
      </c>
      <c r="AP122" s="184">
        <f t="shared" si="89"/>
        <v>0</v>
      </c>
      <c r="AQ122" s="178">
        <f t="shared" si="89"/>
        <v>0</v>
      </c>
      <c r="AR122" s="178">
        <f t="shared" si="89"/>
        <v>0</v>
      </c>
      <c r="AS122" s="179">
        <f t="shared" si="89"/>
        <v>0</v>
      </c>
      <c r="AT122" s="178">
        <f t="shared" si="89"/>
        <v>0</v>
      </c>
      <c r="AU122" s="178">
        <f t="shared" si="89"/>
        <v>0</v>
      </c>
      <c r="AV122" s="178">
        <f t="shared" si="89"/>
        <v>0</v>
      </c>
      <c r="AW122" s="179">
        <f t="shared" si="89"/>
        <v>0</v>
      </c>
      <c r="AX122" s="178">
        <f t="shared" si="91"/>
        <v>0</v>
      </c>
      <c r="AY122" s="178">
        <f t="shared" si="91"/>
        <v>0</v>
      </c>
      <c r="AZ122" s="179">
        <f t="shared" si="91"/>
        <v>0</v>
      </c>
      <c r="BA122" s="184">
        <f t="shared" si="91"/>
        <v>0</v>
      </c>
      <c r="BB122" s="178">
        <f t="shared" si="91"/>
        <v>0</v>
      </c>
      <c r="BC122" s="184">
        <f t="shared" si="91"/>
        <v>0</v>
      </c>
      <c r="BD122" s="178">
        <f t="shared" si="90"/>
        <v>0</v>
      </c>
      <c r="BE122" s="244">
        <f t="shared" si="63"/>
        <v>1</v>
      </c>
      <c r="BF122" s="245">
        <f t="shared" si="88"/>
        <v>270100</v>
      </c>
      <c r="BH122" s="255">
        <f t="shared" si="92"/>
        <v>3039.0630000000006</v>
      </c>
      <c r="BI122" s="255">
        <f t="shared" si="93"/>
        <v>0</v>
      </c>
      <c r="BJ122" s="255">
        <f t="shared" si="94"/>
        <v>0</v>
      </c>
      <c r="BK122" s="256">
        <f t="shared" si="95"/>
        <v>0</v>
      </c>
      <c r="BL122" s="262">
        <f t="shared" si="96"/>
        <v>0</v>
      </c>
      <c r="BM122" s="257">
        <f t="shared" si="65"/>
        <v>3039.0630000000006</v>
      </c>
      <c r="BO122" s="714">
        <f t="shared" si="66"/>
        <v>11.251621621621624</v>
      </c>
      <c r="BV122" s="178">
        <f t="shared" si="97"/>
        <v>0</v>
      </c>
      <c r="BW122" s="178">
        <f t="shared" si="98"/>
        <v>3039.0630000000006</v>
      </c>
    </row>
    <row r="123" spans="2:75" ht="15" customHeight="1" x14ac:dyDescent="0.25">
      <c r="B123" s="19">
        <f t="shared" si="77"/>
        <v>25</v>
      </c>
      <c r="C123" s="44" t="s">
        <v>143</v>
      </c>
      <c r="D123" s="45"/>
      <c r="E123" s="105" t="s">
        <v>141</v>
      </c>
      <c r="G123" s="864">
        <f>'Cust Specific'!S376</f>
        <v>777.5299</v>
      </c>
      <c r="H123" s="865">
        <f>'Cust Specific'!S379</f>
        <v>2.06E-2</v>
      </c>
      <c r="I123" s="461"/>
      <c r="J123" s="461"/>
      <c r="K123" s="462"/>
      <c r="L123" s="461"/>
      <c r="M123" s="461"/>
      <c r="N123" s="461"/>
      <c r="O123" s="462"/>
      <c r="P123" s="461"/>
      <c r="Q123" s="461"/>
      <c r="R123" s="462"/>
      <c r="S123" s="865">
        <f>'Cust Specific'!S377</f>
        <v>3.8699999999999998E-2</v>
      </c>
      <c r="T123" s="866">
        <f>'Cust Specific'!S378</f>
        <v>0</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61"/>
        <v>283.79841350000004</v>
      </c>
      <c r="AP123" s="184">
        <f t="shared" si="89"/>
        <v>432.6</v>
      </c>
      <c r="AQ123" s="178">
        <f t="shared" si="89"/>
        <v>0</v>
      </c>
      <c r="AR123" s="178">
        <f t="shared" si="89"/>
        <v>0</v>
      </c>
      <c r="AS123" s="179">
        <f t="shared" si="89"/>
        <v>0</v>
      </c>
      <c r="AT123" s="178">
        <f t="shared" si="89"/>
        <v>0</v>
      </c>
      <c r="AU123" s="178">
        <f t="shared" si="89"/>
        <v>0</v>
      </c>
      <c r="AV123" s="178">
        <f t="shared" si="89"/>
        <v>0</v>
      </c>
      <c r="AW123" s="179">
        <f t="shared" si="89"/>
        <v>0</v>
      </c>
      <c r="AX123" s="178">
        <f t="shared" si="91"/>
        <v>0</v>
      </c>
      <c r="AY123" s="178">
        <f t="shared" si="91"/>
        <v>0</v>
      </c>
      <c r="AZ123" s="179">
        <f t="shared" si="91"/>
        <v>0</v>
      </c>
      <c r="BA123" s="184">
        <f t="shared" si="91"/>
        <v>500.22633149999996</v>
      </c>
      <c r="BB123" s="178">
        <f t="shared" si="91"/>
        <v>0</v>
      </c>
      <c r="BC123" s="184">
        <f t="shared" si="91"/>
        <v>0</v>
      </c>
      <c r="BD123" s="178">
        <f t="shared" si="90"/>
        <v>0</v>
      </c>
      <c r="BE123" s="244">
        <f t="shared" si="63"/>
        <v>1</v>
      </c>
      <c r="BF123" s="245">
        <f t="shared" si="88"/>
        <v>21000</v>
      </c>
      <c r="BH123" s="255">
        <f t="shared" si="92"/>
        <v>283.79841350000004</v>
      </c>
      <c r="BI123" s="255">
        <f t="shared" si="93"/>
        <v>432.6</v>
      </c>
      <c r="BJ123" s="255">
        <f t="shared" si="94"/>
        <v>0</v>
      </c>
      <c r="BK123" s="256">
        <f t="shared" si="95"/>
        <v>500.22633149999996</v>
      </c>
      <c r="BL123" s="262">
        <f t="shared" si="96"/>
        <v>0</v>
      </c>
      <c r="BM123" s="257">
        <f t="shared" si="65"/>
        <v>1216.6247450000001</v>
      </c>
      <c r="BO123" s="714">
        <f t="shared" si="66"/>
        <v>57.934511666666673</v>
      </c>
      <c r="BV123" s="178">
        <f t="shared" si="97"/>
        <v>0</v>
      </c>
      <c r="BW123" s="178">
        <f t="shared" si="98"/>
        <v>1216.6247450000001</v>
      </c>
    </row>
    <row r="124" spans="2:75" ht="15" customHeight="1" x14ac:dyDescent="0.25">
      <c r="B124" s="19">
        <f t="shared" si="77"/>
        <v>26</v>
      </c>
      <c r="C124" s="44" t="s">
        <v>144</v>
      </c>
      <c r="D124" s="45"/>
      <c r="E124" s="105" t="s">
        <v>141</v>
      </c>
      <c r="G124" s="864">
        <f>'Cust Specific'!S383</f>
        <v>0</v>
      </c>
      <c r="H124" s="865">
        <f>'Cust Specific'!S386</f>
        <v>8.8000000000000005E-3</v>
      </c>
      <c r="I124" s="461"/>
      <c r="J124" s="461"/>
      <c r="K124" s="462"/>
      <c r="L124" s="461"/>
      <c r="M124" s="461"/>
      <c r="N124" s="461"/>
      <c r="O124" s="462"/>
      <c r="P124" s="461"/>
      <c r="Q124" s="461"/>
      <c r="R124" s="462"/>
      <c r="S124" s="865">
        <f>'Cust Specific'!S384</f>
        <v>0.1162</v>
      </c>
      <c r="T124" s="866">
        <f>'Cust Specific'!S385</f>
        <v>0</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61"/>
        <v>0</v>
      </c>
      <c r="AP124" s="184">
        <f t="shared" si="89"/>
        <v>133.76000000000002</v>
      </c>
      <c r="AQ124" s="178">
        <f t="shared" si="89"/>
        <v>0</v>
      </c>
      <c r="AR124" s="178">
        <f t="shared" si="89"/>
        <v>0</v>
      </c>
      <c r="AS124" s="179">
        <f t="shared" si="89"/>
        <v>0</v>
      </c>
      <c r="AT124" s="178">
        <f t="shared" si="89"/>
        <v>0</v>
      </c>
      <c r="AU124" s="178">
        <f t="shared" si="89"/>
        <v>0</v>
      </c>
      <c r="AV124" s="178">
        <f t="shared" si="89"/>
        <v>0</v>
      </c>
      <c r="AW124" s="179">
        <f t="shared" si="89"/>
        <v>0</v>
      </c>
      <c r="AX124" s="178">
        <f t="shared" si="91"/>
        <v>0</v>
      </c>
      <c r="AY124" s="178">
        <f t="shared" si="91"/>
        <v>0</v>
      </c>
      <c r="AZ124" s="179">
        <f t="shared" si="91"/>
        <v>0</v>
      </c>
      <c r="BA124" s="184">
        <f t="shared" si="91"/>
        <v>117.992966</v>
      </c>
      <c r="BB124" s="178">
        <f t="shared" si="91"/>
        <v>0</v>
      </c>
      <c r="BC124" s="184">
        <f t="shared" si="91"/>
        <v>0</v>
      </c>
      <c r="BD124" s="178">
        <f t="shared" si="90"/>
        <v>0</v>
      </c>
      <c r="BE124" s="244">
        <f t="shared" si="63"/>
        <v>1</v>
      </c>
      <c r="BF124" s="245">
        <f t="shared" si="88"/>
        <v>15200</v>
      </c>
      <c r="BH124" s="255">
        <f t="shared" si="92"/>
        <v>0</v>
      </c>
      <c r="BI124" s="255">
        <f t="shared" si="93"/>
        <v>133.76000000000002</v>
      </c>
      <c r="BJ124" s="255">
        <f t="shared" si="94"/>
        <v>0</v>
      </c>
      <c r="BK124" s="256">
        <f t="shared" si="95"/>
        <v>117.992966</v>
      </c>
      <c r="BL124" s="262">
        <f t="shared" si="96"/>
        <v>0</v>
      </c>
      <c r="BM124" s="257">
        <f t="shared" si="65"/>
        <v>251.75296600000001</v>
      </c>
      <c r="BO124" s="714">
        <f t="shared" si="66"/>
        <v>16.562695131578948</v>
      </c>
      <c r="BV124" s="178">
        <f t="shared" si="97"/>
        <v>251.75296600000001</v>
      </c>
      <c r="BW124" s="178">
        <f t="shared" si="98"/>
        <v>0</v>
      </c>
    </row>
    <row r="125" spans="2:75" ht="15" customHeight="1" x14ac:dyDescent="0.25">
      <c r="B125" s="19">
        <f t="shared" si="77"/>
        <v>27</v>
      </c>
      <c r="C125" s="44" t="s">
        <v>145</v>
      </c>
      <c r="D125" s="45"/>
      <c r="E125" s="105" t="s">
        <v>141</v>
      </c>
      <c r="G125" s="864">
        <f>'Cust Specific'!S390</f>
        <v>2769.9</v>
      </c>
      <c r="H125" s="865">
        <f>'Cust Specific'!S393</f>
        <v>0</v>
      </c>
      <c r="I125" s="461"/>
      <c r="J125" s="461"/>
      <c r="K125" s="462"/>
      <c r="L125" s="461"/>
      <c r="M125" s="461"/>
      <c r="N125" s="461"/>
      <c r="O125" s="462"/>
      <c r="P125" s="461"/>
      <c r="Q125" s="461"/>
      <c r="R125" s="462"/>
      <c r="S125" s="865">
        <f>'Cust Specific'!S391</f>
        <v>0</v>
      </c>
      <c r="T125" s="866">
        <f>'Cust Specific'!S392</f>
        <v>0</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61"/>
        <v>1011.0135</v>
      </c>
      <c r="AP125" s="184">
        <f t="shared" si="89"/>
        <v>0</v>
      </c>
      <c r="AQ125" s="178">
        <f t="shared" si="89"/>
        <v>0</v>
      </c>
      <c r="AR125" s="178">
        <f t="shared" si="89"/>
        <v>0</v>
      </c>
      <c r="AS125" s="179">
        <f t="shared" si="89"/>
        <v>0</v>
      </c>
      <c r="AT125" s="178">
        <f t="shared" si="89"/>
        <v>0</v>
      </c>
      <c r="AU125" s="178">
        <f t="shared" si="89"/>
        <v>0</v>
      </c>
      <c r="AV125" s="178">
        <f t="shared" si="89"/>
        <v>0</v>
      </c>
      <c r="AW125" s="179">
        <f t="shared" si="89"/>
        <v>0</v>
      </c>
      <c r="AX125" s="178">
        <f t="shared" si="91"/>
        <v>0</v>
      </c>
      <c r="AY125" s="178">
        <f t="shared" si="91"/>
        <v>0</v>
      </c>
      <c r="AZ125" s="179">
        <f t="shared" si="91"/>
        <v>0</v>
      </c>
      <c r="BA125" s="184">
        <f t="shared" si="91"/>
        <v>0</v>
      </c>
      <c r="BB125" s="178">
        <f t="shared" si="91"/>
        <v>0</v>
      </c>
      <c r="BC125" s="184">
        <f t="shared" si="91"/>
        <v>0</v>
      </c>
      <c r="BD125" s="178">
        <f t="shared" si="90"/>
        <v>0</v>
      </c>
      <c r="BE125" s="244">
        <f t="shared" si="63"/>
        <v>1</v>
      </c>
      <c r="BF125" s="245">
        <f t="shared" si="88"/>
        <v>86000</v>
      </c>
      <c r="BH125" s="255">
        <f t="shared" si="92"/>
        <v>1011.0135</v>
      </c>
      <c r="BI125" s="255">
        <f t="shared" si="93"/>
        <v>0</v>
      </c>
      <c r="BJ125" s="255">
        <f t="shared" si="94"/>
        <v>0</v>
      </c>
      <c r="BK125" s="256">
        <f t="shared" si="95"/>
        <v>0</v>
      </c>
      <c r="BL125" s="262">
        <f t="shared" si="96"/>
        <v>0</v>
      </c>
      <c r="BM125" s="257">
        <f t="shared" si="65"/>
        <v>1011.0135</v>
      </c>
      <c r="BO125" s="714">
        <f t="shared" si="66"/>
        <v>11.755970930232559</v>
      </c>
      <c r="BV125" s="178">
        <f t="shared" si="97"/>
        <v>0</v>
      </c>
      <c r="BW125" s="178">
        <f t="shared" si="98"/>
        <v>1011.0135</v>
      </c>
    </row>
    <row r="126" spans="2:75" ht="15" customHeight="1" x14ac:dyDescent="0.25">
      <c r="B126" s="19">
        <f t="shared" si="77"/>
        <v>28</v>
      </c>
      <c r="C126" s="44" t="s">
        <v>146</v>
      </c>
      <c r="D126" s="45"/>
      <c r="E126" s="105" t="s">
        <v>141</v>
      </c>
      <c r="G126" s="864">
        <f>'Cust Specific'!S397</f>
        <v>447.27269999999999</v>
      </c>
      <c r="H126" s="865">
        <f>'Cust Specific'!S400</f>
        <v>0</v>
      </c>
      <c r="I126" s="461"/>
      <c r="J126" s="461"/>
      <c r="K126" s="462"/>
      <c r="L126" s="461"/>
      <c r="M126" s="461"/>
      <c r="N126" s="461"/>
      <c r="O126" s="462"/>
      <c r="P126" s="461"/>
      <c r="Q126" s="461"/>
      <c r="R126" s="462"/>
      <c r="S126" s="865">
        <f>'Cust Specific'!S398</f>
        <v>0.26229999999999998</v>
      </c>
      <c r="T126" s="866">
        <f>'Cust Specific'!S399</f>
        <v>0</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61"/>
        <v>163.2545355</v>
      </c>
      <c r="AP126" s="184">
        <f t="shared" si="89"/>
        <v>0</v>
      </c>
      <c r="AQ126" s="178">
        <f t="shared" si="89"/>
        <v>0</v>
      </c>
      <c r="AR126" s="178">
        <f t="shared" si="89"/>
        <v>0</v>
      </c>
      <c r="AS126" s="179">
        <f t="shared" si="89"/>
        <v>0</v>
      </c>
      <c r="AT126" s="178">
        <f t="shared" si="89"/>
        <v>0</v>
      </c>
      <c r="AU126" s="178">
        <f t="shared" si="89"/>
        <v>0</v>
      </c>
      <c r="AV126" s="178">
        <f t="shared" si="89"/>
        <v>0</v>
      </c>
      <c r="AW126" s="179">
        <f t="shared" si="89"/>
        <v>0</v>
      </c>
      <c r="AX126" s="178">
        <f t="shared" si="91"/>
        <v>0</v>
      </c>
      <c r="AY126" s="178">
        <f t="shared" si="91"/>
        <v>0</v>
      </c>
      <c r="AZ126" s="179">
        <f t="shared" si="91"/>
        <v>0</v>
      </c>
      <c r="BA126" s="184">
        <f t="shared" si="91"/>
        <v>965.43711799999994</v>
      </c>
      <c r="BB126" s="178">
        <f t="shared" si="91"/>
        <v>0</v>
      </c>
      <c r="BC126" s="184">
        <f t="shared" si="91"/>
        <v>0</v>
      </c>
      <c r="BD126" s="178">
        <f t="shared" si="90"/>
        <v>0</v>
      </c>
      <c r="BE126" s="244">
        <f t="shared" si="63"/>
        <v>1</v>
      </c>
      <c r="BF126" s="245">
        <f t="shared" si="88"/>
        <v>27900</v>
      </c>
      <c r="BH126" s="255">
        <f t="shared" si="92"/>
        <v>163.2545355</v>
      </c>
      <c r="BI126" s="255">
        <f t="shared" si="93"/>
        <v>0</v>
      </c>
      <c r="BJ126" s="255">
        <f t="shared" si="94"/>
        <v>0</v>
      </c>
      <c r="BK126" s="256">
        <f t="shared" si="95"/>
        <v>965.43711799999994</v>
      </c>
      <c r="BL126" s="262">
        <f t="shared" si="96"/>
        <v>0</v>
      </c>
      <c r="BM126" s="257">
        <f t="shared" si="65"/>
        <v>1128.6916535</v>
      </c>
      <c r="BO126" s="714">
        <f t="shared" si="66"/>
        <v>40.454897974910395</v>
      </c>
      <c r="BV126" s="178">
        <f t="shared" si="97"/>
        <v>0</v>
      </c>
      <c r="BW126" s="178">
        <f t="shared" si="98"/>
        <v>1128.6916535</v>
      </c>
    </row>
    <row r="127" spans="2:75" ht="15" customHeight="1" x14ac:dyDescent="0.25">
      <c r="B127" s="19">
        <f t="shared" si="77"/>
        <v>29</v>
      </c>
      <c r="C127" s="44" t="s">
        <v>147</v>
      </c>
      <c r="D127" s="45"/>
      <c r="E127" s="105" t="s">
        <v>141</v>
      </c>
      <c r="G127" s="864">
        <f>'Cust Specific'!S404</f>
        <v>3570.9</v>
      </c>
      <c r="H127" s="865">
        <f>'Cust Specific'!S407</f>
        <v>0</v>
      </c>
      <c r="I127" s="461"/>
      <c r="J127" s="461"/>
      <c r="K127" s="462"/>
      <c r="L127" s="461"/>
      <c r="M127" s="461"/>
      <c r="N127" s="461"/>
      <c r="O127" s="462"/>
      <c r="P127" s="461"/>
      <c r="Q127" s="461"/>
      <c r="R127" s="462"/>
      <c r="S127" s="865">
        <f>'Cust Specific'!S405</f>
        <v>0</v>
      </c>
      <c r="T127" s="866">
        <f>'Cust Specific'!S406</f>
        <v>0</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61"/>
        <v>1303.3785</v>
      </c>
      <c r="AP127" s="184">
        <f t="shared" si="89"/>
        <v>0</v>
      </c>
      <c r="AQ127" s="178">
        <f t="shared" si="89"/>
        <v>0</v>
      </c>
      <c r="AR127" s="178">
        <f t="shared" si="89"/>
        <v>0</v>
      </c>
      <c r="AS127" s="179">
        <f t="shared" si="89"/>
        <v>0</v>
      </c>
      <c r="AT127" s="178">
        <f t="shared" si="89"/>
        <v>0</v>
      </c>
      <c r="AU127" s="178">
        <f t="shared" si="89"/>
        <v>0</v>
      </c>
      <c r="AV127" s="178">
        <f t="shared" si="89"/>
        <v>0</v>
      </c>
      <c r="AW127" s="179">
        <f t="shared" si="89"/>
        <v>0</v>
      </c>
      <c r="AX127" s="178">
        <f t="shared" si="91"/>
        <v>0</v>
      </c>
      <c r="AY127" s="178">
        <f t="shared" si="91"/>
        <v>0</v>
      </c>
      <c r="AZ127" s="179">
        <f t="shared" si="91"/>
        <v>0</v>
      </c>
      <c r="BA127" s="184">
        <f t="shared" si="91"/>
        <v>0</v>
      </c>
      <c r="BB127" s="178">
        <f t="shared" si="91"/>
        <v>0</v>
      </c>
      <c r="BC127" s="184">
        <f t="shared" si="91"/>
        <v>0</v>
      </c>
      <c r="BD127" s="178">
        <f t="shared" si="90"/>
        <v>0</v>
      </c>
      <c r="BE127" s="244">
        <f t="shared" si="63"/>
        <v>1</v>
      </c>
      <c r="BF127" s="245">
        <f t="shared" si="88"/>
        <v>27400</v>
      </c>
      <c r="BH127" s="255">
        <f t="shared" si="92"/>
        <v>1303.3785</v>
      </c>
      <c r="BI127" s="255">
        <f t="shared" si="93"/>
        <v>0</v>
      </c>
      <c r="BJ127" s="255">
        <f t="shared" si="94"/>
        <v>0</v>
      </c>
      <c r="BK127" s="256">
        <f t="shared" si="95"/>
        <v>0</v>
      </c>
      <c r="BL127" s="262">
        <f t="shared" si="96"/>
        <v>0</v>
      </c>
      <c r="BM127" s="257">
        <f t="shared" si="65"/>
        <v>1303.3785</v>
      </c>
      <c r="BO127" s="714">
        <f t="shared" si="66"/>
        <v>47.568558394160583</v>
      </c>
      <c r="BV127" s="178">
        <f t="shared" si="97"/>
        <v>0</v>
      </c>
      <c r="BW127" s="178">
        <f t="shared" si="98"/>
        <v>1303.3785</v>
      </c>
    </row>
    <row r="128" spans="2:75" ht="15" customHeight="1" x14ac:dyDescent="0.25">
      <c r="B128" s="19">
        <f t="shared" si="77"/>
        <v>30</v>
      </c>
      <c r="C128" s="44" t="s">
        <v>148</v>
      </c>
      <c r="D128" s="45"/>
      <c r="E128" s="105" t="s">
        <v>141</v>
      </c>
      <c r="G128" s="864">
        <f>'Cust Specific'!S411</f>
        <v>371.85860000000002</v>
      </c>
      <c r="H128" s="865">
        <f>'Cust Specific'!S414</f>
        <v>0</v>
      </c>
      <c r="I128" s="461"/>
      <c r="J128" s="461"/>
      <c r="K128" s="462"/>
      <c r="L128" s="461"/>
      <c r="M128" s="461"/>
      <c r="N128" s="461"/>
      <c r="O128" s="462"/>
      <c r="P128" s="461"/>
      <c r="Q128" s="461"/>
      <c r="R128" s="462"/>
      <c r="S128" s="865">
        <f>'Cust Specific'!S412</f>
        <v>0.17349999999999999</v>
      </c>
      <c r="T128" s="866">
        <f>'Cust Specific'!S413</f>
        <v>0</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61"/>
        <v>135.72838899999999</v>
      </c>
      <c r="AP128" s="184">
        <f t="shared" ref="AP128:AW129" si="99">H128*Y128</f>
        <v>0</v>
      </c>
      <c r="AQ128" s="178">
        <f t="shared" si="99"/>
        <v>0</v>
      </c>
      <c r="AR128" s="178">
        <f t="shared" si="99"/>
        <v>0</v>
      </c>
      <c r="AS128" s="179">
        <f t="shared" si="99"/>
        <v>0</v>
      </c>
      <c r="AT128" s="178">
        <f t="shared" si="99"/>
        <v>0</v>
      </c>
      <c r="AU128" s="178">
        <f t="shared" si="99"/>
        <v>0</v>
      </c>
      <c r="AV128" s="178">
        <f t="shared" si="99"/>
        <v>0</v>
      </c>
      <c r="AW128" s="179">
        <f t="shared" si="99"/>
        <v>0</v>
      </c>
      <c r="AX128" s="178">
        <f t="shared" si="91"/>
        <v>0</v>
      </c>
      <c r="AY128" s="178">
        <f t="shared" si="91"/>
        <v>0</v>
      </c>
      <c r="AZ128" s="179">
        <f t="shared" si="91"/>
        <v>0</v>
      </c>
      <c r="BA128" s="184">
        <f t="shared" si="91"/>
        <v>666.07864499999994</v>
      </c>
      <c r="BB128" s="178">
        <f t="shared" si="91"/>
        <v>0</v>
      </c>
      <c r="BC128" s="184">
        <f t="shared" si="91"/>
        <v>0</v>
      </c>
      <c r="BD128" s="178">
        <f t="shared" si="90"/>
        <v>0</v>
      </c>
      <c r="BE128" s="244">
        <f t="shared" si="63"/>
        <v>1</v>
      </c>
      <c r="BF128" s="245">
        <f t="shared" si="88"/>
        <v>59000</v>
      </c>
      <c r="BH128" s="255">
        <f t="shared" si="92"/>
        <v>135.72838899999999</v>
      </c>
      <c r="BI128" s="255">
        <f t="shared" si="93"/>
        <v>0</v>
      </c>
      <c r="BJ128" s="255">
        <f t="shared" si="94"/>
        <v>0</v>
      </c>
      <c r="BK128" s="256">
        <f t="shared" si="95"/>
        <v>666.07864499999994</v>
      </c>
      <c r="BL128" s="262">
        <f t="shared" si="96"/>
        <v>0</v>
      </c>
      <c r="BM128" s="257">
        <f t="shared" si="65"/>
        <v>801.80703399999993</v>
      </c>
      <c r="BO128" s="714">
        <f t="shared" si="66"/>
        <v>13.58994972881356</v>
      </c>
      <c r="BV128" s="178">
        <f t="shared" si="97"/>
        <v>0</v>
      </c>
      <c r="BW128" s="178">
        <f t="shared" si="98"/>
        <v>801.80703399999993</v>
      </c>
    </row>
    <row r="129" spans="1:80" ht="15" customHeight="1" x14ac:dyDescent="0.25">
      <c r="A129" s="214"/>
      <c r="B129" s="26">
        <f t="shared" si="77"/>
        <v>31</v>
      </c>
      <c r="C129" s="839" t="s">
        <v>149</v>
      </c>
      <c r="D129" s="56"/>
      <c r="E129" s="840" t="s">
        <v>141</v>
      </c>
      <c r="G129" s="498"/>
      <c r="H129" s="491"/>
      <c r="I129" s="487"/>
      <c r="J129" s="487"/>
      <c r="K129" s="488"/>
      <c r="L129" s="487"/>
      <c r="M129" s="487"/>
      <c r="N129" s="487"/>
      <c r="O129" s="488"/>
      <c r="P129" s="487"/>
      <c r="Q129" s="487"/>
      <c r="R129" s="488"/>
      <c r="S129" s="491"/>
      <c r="T129" s="487"/>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61"/>
        <v>0</v>
      </c>
      <c r="AP129" s="197">
        <f t="shared" si="99"/>
        <v>0</v>
      </c>
      <c r="AQ129" s="192">
        <f t="shared" si="99"/>
        <v>0</v>
      </c>
      <c r="AR129" s="192">
        <f t="shared" si="99"/>
        <v>0</v>
      </c>
      <c r="AS129" s="193">
        <f t="shared" si="99"/>
        <v>0</v>
      </c>
      <c r="AT129" s="192">
        <f t="shared" si="99"/>
        <v>0</v>
      </c>
      <c r="AU129" s="192">
        <f t="shared" si="99"/>
        <v>0</v>
      </c>
      <c r="AV129" s="192">
        <f t="shared" si="99"/>
        <v>0</v>
      </c>
      <c r="AW129" s="193">
        <f t="shared" si="99"/>
        <v>0</v>
      </c>
      <c r="AX129" s="192">
        <f t="shared" si="91"/>
        <v>0</v>
      </c>
      <c r="AY129" s="192">
        <f t="shared" si="91"/>
        <v>0</v>
      </c>
      <c r="AZ129" s="193">
        <f t="shared" si="91"/>
        <v>0</v>
      </c>
      <c r="BA129" s="197">
        <f t="shared" si="91"/>
        <v>0</v>
      </c>
      <c r="BB129" s="192">
        <f t="shared" si="91"/>
        <v>0</v>
      </c>
      <c r="BC129" s="197">
        <f t="shared" si="91"/>
        <v>0</v>
      </c>
      <c r="BD129" s="193">
        <f t="shared" si="90"/>
        <v>0</v>
      </c>
      <c r="BE129" s="246">
        <f t="shared" si="63"/>
        <v>0</v>
      </c>
      <c r="BF129" s="247">
        <f t="shared" si="88"/>
        <v>0</v>
      </c>
      <c r="BH129" s="258">
        <f t="shared" si="92"/>
        <v>0</v>
      </c>
      <c r="BI129" s="258">
        <f t="shared" si="93"/>
        <v>0</v>
      </c>
      <c r="BJ129" s="258">
        <f t="shared" si="94"/>
        <v>0</v>
      </c>
      <c r="BK129" s="259">
        <f t="shared" si="95"/>
        <v>0</v>
      </c>
      <c r="BL129" s="263">
        <f t="shared" si="96"/>
        <v>0</v>
      </c>
      <c r="BM129" s="264">
        <f t="shared" si="65"/>
        <v>0</v>
      </c>
      <c r="BO129" s="714" t="str">
        <f t="shared" si="66"/>
        <v/>
      </c>
      <c r="BV129" s="178">
        <f t="shared" si="97"/>
        <v>0</v>
      </c>
      <c r="BW129" s="178">
        <f t="shared" si="98"/>
        <v>0</v>
      </c>
    </row>
    <row r="130" spans="1:80" x14ac:dyDescent="0.25">
      <c r="BE130" s="248"/>
      <c r="BF130" s="249"/>
    </row>
    <row r="131" spans="1:80"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100">SUM(X16:X25)</f>
        <v>293618410</v>
      </c>
      <c r="Y131" s="218">
        <f t="shared" si="100"/>
        <v>2400100</v>
      </c>
      <c r="Z131" s="218">
        <f t="shared" si="100"/>
        <v>570050</v>
      </c>
      <c r="AA131" s="218">
        <f t="shared" si="100"/>
        <v>114350</v>
      </c>
      <c r="AB131" s="218">
        <f t="shared" si="100"/>
        <v>126950</v>
      </c>
      <c r="AC131" s="218">
        <f t="shared" si="100"/>
        <v>361300</v>
      </c>
      <c r="AD131" s="218">
        <f t="shared" si="100"/>
        <v>0</v>
      </c>
      <c r="AE131" s="218">
        <f t="shared" si="100"/>
        <v>92600</v>
      </c>
      <c r="AF131" s="218">
        <f t="shared" si="100"/>
        <v>23100</v>
      </c>
      <c r="AG131" s="218">
        <f t="shared" si="100"/>
        <v>0</v>
      </c>
      <c r="AH131" s="218">
        <f t="shared" si="100"/>
        <v>0</v>
      </c>
      <c r="AI131" s="218">
        <f t="shared" si="100"/>
        <v>0</v>
      </c>
      <c r="AJ131" s="218">
        <f t="shared" si="100"/>
        <v>0</v>
      </c>
      <c r="AK131" s="218">
        <f t="shared" si="100"/>
        <v>0</v>
      </c>
      <c r="AL131" s="218">
        <f t="shared" si="100"/>
        <v>446395</v>
      </c>
      <c r="AM131" s="218">
        <f t="shared" si="100"/>
        <v>0</v>
      </c>
      <c r="AO131" s="218">
        <f t="shared" ref="AO131:BD131" si="101">SUM(AO16:AO25)</f>
        <v>0</v>
      </c>
      <c r="AP131" s="218">
        <f t="shared" si="101"/>
        <v>85443.56</v>
      </c>
      <c r="AQ131" s="218">
        <f t="shared" si="101"/>
        <v>25416.174999999999</v>
      </c>
      <c r="AR131" s="218">
        <f t="shared" si="101"/>
        <v>2043.625</v>
      </c>
      <c r="AS131" s="218">
        <f t="shared" si="101"/>
        <v>1128.9799999999998</v>
      </c>
      <c r="AT131" s="218">
        <f t="shared" si="101"/>
        <v>6467.2699999999995</v>
      </c>
      <c r="AU131" s="218">
        <f t="shared" si="101"/>
        <v>0</v>
      </c>
      <c r="AV131" s="218">
        <f t="shared" si="101"/>
        <v>1657.54</v>
      </c>
      <c r="AW131" s="218">
        <f t="shared" si="101"/>
        <v>205.59</v>
      </c>
      <c r="AX131" s="218">
        <f t="shared" si="101"/>
        <v>0</v>
      </c>
      <c r="AY131" s="218">
        <f t="shared" si="101"/>
        <v>0</v>
      </c>
      <c r="AZ131" s="218">
        <f t="shared" si="101"/>
        <v>0</v>
      </c>
      <c r="BA131" s="218">
        <f t="shared" si="101"/>
        <v>0</v>
      </c>
      <c r="BB131" s="218">
        <f t="shared" si="101"/>
        <v>0</v>
      </c>
      <c r="BC131" s="218">
        <f t="shared" si="101"/>
        <v>88.564768000000001</v>
      </c>
      <c r="BD131" s="218">
        <f t="shared" si="101"/>
        <v>0</v>
      </c>
      <c r="BE131" s="244">
        <f>SUM(BE17:BE25)</f>
        <v>804434</v>
      </c>
      <c r="BF131" s="245">
        <f>SUM(BF17:BF25)</f>
        <v>3688450</v>
      </c>
      <c r="BH131" s="218">
        <f t="shared" ref="BH131:BM131" si="102">BH16</f>
        <v>0</v>
      </c>
      <c r="BI131" s="218">
        <f t="shared" si="102"/>
        <v>114073.18179</v>
      </c>
      <c r="BJ131" s="218">
        <f t="shared" si="102"/>
        <v>8330.4</v>
      </c>
      <c r="BK131" s="218">
        <f t="shared" si="102"/>
        <v>0</v>
      </c>
      <c r="BL131" s="218">
        <f t="shared" si="102"/>
        <v>88.564768000000001</v>
      </c>
      <c r="BM131" s="218">
        <f t="shared" si="102"/>
        <v>122492.14655799999</v>
      </c>
      <c r="BN131" s="718">
        <f t="shared" ref="BN131:BN136" si="103">BM131/$BM$136</f>
        <v>0.45107746637735135</v>
      </c>
      <c r="BO131" s="714">
        <f t="shared" ref="BO131:BO136" si="104">BM131*1000/BF131</f>
        <v>33.209653528718022</v>
      </c>
      <c r="BQ131" s="659">
        <f>'[15]TUoS (t)'!BO128</f>
        <v>31.52202635319847</v>
      </c>
      <c r="BR131" s="718">
        <f>BO131/BQ131-1</f>
        <v>5.3538029459464287E-2</v>
      </c>
      <c r="BS131" s="128">
        <v>0.98</v>
      </c>
      <c r="BT131" s="870">
        <f>$BT$136*BS131</f>
        <v>1.0515399999999999</v>
      </c>
      <c r="BY131" s="888">
        <v>0.45008509983068246</v>
      </c>
      <c r="BZ131" s="889">
        <f>$BM$136*BY131</f>
        <v>122222.66488903067</v>
      </c>
      <c r="CA131" s="889">
        <f>BZ131-BM131</f>
        <v>-269.48166896932526</v>
      </c>
      <c r="CB131" s="888">
        <f>CA131/BM131</f>
        <v>-2.1999913997892574E-3</v>
      </c>
    </row>
    <row r="132" spans="1:80"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105">SUM(X28:X41)</f>
        <v>34229335</v>
      </c>
      <c r="Y132" s="218">
        <f t="shared" si="105"/>
        <v>447400</v>
      </c>
      <c r="Z132" s="218">
        <f t="shared" si="105"/>
        <v>200600</v>
      </c>
      <c r="AA132" s="218">
        <f t="shared" si="105"/>
        <v>272300</v>
      </c>
      <c r="AB132" s="218">
        <f t="shared" si="105"/>
        <v>379200</v>
      </c>
      <c r="AC132" s="218">
        <f t="shared" si="105"/>
        <v>6000</v>
      </c>
      <c r="AD132" s="218">
        <f t="shared" si="105"/>
        <v>0</v>
      </c>
      <c r="AE132" s="218">
        <f t="shared" si="105"/>
        <v>0</v>
      </c>
      <c r="AF132" s="218">
        <f t="shared" si="105"/>
        <v>0</v>
      </c>
      <c r="AG132" s="218">
        <f t="shared" si="105"/>
        <v>0</v>
      </c>
      <c r="AH132" s="218">
        <f t="shared" si="105"/>
        <v>1070741</v>
      </c>
      <c r="AI132" s="218">
        <f t="shared" si="105"/>
        <v>2717425</v>
      </c>
      <c r="AJ132" s="218">
        <f t="shared" si="105"/>
        <v>0</v>
      </c>
      <c r="AK132" s="218">
        <f t="shared" si="105"/>
        <v>27963015</v>
      </c>
      <c r="AL132" s="218">
        <f t="shared" si="105"/>
        <v>0</v>
      </c>
      <c r="AM132" s="218">
        <f t="shared" si="105"/>
        <v>0</v>
      </c>
      <c r="AO132" s="218">
        <f t="shared" ref="AO132:BF132" si="106">SUM(AO28:AO41)</f>
        <v>0</v>
      </c>
      <c r="AP132" s="218">
        <f t="shared" si="106"/>
        <v>16255.32</v>
      </c>
      <c r="AQ132" s="218">
        <f t="shared" si="106"/>
        <v>9543.4500000000007</v>
      </c>
      <c r="AR132" s="218">
        <f t="shared" si="106"/>
        <v>11039.419999999998</v>
      </c>
      <c r="AS132" s="218">
        <f t="shared" si="106"/>
        <v>8442.9599999999991</v>
      </c>
      <c r="AT132" s="218">
        <f t="shared" si="106"/>
        <v>107.39999999999999</v>
      </c>
      <c r="AU132" s="218">
        <f t="shared" si="106"/>
        <v>0</v>
      </c>
      <c r="AV132" s="218">
        <f t="shared" si="106"/>
        <v>0</v>
      </c>
      <c r="AW132" s="218">
        <f t="shared" si="106"/>
        <v>0</v>
      </c>
      <c r="AX132" s="218">
        <f t="shared" si="106"/>
        <v>0</v>
      </c>
      <c r="AY132" s="218">
        <f t="shared" si="106"/>
        <v>92.940318800000014</v>
      </c>
      <c r="AZ132" s="218">
        <f t="shared" si="106"/>
        <v>116.5775325</v>
      </c>
      <c r="BA132" s="218">
        <f t="shared" si="106"/>
        <v>0</v>
      </c>
      <c r="BB132" s="218">
        <f t="shared" si="106"/>
        <v>0</v>
      </c>
      <c r="BC132" s="218">
        <f t="shared" si="106"/>
        <v>0</v>
      </c>
      <c r="BD132" s="218">
        <f t="shared" si="106"/>
        <v>0</v>
      </c>
      <c r="BE132" s="244">
        <f t="shared" si="106"/>
        <v>93779</v>
      </c>
      <c r="BF132" s="245">
        <f t="shared" si="106"/>
        <v>1305500</v>
      </c>
      <c r="BH132" s="218">
        <f t="shared" ref="BH132:BM132" si="107">BH28</f>
        <v>0</v>
      </c>
      <c r="BI132" s="218">
        <f t="shared" si="107"/>
        <v>45281.15</v>
      </c>
      <c r="BJ132" s="218">
        <f t="shared" si="107"/>
        <v>107.39999999999999</v>
      </c>
      <c r="BK132" s="218">
        <f t="shared" si="107"/>
        <v>209.51785130000002</v>
      </c>
      <c r="BL132" s="218">
        <f t="shared" si="107"/>
        <v>0</v>
      </c>
      <c r="BM132" s="218">
        <f t="shared" si="107"/>
        <v>45598.067851300002</v>
      </c>
      <c r="BN132" s="718">
        <f t="shared" si="103"/>
        <v>0.16791493574102645</v>
      </c>
      <c r="BO132" s="714">
        <f t="shared" si="104"/>
        <v>34.927665914438911</v>
      </c>
      <c r="BQ132" s="659">
        <f>'[15]TUoS (t)'!BO129</f>
        <v>32.517435872465278</v>
      </c>
      <c r="BR132" s="718">
        <f t="shared" ref="BR132:BR139" si="108">BO132/BQ132-1</f>
        <v>7.4121159227518829E-2</v>
      </c>
      <c r="BS132" s="128">
        <v>1.0009999999999999</v>
      </c>
      <c r="BT132" s="870">
        <f>$BT$136*BS132</f>
        <v>1.0740729999999998</v>
      </c>
      <c r="BY132" s="888">
        <v>0.17000356075686729</v>
      </c>
      <c r="BZ132" s="889">
        <f t="shared" ref="BZ132:BZ135" si="109">$BM$136*BY132</f>
        <v>46165.243515382179</v>
      </c>
      <c r="CA132" s="889">
        <f t="shared" ref="CA132:CA135" si="110">BZ132-BM132</f>
        <v>567.17566408217681</v>
      </c>
      <c r="CB132" s="888">
        <f t="shared" ref="CB132:CB135" si="111">CA132/BM132</f>
        <v>1.2438589852793655E-2</v>
      </c>
    </row>
    <row r="133" spans="1:80"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112">SUM(X42:X69)</f>
        <v>1953845</v>
      </c>
      <c r="Y133" s="218">
        <f t="shared" si="112"/>
        <v>10000</v>
      </c>
      <c r="Z133" s="218">
        <f t="shared" si="112"/>
        <v>1383994</v>
      </c>
      <c r="AA133" s="218">
        <f t="shared" si="112"/>
        <v>0</v>
      </c>
      <c r="AB133" s="218">
        <f t="shared" si="112"/>
        <v>1232955</v>
      </c>
      <c r="AC133" s="218">
        <f t="shared" si="112"/>
        <v>0</v>
      </c>
      <c r="AD133" s="218">
        <f t="shared" si="112"/>
        <v>0</v>
      </c>
      <c r="AE133" s="218">
        <f t="shared" si="112"/>
        <v>0</v>
      </c>
      <c r="AF133" s="218">
        <f t="shared" si="112"/>
        <v>0</v>
      </c>
      <c r="AG133" s="218">
        <f t="shared" si="112"/>
        <v>3555144</v>
      </c>
      <c r="AH133" s="218">
        <f t="shared" si="112"/>
        <v>757869</v>
      </c>
      <c r="AI133" s="218">
        <f t="shared" si="112"/>
        <v>1631915</v>
      </c>
      <c r="AJ133" s="218">
        <f t="shared" si="112"/>
        <v>232218475</v>
      </c>
      <c r="AK133" s="218">
        <f t="shared" si="112"/>
        <v>345057495</v>
      </c>
      <c r="AL133" s="218">
        <f t="shared" si="112"/>
        <v>0</v>
      </c>
      <c r="AM133" s="218">
        <f t="shared" si="112"/>
        <v>0</v>
      </c>
      <c r="AO133" s="218">
        <f t="shared" ref="AO133:BF133" si="113">SUM(AO42:AO69)</f>
        <v>0</v>
      </c>
      <c r="AP133" s="218">
        <f t="shared" si="113"/>
        <v>231.00000000000003</v>
      </c>
      <c r="AQ133" s="218">
        <f t="shared" si="113"/>
        <v>26144.256600000001</v>
      </c>
      <c r="AR133" s="218">
        <f t="shared" si="113"/>
        <v>0</v>
      </c>
      <c r="AS133" s="218">
        <f t="shared" si="113"/>
        <v>14541.789000000001</v>
      </c>
      <c r="AT133" s="218">
        <f t="shared" si="113"/>
        <v>0</v>
      </c>
      <c r="AU133" s="218">
        <f t="shared" si="113"/>
        <v>0</v>
      </c>
      <c r="AV133" s="218">
        <f t="shared" si="113"/>
        <v>0</v>
      </c>
      <c r="AW133" s="218">
        <f t="shared" si="113"/>
        <v>0</v>
      </c>
      <c r="AX133" s="218">
        <f t="shared" si="113"/>
        <v>1496.0045952</v>
      </c>
      <c r="AY133" s="218">
        <f t="shared" si="113"/>
        <v>65.783029200000001</v>
      </c>
      <c r="AZ133" s="218">
        <f t="shared" si="113"/>
        <v>70.009153499999996</v>
      </c>
      <c r="BA133" s="218">
        <f t="shared" si="113"/>
        <v>26960.564947500003</v>
      </c>
      <c r="BB133" s="218">
        <f t="shared" si="113"/>
        <v>0</v>
      </c>
      <c r="BC133" s="218">
        <f t="shared" si="113"/>
        <v>0</v>
      </c>
      <c r="BD133" s="218">
        <f t="shared" si="113"/>
        <v>0</v>
      </c>
      <c r="BE133" s="244">
        <f t="shared" si="113"/>
        <v>5353</v>
      </c>
      <c r="BF133" s="245">
        <f t="shared" si="113"/>
        <v>2626949</v>
      </c>
      <c r="BH133" s="218">
        <f t="shared" ref="BH133:BM133" si="114">BH42</f>
        <v>0</v>
      </c>
      <c r="BI133" s="218">
        <f t="shared" si="114"/>
        <v>40917.045600000005</v>
      </c>
      <c r="BJ133" s="218">
        <f t="shared" si="114"/>
        <v>0</v>
      </c>
      <c r="BK133" s="218">
        <f t="shared" si="114"/>
        <v>28592.361725400002</v>
      </c>
      <c r="BL133" s="218">
        <f t="shared" si="114"/>
        <v>0</v>
      </c>
      <c r="BM133" s="218">
        <f t="shared" si="114"/>
        <v>69509.40732540001</v>
      </c>
      <c r="BN133" s="718">
        <f t="shared" si="103"/>
        <v>0.25596847003482442</v>
      </c>
      <c r="BO133" s="714">
        <f t="shared" si="104"/>
        <v>26.460128204011578</v>
      </c>
      <c r="BQ133" s="659">
        <f>'[15]TUoS (t)'!BO130</f>
        <v>24.831250425299885</v>
      </c>
      <c r="BR133" s="718">
        <f t="shared" si="108"/>
        <v>6.5597895829364816E-2</v>
      </c>
      <c r="BS133" s="128">
        <v>0.999</v>
      </c>
      <c r="BT133" s="870">
        <f>$BT$136*BS133</f>
        <v>1.0719269999999999</v>
      </c>
      <c r="BY133" s="888">
        <v>0.2534616913439704</v>
      </c>
      <c r="BZ133" s="889">
        <f t="shared" si="109"/>
        <v>68828.680120703662</v>
      </c>
      <c r="CA133" s="889">
        <f t="shared" si="110"/>
        <v>-680.72720469634805</v>
      </c>
      <c r="CB133" s="888">
        <f t="shared" si="111"/>
        <v>-9.7933104437159819E-3</v>
      </c>
    </row>
    <row r="134" spans="1:80"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115">SUM(X70:X93)</f>
        <v>72635</v>
      </c>
      <c r="Y134" s="218">
        <f t="shared" si="115"/>
        <v>0</v>
      </c>
      <c r="Z134" s="218">
        <f t="shared" si="115"/>
        <v>364504</v>
      </c>
      <c r="AA134" s="218">
        <f t="shared" si="115"/>
        <v>0</v>
      </c>
      <c r="AB134" s="218">
        <f t="shared" si="115"/>
        <v>350404</v>
      </c>
      <c r="AC134" s="218">
        <f t="shared" si="115"/>
        <v>0</v>
      </c>
      <c r="AD134" s="218">
        <f t="shared" si="115"/>
        <v>0</v>
      </c>
      <c r="AE134" s="218">
        <f t="shared" si="115"/>
        <v>0</v>
      </c>
      <c r="AF134" s="218">
        <f t="shared" si="115"/>
        <v>0</v>
      </c>
      <c r="AG134" s="218">
        <f t="shared" si="115"/>
        <v>1488105</v>
      </c>
      <c r="AH134" s="218">
        <f t="shared" si="115"/>
        <v>0</v>
      </c>
      <c r="AI134" s="218">
        <f t="shared" si="115"/>
        <v>0</v>
      </c>
      <c r="AJ134" s="218">
        <f t="shared" si="115"/>
        <v>59423825</v>
      </c>
      <c r="AK134" s="218">
        <f t="shared" si="115"/>
        <v>87282815</v>
      </c>
      <c r="AL134" s="218">
        <f t="shared" si="115"/>
        <v>0</v>
      </c>
      <c r="AM134" s="218">
        <f t="shared" si="115"/>
        <v>0</v>
      </c>
      <c r="AO134" s="218">
        <f t="shared" ref="AO134:BF134" si="116">SUM(AO70:AO93)</f>
        <v>36.6710025</v>
      </c>
      <c r="AP134" s="218">
        <f t="shared" si="116"/>
        <v>0</v>
      </c>
      <c r="AQ134" s="218">
        <f t="shared" si="116"/>
        <v>4988.3063999999995</v>
      </c>
      <c r="AR134" s="218">
        <f t="shared" si="116"/>
        <v>0</v>
      </c>
      <c r="AS134" s="218">
        <f t="shared" si="116"/>
        <v>2986.1952000000001</v>
      </c>
      <c r="AT134" s="218">
        <f t="shared" si="116"/>
        <v>0</v>
      </c>
      <c r="AU134" s="218">
        <f t="shared" si="116"/>
        <v>0</v>
      </c>
      <c r="AV134" s="218">
        <f t="shared" si="116"/>
        <v>0</v>
      </c>
      <c r="AW134" s="218">
        <f t="shared" si="116"/>
        <v>0</v>
      </c>
      <c r="AX134" s="218">
        <f t="shared" si="116"/>
        <v>626.93863650000003</v>
      </c>
      <c r="AY134" s="218">
        <f t="shared" si="116"/>
        <v>0</v>
      </c>
      <c r="AZ134" s="218">
        <f t="shared" si="116"/>
        <v>0</v>
      </c>
      <c r="BA134" s="218">
        <f t="shared" si="116"/>
        <v>6995.0472449999997</v>
      </c>
      <c r="BB134" s="218">
        <f t="shared" si="116"/>
        <v>0</v>
      </c>
      <c r="BC134" s="218">
        <f t="shared" si="116"/>
        <v>0</v>
      </c>
      <c r="BD134" s="218">
        <f t="shared" si="116"/>
        <v>0</v>
      </c>
      <c r="BE134" s="244">
        <f t="shared" si="116"/>
        <v>199</v>
      </c>
      <c r="BF134" s="245">
        <f t="shared" si="116"/>
        <v>714908</v>
      </c>
      <c r="BH134" s="218">
        <f t="shared" ref="BH134:BM134" si="117">BH70</f>
        <v>36.6710025</v>
      </c>
      <c r="BI134" s="218">
        <f t="shared" si="117"/>
        <v>7974.5016000000005</v>
      </c>
      <c r="BJ134" s="218">
        <f t="shared" si="117"/>
        <v>0</v>
      </c>
      <c r="BK134" s="218">
        <f t="shared" si="117"/>
        <v>7621.9858814999998</v>
      </c>
      <c r="BL134" s="218">
        <f t="shared" si="117"/>
        <v>0</v>
      </c>
      <c r="BM134" s="218">
        <f t="shared" si="117"/>
        <v>15633.158484</v>
      </c>
      <c r="BN134" s="718">
        <f t="shared" si="103"/>
        <v>5.7569123560907688E-2</v>
      </c>
      <c r="BO134" s="714">
        <f t="shared" si="104"/>
        <v>21.867371023963923</v>
      </c>
      <c r="BQ134" s="659">
        <f>'[15]TUoS (t)'!BO131</f>
        <v>20.188764680785262</v>
      </c>
      <c r="BR134" s="718">
        <f t="shared" si="108"/>
        <v>8.3145569811722053E-2</v>
      </c>
      <c r="BS134" s="128">
        <v>1</v>
      </c>
      <c r="BT134" s="870">
        <f>$BT$136*BS134</f>
        <v>1.073</v>
      </c>
      <c r="BY134" s="888">
        <v>5.9355913983196486E-2</v>
      </c>
      <c r="BZ134" s="889">
        <f t="shared" si="109"/>
        <v>16118.369585395019</v>
      </c>
      <c r="CA134" s="889">
        <f t="shared" si="110"/>
        <v>485.2111013950198</v>
      </c>
      <c r="CB134" s="888">
        <f t="shared" si="111"/>
        <v>3.1037304578701526E-2</v>
      </c>
    </row>
    <row r="135" spans="1:80"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18">SUM(X94:X129)</f>
        <v>10220</v>
      </c>
      <c r="Y135" s="218">
        <f t="shared" si="118"/>
        <v>1181592</v>
      </c>
      <c r="Z135" s="218">
        <f t="shared" si="118"/>
        <v>0</v>
      </c>
      <c r="AA135" s="218">
        <f t="shared" si="118"/>
        <v>0</v>
      </c>
      <c r="AB135" s="218">
        <f t="shared" si="118"/>
        <v>0</v>
      </c>
      <c r="AC135" s="218">
        <f t="shared" si="118"/>
        <v>0</v>
      </c>
      <c r="AD135" s="218">
        <f t="shared" si="118"/>
        <v>0</v>
      </c>
      <c r="AE135" s="218">
        <f t="shared" si="118"/>
        <v>0</v>
      </c>
      <c r="AF135" s="218">
        <f t="shared" si="118"/>
        <v>0</v>
      </c>
      <c r="AG135" s="218">
        <f t="shared" si="118"/>
        <v>0</v>
      </c>
      <c r="AH135" s="218">
        <f t="shared" si="118"/>
        <v>0</v>
      </c>
      <c r="AI135" s="218">
        <f t="shared" si="118"/>
        <v>0</v>
      </c>
      <c r="AJ135" s="218">
        <f t="shared" si="118"/>
        <v>82932745</v>
      </c>
      <c r="AK135" s="218">
        <f t="shared" si="118"/>
        <v>125423125</v>
      </c>
      <c r="AL135" s="218">
        <f t="shared" si="118"/>
        <v>0</v>
      </c>
      <c r="AM135" s="218">
        <f t="shared" si="118"/>
        <v>0</v>
      </c>
      <c r="AO135" s="218">
        <f t="shared" ref="AO135:BF135" si="119">SUM(AO94:AO129)</f>
        <v>6591.3345055</v>
      </c>
      <c r="AP135" s="218">
        <f t="shared" si="119"/>
        <v>1796.5295999999996</v>
      </c>
      <c r="AQ135" s="218">
        <f t="shared" si="119"/>
        <v>0</v>
      </c>
      <c r="AR135" s="218">
        <f t="shared" si="119"/>
        <v>0</v>
      </c>
      <c r="AS135" s="218">
        <f t="shared" si="119"/>
        <v>0</v>
      </c>
      <c r="AT135" s="218">
        <f t="shared" si="119"/>
        <v>0</v>
      </c>
      <c r="AU135" s="218">
        <f t="shared" si="119"/>
        <v>0</v>
      </c>
      <c r="AV135" s="218">
        <f t="shared" si="119"/>
        <v>0</v>
      </c>
      <c r="AW135" s="218">
        <f t="shared" si="119"/>
        <v>0</v>
      </c>
      <c r="AX135" s="218">
        <f t="shared" si="119"/>
        <v>0</v>
      </c>
      <c r="AY135" s="218">
        <f t="shared" si="119"/>
        <v>0</v>
      </c>
      <c r="AZ135" s="218">
        <f t="shared" si="119"/>
        <v>0</v>
      </c>
      <c r="BA135" s="218">
        <f t="shared" si="119"/>
        <v>9933.9237675000004</v>
      </c>
      <c r="BB135" s="218">
        <f t="shared" si="119"/>
        <v>0</v>
      </c>
      <c r="BC135" s="218">
        <f t="shared" si="119"/>
        <v>0</v>
      </c>
      <c r="BD135" s="218">
        <f t="shared" si="119"/>
        <v>0</v>
      </c>
      <c r="BE135" s="244">
        <f t="shared" si="119"/>
        <v>28</v>
      </c>
      <c r="BF135" s="245">
        <f t="shared" si="119"/>
        <v>1181592</v>
      </c>
      <c r="BH135" s="218">
        <f t="shared" ref="BH135:BM135" si="120">BH94</f>
        <v>6591.3345055</v>
      </c>
      <c r="BI135" s="218">
        <f t="shared" si="120"/>
        <v>1796.5295999999996</v>
      </c>
      <c r="BJ135" s="218">
        <f t="shared" si="120"/>
        <v>0</v>
      </c>
      <c r="BK135" s="218">
        <f t="shared" si="120"/>
        <v>9933.9237675000004</v>
      </c>
      <c r="BL135" s="218">
        <f t="shared" si="120"/>
        <v>0</v>
      </c>
      <c r="BM135" s="218">
        <f t="shared" si="120"/>
        <v>18321.787873000001</v>
      </c>
      <c r="BN135" s="718">
        <f t="shared" si="103"/>
        <v>6.7470004285889978E-2</v>
      </c>
      <c r="BO135" s="714">
        <f t="shared" si="104"/>
        <v>15.506018890615373</v>
      </c>
      <c r="BQ135" s="659">
        <f>'[15]TUoS (t)'!BO132</f>
        <v>15.999504742745378</v>
      </c>
      <c r="BR135" s="718">
        <f t="shared" si="108"/>
        <v>-3.0843820484741324E-2</v>
      </c>
      <c r="BS135" s="128">
        <v>1</v>
      </c>
      <c r="BT135" s="870">
        <f>$BT$136*BS135</f>
        <v>1.073</v>
      </c>
      <c r="BV135" s="137">
        <f>SUM(BV96:BV129)</f>
        <v>2996.787687</v>
      </c>
      <c r="BW135" s="137">
        <f>SUM(BW96:BW129)</f>
        <v>15325.000186000003</v>
      </c>
      <c r="BY135" s="888">
        <v>6.7093734085283421E-2</v>
      </c>
      <c r="BZ135" s="889">
        <f t="shared" si="109"/>
        <v>18219.609981188511</v>
      </c>
      <c r="CA135" s="889">
        <f t="shared" si="110"/>
        <v>-102.17789181149055</v>
      </c>
      <c r="CB135" s="888">
        <f t="shared" si="111"/>
        <v>-5.5768515889252019E-3</v>
      </c>
    </row>
    <row r="136" spans="1:80"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21">SUM(X131:X135)</f>
        <v>329884445</v>
      </c>
      <c r="Y136" s="221">
        <f t="shared" si="121"/>
        <v>4039092</v>
      </c>
      <c r="Z136" s="221">
        <f t="shared" si="121"/>
        <v>2519148</v>
      </c>
      <c r="AA136" s="221">
        <f t="shared" si="121"/>
        <v>386650</v>
      </c>
      <c r="AB136" s="221">
        <f t="shared" si="121"/>
        <v>2089509</v>
      </c>
      <c r="AC136" s="221">
        <f t="shared" si="121"/>
        <v>367300</v>
      </c>
      <c r="AD136" s="221">
        <f t="shared" si="121"/>
        <v>0</v>
      </c>
      <c r="AE136" s="221">
        <f t="shared" si="121"/>
        <v>92600</v>
      </c>
      <c r="AF136" s="221">
        <f t="shared" si="121"/>
        <v>23100</v>
      </c>
      <c r="AG136" s="221">
        <f t="shared" si="121"/>
        <v>5043249</v>
      </c>
      <c r="AH136" s="221">
        <f t="shared" si="121"/>
        <v>1828610</v>
      </c>
      <c r="AI136" s="221">
        <f t="shared" si="121"/>
        <v>4349340</v>
      </c>
      <c r="AJ136" s="221">
        <f t="shared" si="121"/>
        <v>374575045</v>
      </c>
      <c r="AK136" s="221">
        <f t="shared" si="121"/>
        <v>585726450</v>
      </c>
      <c r="AL136" s="221">
        <f t="shared" si="121"/>
        <v>446395</v>
      </c>
      <c r="AM136" s="221">
        <f>SUM(AM131:AM135)</f>
        <v>0</v>
      </c>
      <c r="AO136" s="221">
        <f>SUM(AO131:AO135)</f>
        <v>6628.0055080000002</v>
      </c>
      <c r="AP136" s="221">
        <f t="shared" ref="AP136:BD136" si="122">SUM(AP131:AP135)</f>
        <v>103726.4096</v>
      </c>
      <c r="AQ136" s="221">
        <f t="shared" si="122"/>
        <v>66092.187999999995</v>
      </c>
      <c r="AR136" s="221">
        <f t="shared" si="122"/>
        <v>13083.044999999998</v>
      </c>
      <c r="AS136" s="221">
        <f t="shared" si="122"/>
        <v>27099.924200000001</v>
      </c>
      <c r="AT136" s="221">
        <f t="shared" si="122"/>
        <v>6574.6699999999992</v>
      </c>
      <c r="AU136" s="221">
        <f t="shared" si="122"/>
        <v>0</v>
      </c>
      <c r="AV136" s="221">
        <f t="shared" si="122"/>
        <v>1657.54</v>
      </c>
      <c r="AW136" s="221">
        <f t="shared" si="122"/>
        <v>205.59</v>
      </c>
      <c r="AX136" s="221">
        <f t="shared" si="122"/>
        <v>2122.9432317000001</v>
      </c>
      <c r="AY136" s="221">
        <f t="shared" si="122"/>
        <v>158.72334800000002</v>
      </c>
      <c r="AZ136" s="221">
        <f t="shared" si="122"/>
        <v>186.58668599999999</v>
      </c>
      <c r="BA136" s="221">
        <f t="shared" si="122"/>
        <v>43889.535960000008</v>
      </c>
      <c r="BB136" s="221">
        <f t="shared" si="122"/>
        <v>0</v>
      </c>
      <c r="BC136" s="221">
        <f t="shared" si="122"/>
        <v>88.564768000000001</v>
      </c>
      <c r="BD136" s="221">
        <f t="shared" si="122"/>
        <v>0</v>
      </c>
      <c r="BE136" s="238">
        <f>SUM(BE131:BE135)</f>
        <v>903793</v>
      </c>
      <c r="BF136" s="239">
        <f>SUM(BF131:BF135)</f>
        <v>9517399</v>
      </c>
      <c r="BH136" s="221">
        <f t="shared" ref="BH136:BM136" si="123">SUM(BH131:BH135)</f>
        <v>6628.0055080000002</v>
      </c>
      <c r="BI136" s="221">
        <f t="shared" si="123"/>
        <v>210042.40859000001</v>
      </c>
      <c r="BJ136" s="221">
        <f t="shared" si="123"/>
        <v>8437.7999999999993</v>
      </c>
      <c r="BK136" s="221">
        <f t="shared" si="123"/>
        <v>46357.789225700006</v>
      </c>
      <c r="BL136" s="221">
        <f t="shared" si="123"/>
        <v>88.564768000000001</v>
      </c>
      <c r="BM136" s="221">
        <f t="shared" si="123"/>
        <v>271554.56809170003</v>
      </c>
      <c r="BN136" s="718">
        <f t="shared" si="103"/>
        <v>1</v>
      </c>
      <c r="BO136" s="715">
        <f t="shared" si="104"/>
        <v>28.532434974271858</v>
      </c>
      <c r="BQ136" s="867">
        <f>'[15]TUoS (t)'!BO133</f>
        <v>26.979523365147436</v>
      </c>
      <c r="BR136" s="868">
        <f t="shared" si="108"/>
        <v>5.7558897097881978E-2</v>
      </c>
      <c r="BT136" s="869">
        <v>1.073</v>
      </c>
      <c r="BV136" s="805">
        <f>BV135/BM136</f>
        <v>1.1035674001212267E-2</v>
      </c>
      <c r="BW136" s="805">
        <f>BW135/BM136</f>
        <v>5.643433028467771E-2</v>
      </c>
    </row>
    <row r="137" spans="1:80"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Q137" s="659"/>
      <c r="BR137" s="718"/>
      <c r="BT137" s="801">
        <f>TUoS!F28</f>
        <v>-22.645525699811245</v>
      </c>
      <c r="BV137" s="805">
        <f>BV135/$BM$135</f>
        <v>0.16356415147760944</v>
      </c>
      <c r="BW137" s="805">
        <f>BW135/$BM$135</f>
        <v>0.83643584852239061</v>
      </c>
    </row>
    <row r="138" spans="1:80"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0</v>
      </c>
      <c r="BI138" s="218">
        <f>BI131</f>
        <v>114073.18179</v>
      </c>
      <c r="BJ138" s="218"/>
      <c r="BK138" s="218">
        <f>BK131</f>
        <v>0</v>
      </c>
      <c r="BL138" s="218">
        <f>BL131</f>
        <v>88.564768000000001</v>
      </c>
      <c r="BM138" s="218">
        <f>SUM(BH138:BL138)</f>
        <v>114161.746558</v>
      </c>
      <c r="BN138" s="718">
        <f>BM138/$BM$136</f>
        <v>0.42040075908223806</v>
      </c>
      <c r="BO138" s="714">
        <f>BM138*1000/BF138</f>
        <v>35.548349361814758</v>
      </c>
      <c r="BQ138" s="659">
        <f>'[15]TUoS (t)'!BO135</f>
        <v>33.726615123941009</v>
      </c>
      <c r="BR138" s="718">
        <f t="shared" si="108"/>
        <v>5.4014736764395277E-2</v>
      </c>
    </row>
    <row r="139" spans="1:80"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8330.4</v>
      </c>
      <c r="BK139" s="218"/>
      <c r="BL139" s="218"/>
      <c r="BM139" s="218">
        <f>SUM(BH139:BL139)</f>
        <v>8330.4</v>
      </c>
      <c r="BN139" s="718">
        <f>BM139/$BM$136</f>
        <v>3.0676707295113313E-2</v>
      </c>
      <c r="BO139" s="714">
        <f>BM139*1000/BF139</f>
        <v>17.464150943396227</v>
      </c>
      <c r="BQ139" s="659">
        <f>'[15]TUoS (t)'!BO136</f>
        <v>16.604777070063694</v>
      </c>
      <c r="BR139" s="718">
        <f t="shared" si="108"/>
        <v>5.1754616741098936E-2</v>
      </c>
    </row>
    <row r="140" spans="1:80"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716"/>
      <c r="BH140" s="218"/>
      <c r="BI140" s="218"/>
      <c r="BJ140" s="218"/>
      <c r="BK140" s="218"/>
      <c r="BL140" s="218"/>
      <c r="BM140" s="218"/>
      <c r="BN140" s="718"/>
      <c r="BO140" s="714"/>
    </row>
    <row r="141" spans="1:80"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row>
    <row r="142" spans="1:80"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(t)'!BM131</f>
        <v>0.20148083306500264</v>
      </c>
    </row>
    <row r="143" spans="1:80"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(t)'!BM132</f>
        <v>0.23567463179084663</v>
      </c>
    </row>
    <row r="144" spans="1:80" x14ac:dyDescent="0.25">
      <c r="E144" s="224" t="s">
        <v>45</v>
      </c>
      <c r="F144" s="224"/>
      <c r="G144" s="225">
        <f>SUM(AO18:AO19,AX18:BD19)</f>
        <v>0</v>
      </c>
      <c r="H144" s="225">
        <f>SUM(AP18:AS19)</f>
        <v>85443.56</v>
      </c>
      <c r="I144" s="225">
        <f>SUM(G144:H144)</f>
        <v>85443.56</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0</v>
      </c>
      <c r="H145" s="225">
        <f>SUM(AP22:AS23)</f>
        <v>28570.600000000002</v>
      </c>
      <c r="I145" s="225">
        <f t="shared" ref="I145:I164" si="124">SUM(G145:H145)</f>
        <v>28570.600000000002</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88.564768000000001</v>
      </c>
      <c r="H146" s="225">
        <f>SUM(AP24:AS25)</f>
        <v>18.18</v>
      </c>
      <c r="I146" s="225">
        <f t="shared" si="124"/>
        <v>106.74476799999999</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0</v>
      </c>
      <c r="H147" s="225">
        <f>SUM(AP26:AS27)</f>
        <v>40.841789999999996</v>
      </c>
      <c r="I147" s="225">
        <f>SUM(G147:H147)</f>
        <v>40.841789999999996</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6574.670000000001</v>
      </c>
      <c r="I148" s="225">
        <f t="shared" si="124"/>
        <v>6574.670000000001</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1863.1299999999999</v>
      </c>
      <c r="I149" s="225">
        <f t="shared" si="124"/>
        <v>1863.1299999999999</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2970</v>
      </c>
      <c r="I150" s="225">
        <f t="shared" si="124"/>
        <v>2970</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0</v>
      </c>
      <c r="H151" s="225">
        <f>SUM(AP33:AS37,AP44:AS47)</f>
        <v>23588.57</v>
      </c>
      <c r="I151" s="225">
        <f t="shared" si="124"/>
        <v>23588.57</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0</v>
      </c>
      <c r="H152" s="225">
        <f>SUM(AP39:AS39)</f>
        <v>16240.14</v>
      </c>
      <c r="I152" s="225">
        <f t="shared" si="124"/>
        <v>16240.14</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0</v>
      </c>
      <c r="H153" s="225">
        <f>SUM(AP40:AS40)</f>
        <v>2085.12</v>
      </c>
      <c r="I153" s="225">
        <f t="shared" si="124"/>
        <v>2085.12</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209.51785130000002</v>
      </c>
      <c r="H154" s="225">
        <f>SUM(AP41:AS41)</f>
        <v>397.32000000000005</v>
      </c>
      <c r="I154" s="225">
        <f t="shared" si="124"/>
        <v>606.83785130000001</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SUM(AO49:AO49,AO55:AO68,AX49:BD49,AX55:BD68)</f>
        <v>26960.564947500003</v>
      </c>
      <c r="H155" s="225">
        <f>SUM(AP49:AS49,AP55:AS68)</f>
        <v>38660.875599999999</v>
      </c>
      <c r="I155" s="225">
        <f t="shared" si="124"/>
        <v>65621.440547500009</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SUM(AO50:AO51,AO69,AX50:BD51,AX69:BD69)</f>
        <v>1496.0045952</v>
      </c>
      <c r="H156" s="225">
        <f>SUM(AP50:AS51,AP69:AS69)</f>
        <v>2025.17</v>
      </c>
      <c r="I156" s="225">
        <f t="shared" si="124"/>
        <v>3521.1745952000001</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135.79218270000001</v>
      </c>
      <c r="H157" s="225">
        <f>SUM(AP52:AS53)</f>
        <v>231.00000000000003</v>
      </c>
      <c r="I157" s="225">
        <f t="shared" si="124"/>
        <v>366.79218270000001</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7031.7182475</v>
      </c>
      <c r="H158" s="225">
        <f>SUM(AP72:AS72,AP76:AS76,AP79:AS87)</f>
        <v>7389.3116</v>
      </c>
      <c r="I158" s="225">
        <f t="shared" si="124"/>
        <v>14421.0298475</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626.93863650000003</v>
      </c>
      <c r="H159" s="225">
        <f>SUM(AP73:AS74)</f>
        <v>585.19000000000005</v>
      </c>
      <c r="I159" s="225">
        <f t="shared" si="124"/>
        <v>1212.1286365000001</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0</v>
      </c>
      <c r="H160" s="225">
        <f>SUM(AP75:AS75,AP77:AS77)</f>
        <v>0</v>
      </c>
      <c r="I160" s="225">
        <f t="shared" si="124"/>
        <v>0</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1300.7352430000001</v>
      </c>
      <c r="H161" s="225">
        <f>SUM(AP96:AS103)</f>
        <v>819.64960000000008</v>
      </c>
      <c r="I161" s="225">
        <f t="shared" si="124"/>
        <v>2120.3848430000003</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4947.9519719999998</v>
      </c>
      <c r="H162" s="225">
        <f>SUM(AP105:AS114)</f>
        <v>253.17600000000002</v>
      </c>
      <c r="I162" s="225">
        <f t="shared" si="124"/>
        <v>5201.1279720000002</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264.27540299999998</v>
      </c>
      <c r="H163" s="225">
        <f>SUM(AP116:AS119)</f>
        <v>157.34399999999999</v>
      </c>
      <c r="I163" s="225">
        <f t="shared" si="124"/>
        <v>421.61940299999998</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10012.295655</v>
      </c>
      <c r="H164" s="225">
        <f>SUM(AP121:AS129)</f>
        <v>566.36</v>
      </c>
      <c r="I164" s="225">
        <f t="shared" si="124"/>
        <v>10578.655655</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53074.359501700012</v>
      </c>
      <c r="H165" s="226">
        <f>SUM(H144:H164)</f>
        <v>218480.20859000002</v>
      </c>
      <c r="I165" s="226">
        <f>SUM(I144:I164)</f>
        <v>271554.56809169997</v>
      </c>
    </row>
    <row r="166" spans="3:57" x14ac:dyDescent="0.25">
      <c r="E166" s="222" t="s">
        <v>176</v>
      </c>
      <c r="F166" s="222"/>
      <c r="G166" s="227"/>
      <c r="H166" s="227"/>
      <c r="I166" s="228">
        <f>SUM(BM136)</f>
        <v>271554.56809170003</v>
      </c>
    </row>
    <row r="167" spans="3:57" x14ac:dyDescent="0.25">
      <c r="E167" s="222" t="s">
        <v>177</v>
      </c>
      <c r="F167" s="222"/>
      <c r="G167" s="228"/>
      <c r="H167" s="228"/>
      <c r="I167" s="228">
        <f>I166-I165</f>
        <v>0</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5433070866141736" bottom="0.39370078740157483" header="0.23622047244094491" footer="0.19685039370078741"/>
  <pageSetup paperSize="8" scale="23" pageOrder="overThenDown" orientation="landscape" r:id="rId1"/>
  <headerFooter alignWithMargins="0">
    <oddFooter>&amp;L&amp;D&amp;T&amp;C&amp;F&amp;R&amp;A&amp;P</oddFooter>
  </headerFooter>
  <rowBreaks count="1" manualBreakCount="1">
    <brk id="69" min="1" max="64" man="1"/>
  </rowBreaks>
  <colBreaks count="2" manualBreakCount="2">
    <brk id="23" max="131" man="1"/>
    <brk id="40" max="131" man="1"/>
  </colBreaks>
  <customProperties>
    <customPr name="_pios_i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370F7-4DD8-453C-B020-BACD6815DF33}">
  <sheetPr codeName="Sheet9"/>
  <dimension ref="A1:BX454"/>
  <sheetViews>
    <sheetView showGridLines="0" zoomScaleNormal="100" workbookViewId="0">
      <pane xSplit="4" ySplit="15" topLeftCell="E16" activePane="bottomRight" state="frozenSplit"/>
      <selection activeCell="X100" sqref="X100:BO101"/>
      <selection pane="topRight" activeCell="X100" sqref="X100:BO101"/>
      <selection pane="bottomLeft" activeCell="X100" sqref="X100:BO101"/>
      <selection pane="bottomRight" activeCell="E9" sqref="E9"/>
    </sheetView>
  </sheetViews>
  <sheetFormatPr defaultRowHeight="15" x14ac:dyDescent="0.25"/>
  <cols>
    <col min="1" max="1" width="1.5703125" style="128" customWidth="1"/>
    <col min="2" max="2" width="6.85546875" style="128" customWidth="1"/>
    <col min="3" max="3" width="12.7109375" style="128" bestFit="1" customWidth="1"/>
    <col min="4" max="4" width="14" style="128" bestFit="1" customWidth="1"/>
    <col min="5" max="5" width="51.42578125" style="128" bestFit="1" customWidth="1"/>
    <col min="6" max="6" width="3.7109375" style="128" customWidth="1"/>
    <col min="7"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73" width="9.140625" style="128"/>
    <col min="74" max="74" width="9.7109375" style="128" customWidth="1"/>
    <col min="75" max="16384" width="9.140625" style="128"/>
  </cols>
  <sheetData>
    <row r="1" spans="2:69" ht="24" hidden="1" customHeight="1" x14ac:dyDescent="0.35">
      <c r="B1" s="1" t="str">
        <f>'Model Update'!D5</f>
        <v>SA Power Networks</v>
      </c>
      <c r="C1" s="141"/>
      <c r="D1" s="141"/>
      <c r="G1" s="1" t="s">
        <v>11</v>
      </c>
      <c r="X1" s="140"/>
      <c r="AO1" s="140"/>
    </row>
    <row r="2" spans="2:69" ht="21.75" hidden="1" customHeight="1" x14ac:dyDescent="0.3">
      <c r="B2" s="123" t="s">
        <v>214</v>
      </c>
      <c r="C2" s="141"/>
      <c r="D2" s="141"/>
      <c r="H2" s="142" t="s">
        <v>13</v>
      </c>
      <c r="I2" s="142"/>
      <c r="J2" s="142"/>
      <c r="K2" s="142"/>
      <c r="Y2" s="142"/>
      <c r="Z2" s="142"/>
      <c r="AA2" s="142"/>
      <c r="AB2" s="142"/>
      <c r="AP2" s="142"/>
      <c r="AQ2" s="142"/>
      <c r="AR2" s="142"/>
      <c r="AS2" s="142"/>
    </row>
    <row r="3" spans="2:69" ht="18" hidden="1" customHeight="1" x14ac:dyDescent="0.25">
      <c r="B3" s="143"/>
      <c r="C3" s="141"/>
      <c r="D3" s="141"/>
      <c r="H3" s="142"/>
      <c r="I3" s="142"/>
      <c r="J3" s="142"/>
      <c r="K3" s="142"/>
      <c r="Y3" s="142"/>
      <c r="Z3" s="142"/>
      <c r="AA3" s="142"/>
      <c r="AB3" s="142"/>
      <c r="AP3" s="142"/>
      <c r="AQ3" s="142"/>
      <c r="AR3" s="142"/>
      <c r="AS3" s="142"/>
    </row>
    <row r="4" spans="2:69" ht="18" hidden="1" customHeight="1" x14ac:dyDescent="0.25">
      <c r="B4" s="143"/>
      <c r="C4" s="141"/>
      <c r="D4" s="141"/>
      <c r="H4" s="142"/>
      <c r="I4" s="142"/>
      <c r="J4" s="142"/>
      <c r="K4" s="142"/>
      <c r="Y4" s="142"/>
      <c r="Z4" s="142"/>
      <c r="AA4" s="142"/>
      <c r="AB4" s="142"/>
      <c r="AP4" s="142"/>
      <c r="AQ4" s="142"/>
      <c r="AR4" s="142"/>
      <c r="AS4" s="142"/>
    </row>
    <row r="5" spans="2:69" ht="12.75" hidden="1" customHeight="1" x14ac:dyDescent="0.25">
      <c r="B5" s="143"/>
      <c r="C5" s="141"/>
      <c r="D5" s="141"/>
      <c r="H5" s="142"/>
      <c r="I5" s="142"/>
      <c r="J5" s="142"/>
      <c r="K5" s="142"/>
      <c r="Y5" s="142"/>
      <c r="Z5" s="142"/>
      <c r="AA5" s="142"/>
      <c r="AB5" s="142"/>
      <c r="AP5" s="142"/>
      <c r="AQ5" s="142"/>
      <c r="AR5" s="142"/>
      <c r="AS5" s="142"/>
    </row>
    <row r="6" spans="2:69" ht="12.75" hidden="1" customHeight="1" x14ac:dyDescent="0.25">
      <c r="B6" s="143"/>
      <c r="C6" s="141"/>
      <c r="D6" s="141"/>
      <c r="I6" s="142"/>
      <c r="J6" s="142"/>
      <c r="K6" s="142"/>
      <c r="Z6" s="142"/>
      <c r="AA6" s="142"/>
      <c r="AB6" s="142"/>
      <c r="AQ6" s="142"/>
      <c r="AR6" s="142"/>
      <c r="AS6" s="142"/>
    </row>
    <row r="7" spans="2:69" ht="18.75" x14ac:dyDescent="0.3">
      <c r="B7" s="7" t="str">
        <f>"Information for financial year ending 30 June "&amp;'Model Update'!C12</f>
        <v>Information for financial year ending 30 June 2022</v>
      </c>
      <c r="C7" s="141"/>
      <c r="D7" s="141"/>
      <c r="G7" s="128">
        <f>Days_Year</f>
        <v>365</v>
      </c>
      <c r="H7" s="804"/>
      <c r="I7" s="142"/>
      <c r="J7" s="142"/>
      <c r="K7" s="142"/>
      <c r="Y7" s="142"/>
      <c r="Z7" s="142"/>
      <c r="AA7" s="142"/>
      <c r="AB7" s="142"/>
      <c r="AP7" s="142"/>
      <c r="AQ7" s="142"/>
      <c r="AR7" s="142"/>
      <c r="AS7" s="142"/>
      <c r="BE7" s="251">
        <f>Days_Year</f>
        <v>365</v>
      </c>
    </row>
    <row r="8" spans="2:69" x14ac:dyDescent="0.25">
      <c r="B8" s="143"/>
      <c r="C8" s="141"/>
      <c r="D8" s="141"/>
    </row>
    <row r="9" spans="2:69"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x14ac:dyDescent="0.25">
      <c r="B11" s="146" t="s">
        <v>16</v>
      </c>
      <c r="C11" s="147"/>
      <c r="D11" s="147"/>
      <c r="E11" s="148"/>
      <c r="G11" s="149">
        <f>'Model Update'!C12</f>
        <v>2022</v>
      </c>
      <c r="H11" s="150">
        <f>$G$11</f>
        <v>2022</v>
      </c>
      <c r="I11" s="147"/>
      <c r="J11" s="151"/>
      <c r="K11" s="152"/>
      <c r="L11" s="150">
        <f>$G$11</f>
        <v>2022</v>
      </c>
      <c r="M11" s="153"/>
      <c r="N11" s="153"/>
      <c r="O11" s="152"/>
      <c r="P11" s="150">
        <f>$G$11</f>
        <v>2022</v>
      </c>
      <c r="Q11" s="147"/>
      <c r="R11" s="151"/>
      <c r="S11" s="150">
        <f>$G$11</f>
        <v>2022</v>
      </c>
      <c r="T11" s="154"/>
      <c r="U11" s="150">
        <f>$G$11</f>
        <v>2022</v>
      </c>
      <c r="V11" s="148"/>
      <c r="X11" s="150">
        <f>$G$11</f>
        <v>2022</v>
      </c>
      <c r="Y11" s="150">
        <f>$G$11</f>
        <v>2022</v>
      </c>
      <c r="Z11" s="147"/>
      <c r="AA11" s="151"/>
      <c r="AB11" s="152"/>
      <c r="AC11" s="150">
        <f>$G$11</f>
        <v>2022</v>
      </c>
      <c r="AD11" s="153"/>
      <c r="AE11" s="153"/>
      <c r="AF11" s="152"/>
      <c r="AG11" s="150">
        <f>$G$11</f>
        <v>2022</v>
      </c>
      <c r="AH11" s="147"/>
      <c r="AI11" s="151"/>
      <c r="AJ11" s="150">
        <f>$G$11</f>
        <v>2022</v>
      </c>
      <c r="AK11" s="154"/>
      <c r="AL11" s="150">
        <f>$G$11</f>
        <v>2022</v>
      </c>
      <c r="AM11" s="148"/>
      <c r="AO11" s="150">
        <f>$G$11</f>
        <v>2022</v>
      </c>
      <c r="AP11" s="150">
        <f>$G$11</f>
        <v>2022</v>
      </c>
      <c r="AQ11" s="147"/>
      <c r="AR11" s="151"/>
      <c r="AS11" s="152"/>
      <c r="AT11" s="150">
        <f>$G$11</f>
        <v>2022</v>
      </c>
      <c r="AU11" s="153"/>
      <c r="AV11" s="153"/>
      <c r="AW11" s="152"/>
      <c r="AX11" s="150">
        <f>$G$11</f>
        <v>2022</v>
      </c>
      <c r="AY11" s="147"/>
      <c r="AZ11" s="151"/>
      <c r="BA11" s="150">
        <f>$G$11</f>
        <v>2022</v>
      </c>
      <c r="BB11" s="154"/>
      <c r="BC11" s="150">
        <f>$G$11</f>
        <v>2022</v>
      </c>
      <c r="BD11" s="147"/>
      <c r="BE11" s="912" t="s">
        <v>17</v>
      </c>
      <c r="BF11" s="900"/>
      <c r="BH11" s="912" t="s">
        <v>205</v>
      </c>
      <c r="BI11" s="899"/>
      <c r="BJ11" s="899"/>
      <c r="BK11" s="899"/>
      <c r="BL11" s="899"/>
      <c r="BM11" s="900"/>
    </row>
    <row r="12" spans="2:69"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234" t="s">
        <v>204</v>
      </c>
      <c r="BF12" s="236" t="s">
        <v>23</v>
      </c>
      <c r="BH12" s="232"/>
      <c r="BI12" s="233"/>
      <c r="BJ12" s="233"/>
      <c r="BK12" s="233"/>
      <c r="BL12" s="233"/>
      <c r="BM12" s="145"/>
    </row>
    <row r="13" spans="2:69"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236"/>
      <c r="BH13" s="234" t="s">
        <v>206</v>
      </c>
      <c r="BI13" s="235" t="s">
        <v>23</v>
      </c>
      <c r="BJ13" s="235" t="s">
        <v>23</v>
      </c>
      <c r="BK13" s="235" t="s">
        <v>210</v>
      </c>
      <c r="BL13" s="235" t="s">
        <v>211</v>
      </c>
      <c r="BM13" s="236" t="s">
        <v>212</v>
      </c>
      <c r="BO13" s="662" t="s">
        <v>600</v>
      </c>
      <c r="BQ13" s="126" t="s">
        <v>179</v>
      </c>
    </row>
    <row r="14" spans="2:69"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234" t="s">
        <v>22</v>
      </c>
      <c r="BF14" s="236" t="s">
        <v>35</v>
      </c>
      <c r="BH14" s="234" t="s">
        <v>207</v>
      </c>
      <c r="BI14" s="235" t="s">
        <v>208</v>
      </c>
      <c r="BJ14" s="235" t="s">
        <v>209</v>
      </c>
      <c r="BK14" s="235"/>
      <c r="BL14" s="235"/>
      <c r="BM14" s="236"/>
    </row>
    <row r="15" spans="2:69"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69" ht="15" customHeight="1" x14ac:dyDescent="0.25">
      <c r="B16" s="167" t="s">
        <v>41</v>
      </c>
      <c r="C16" s="151" t="s">
        <v>42</v>
      </c>
      <c r="D16" s="147"/>
      <c r="E16" s="148"/>
      <c r="G16" s="453"/>
      <c r="H16" s="454"/>
      <c r="I16" s="455"/>
      <c r="J16" s="455"/>
      <c r="K16" s="456"/>
      <c r="L16" s="455"/>
      <c r="M16" s="455"/>
      <c r="N16" s="455"/>
      <c r="O16" s="456"/>
      <c r="P16" s="454"/>
      <c r="Q16" s="455"/>
      <c r="R16" s="456"/>
      <c r="S16" s="454"/>
      <c r="T16" s="455"/>
      <c r="U16" s="454"/>
      <c r="V16" s="456"/>
      <c r="X16" s="168">
        <f>'Q (t)'!G16</f>
        <v>0</v>
      </c>
      <c r="Y16" s="169">
        <f>'Q (t)'!H16</f>
        <v>0</v>
      </c>
      <c r="Z16" s="170">
        <f>'Q (t)'!I16</f>
        <v>0</v>
      </c>
      <c r="AA16" s="170">
        <f>'Q (t)'!J16</f>
        <v>0</v>
      </c>
      <c r="AB16" s="171">
        <f>'Q (t)'!K16</f>
        <v>0</v>
      </c>
      <c r="AC16" s="170">
        <f>'Q (t)'!L16</f>
        <v>0</v>
      </c>
      <c r="AD16" s="170">
        <f>'Q (t)'!M16</f>
        <v>0</v>
      </c>
      <c r="AE16" s="170">
        <f>'Q (t)'!N16</f>
        <v>0</v>
      </c>
      <c r="AF16" s="171">
        <f>'Q (t)'!O16</f>
        <v>0</v>
      </c>
      <c r="AG16" s="169">
        <f>'Q (t)'!P16</f>
        <v>0</v>
      </c>
      <c r="AH16" s="170">
        <f>'Q (t)'!Q16</f>
        <v>0</v>
      </c>
      <c r="AI16" s="171">
        <f>'Q (t)'!R16</f>
        <v>0</v>
      </c>
      <c r="AJ16" s="169">
        <f>'Q (t)'!S16</f>
        <v>0</v>
      </c>
      <c r="AK16" s="170">
        <f>'Q (t)'!T16</f>
        <v>0</v>
      </c>
      <c r="AL16" s="169">
        <f>'Q (t)'!U16</f>
        <v>0</v>
      </c>
      <c r="AM16" s="171">
        <f>'Q (t)'!V16</f>
        <v>0</v>
      </c>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3"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12083.0031795</v>
      </c>
      <c r="BI16" s="253">
        <f>SUBTOTAL(9,BI17:BI27)</f>
        <v>35569.494290000002</v>
      </c>
      <c r="BJ16" s="253">
        <f>SUBTOTAL(9,BJ17:BJ27)</f>
        <v>2606.52</v>
      </c>
      <c r="BK16" s="253">
        <f>SUBTOTAL(9,BK17:BK27)</f>
        <v>0</v>
      </c>
      <c r="BL16" s="253">
        <f>SUBTOTAL(9,BL17:BL27)</f>
        <v>27.408653000000001</v>
      </c>
      <c r="BM16" s="254">
        <f>SUM(BH16:BL16)</f>
        <v>50286.426122499994</v>
      </c>
      <c r="BO16" s="714" t="str">
        <f>IF(BF16=0,"",BM16*1000/BF16)</f>
        <v/>
      </c>
    </row>
    <row r="17" spans="2:67" ht="15" customHeight="1" x14ac:dyDescent="0.25">
      <c r="B17" s="172"/>
      <c r="C17" s="126" t="s">
        <v>43</v>
      </c>
      <c r="D17" s="173"/>
      <c r="E17" s="145"/>
      <c r="G17" s="457"/>
      <c r="H17" s="458"/>
      <c r="I17" s="459"/>
      <c r="J17" s="459"/>
      <c r="K17" s="460"/>
      <c r="L17" s="461"/>
      <c r="M17" s="461"/>
      <c r="N17" s="461"/>
      <c r="O17" s="462"/>
      <c r="P17" s="458"/>
      <c r="Q17" s="459"/>
      <c r="R17" s="460"/>
      <c r="S17" s="458"/>
      <c r="T17" s="459"/>
      <c r="U17" s="458"/>
      <c r="V17" s="460"/>
      <c r="X17" s="174">
        <f>'Q (t)'!G17</f>
        <v>0</v>
      </c>
      <c r="Y17" s="175">
        <f>'Q (t)'!H17</f>
        <v>0</v>
      </c>
      <c r="Z17" s="176">
        <f>'Q (t)'!I17</f>
        <v>0</v>
      </c>
      <c r="AA17" s="176">
        <f>'Q (t)'!J17</f>
        <v>0</v>
      </c>
      <c r="AB17" s="177">
        <f>'Q (t)'!K17</f>
        <v>0</v>
      </c>
      <c r="AC17" s="178">
        <f>'Q (t)'!L17</f>
        <v>0</v>
      </c>
      <c r="AD17" s="178">
        <f>'Q (t)'!M17</f>
        <v>0</v>
      </c>
      <c r="AE17" s="178">
        <f>'Q (t)'!N17</f>
        <v>0</v>
      </c>
      <c r="AF17" s="179">
        <f>'Q (t)'!O17</f>
        <v>0</v>
      </c>
      <c r="AG17" s="175">
        <f>'Q (t)'!P17</f>
        <v>0</v>
      </c>
      <c r="AH17" s="176">
        <f>'Q (t)'!Q17</f>
        <v>0</v>
      </c>
      <c r="AI17" s="177">
        <f>'Q (t)'!R17</f>
        <v>0</v>
      </c>
      <c r="AJ17" s="175">
        <f>'Q (t)'!S17</f>
        <v>0</v>
      </c>
      <c r="AK17" s="176">
        <f>'Q (t)'!T17</f>
        <v>0</v>
      </c>
      <c r="AL17" s="175">
        <f>'Q (t)'!U17</f>
        <v>0</v>
      </c>
      <c r="AM17" s="177">
        <f>'Q (t)'!V17</f>
        <v>0</v>
      </c>
      <c r="AO17" s="174">
        <f t="shared" ref="AO17:AO79"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79" si="3">X17/$BE$7</f>
        <v>0</v>
      </c>
      <c r="BF17" s="245">
        <f t="shared" ref="BF17:BF51" si="4">SUM(Y17:AF17)</f>
        <v>0</v>
      </c>
      <c r="BH17" s="252">
        <f>SUBTOTAL(9,BH18:BH19)</f>
        <v>9533.753279999999</v>
      </c>
      <c r="BI17" s="252">
        <f>SUBTOTAL(9,BI18:BI19)</f>
        <v>26641.11</v>
      </c>
      <c r="BJ17" s="252">
        <f>SUBTOTAL(9,BJ18:BJ19)</f>
        <v>2023.28</v>
      </c>
      <c r="BK17" s="260">
        <f>SUBTOTAL(9,BK18:BK19)</f>
        <v>0</v>
      </c>
      <c r="BL17" s="261">
        <f>SUBTOTAL(9,BL18:BL19)</f>
        <v>0</v>
      </c>
      <c r="BM17" s="257">
        <f t="shared" ref="BM17:BM79" si="5">SUM(BH17:BL17)</f>
        <v>38198.143279999997</v>
      </c>
      <c r="BO17" s="714" t="str">
        <f t="shared" ref="BO17:BO79" si="6">IF(BF17=0,"",BM17*1000/BF17)</f>
        <v/>
      </c>
    </row>
    <row r="18" spans="2:67" ht="15" customHeight="1" x14ac:dyDescent="0.25">
      <c r="B18" s="156">
        <v>1</v>
      </c>
      <c r="C18" s="180" t="s">
        <v>44</v>
      </c>
      <c r="D18" s="181" t="s">
        <v>44</v>
      </c>
      <c r="E18" s="182" t="s">
        <v>641</v>
      </c>
      <c r="G18" s="850">
        <f>ROUND('[15]2020-25 Pricing Schedule'!$L$6/Days_Year,4)</f>
        <v>4.1099999999999998E-2</v>
      </c>
      <c r="H18" s="464">
        <f>ROUND('[15]JSO (t)'!H18*$BT$131,4)</f>
        <v>1.11E-2</v>
      </c>
      <c r="I18" s="459"/>
      <c r="J18" s="459"/>
      <c r="K18" s="460"/>
      <c r="L18" s="461"/>
      <c r="M18" s="414"/>
      <c r="N18" s="414"/>
      <c r="O18" s="415"/>
      <c r="P18" s="458"/>
      <c r="Q18" s="459"/>
      <c r="R18" s="460"/>
      <c r="S18" s="458"/>
      <c r="T18" s="459"/>
      <c r="U18" s="458"/>
      <c r="V18" s="460"/>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9533.753279999999</v>
      </c>
      <c r="AP18" s="184">
        <f t="shared" si="0"/>
        <v>26641.11</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9533.753279999999</v>
      </c>
      <c r="BI18" s="255">
        <f>SUM(AP18:AS18)</f>
        <v>26641.11</v>
      </c>
      <c r="BJ18" s="255">
        <f>SUM(AT18:AW18)</f>
        <v>0</v>
      </c>
      <c r="BK18" s="256">
        <f>SUM(AX18:BB18)</f>
        <v>0</v>
      </c>
      <c r="BL18" s="262">
        <f>SUM(BC18:BD18)</f>
        <v>0</v>
      </c>
      <c r="BM18" s="257">
        <f t="shared" si="5"/>
        <v>36174.863279999998</v>
      </c>
      <c r="BO18" s="714">
        <f t="shared" si="6"/>
        <v>15.072231690346236</v>
      </c>
    </row>
    <row r="19" spans="2:67" ht="15" customHeight="1" x14ac:dyDescent="0.25">
      <c r="B19" s="156">
        <f>B18+1</f>
        <v>2</v>
      </c>
      <c r="C19" s="180" t="s">
        <v>643</v>
      </c>
      <c r="D19" s="181" t="s">
        <v>643</v>
      </c>
      <c r="E19" s="182" t="s">
        <v>47</v>
      </c>
      <c r="G19" s="850">
        <f>G18</f>
        <v>4.1099999999999998E-2</v>
      </c>
      <c r="H19" s="464">
        <f>ROUND('[15]JSO (t)'!H19*$BT$131,4)</f>
        <v>1.11E-2</v>
      </c>
      <c r="I19" s="459"/>
      <c r="J19" s="459"/>
      <c r="K19" s="460"/>
      <c r="L19" s="465">
        <f>ROUND('[15]JSO (t)'!L19*$BT$131,4)</f>
        <v>5.5999999999999999E-3</v>
      </c>
      <c r="M19" s="414"/>
      <c r="N19" s="414"/>
      <c r="O19" s="415"/>
      <c r="P19" s="458"/>
      <c r="Q19" s="459"/>
      <c r="R19" s="460"/>
      <c r="S19" s="458"/>
      <c r="T19" s="459"/>
      <c r="U19" s="458"/>
      <c r="V19" s="460"/>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2023.28</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2023.28</v>
      </c>
      <c r="BK19" s="256">
        <f>SUM(AX19:BB19)</f>
        <v>0</v>
      </c>
      <c r="BL19" s="262">
        <f>SUM(BC19:BD19)</f>
        <v>0</v>
      </c>
      <c r="BM19" s="257">
        <f t="shared" si="5"/>
        <v>2023.28</v>
      </c>
      <c r="BO19" s="714">
        <f t="shared" si="6"/>
        <v>5.6</v>
      </c>
    </row>
    <row r="20" spans="2:67" ht="15" customHeight="1" x14ac:dyDescent="0.25">
      <c r="B20" s="172"/>
      <c r="C20" s="126" t="s">
        <v>48</v>
      </c>
      <c r="D20" s="173"/>
      <c r="E20" s="145"/>
      <c r="G20" s="457"/>
      <c r="H20" s="458"/>
      <c r="I20" s="459"/>
      <c r="J20" s="459"/>
      <c r="K20" s="460"/>
      <c r="L20" s="459"/>
      <c r="M20" s="459"/>
      <c r="N20" s="459"/>
      <c r="O20" s="460"/>
      <c r="P20" s="458"/>
      <c r="Q20" s="459"/>
      <c r="R20" s="460"/>
      <c r="S20" s="458"/>
      <c r="T20" s="459"/>
      <c r="U20" s="458"/>
      <c r="V20" s="460"/>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2549.2498994999996</v>
      </c>
      <c r="BI20" s="252">
        <f>SUBTOTAL(9,BI21:BI27)</f>
        <v>8928.38429</v>
      </c>
      <c r="BJ20" s="252">
        <f>SUBTOTAL(9,BJ21:BJ27)</f>
        <v>583.2399999999999</v>
      </c>
      <c r="BK20" s="252">
        <f>SUBTOTAL(9,BK21:BK27)</f>
        <v>0</v>
      </c>
      <c r="BL20" s="252">
        <f>SUBTOTAL(9,BL21:BL27)</f>
        <v>27.408653000000001</v>
      </c>
      <c r="BM20" s="257">
        <f t="shared" si="5"/>
        <v>12088.282842500001</v>
      </c>
      <c r="BO20" s="714" t="str">
        <f t="shared" si="6"/>
        <v/>
      </c>
    </row>
    <row r="21" spans="2:67" ht="15" customHeight="1" x14ac:dyDescent="0.25">
      <c r="B21" s="156">
        <f>B19+1</f>
        <v>3</v>
      </c>
      <c r="C21" s="180" t="s">
        <v>46</v>
      </c>
      <c r="D21" s="181" t="s">
        <v>46</v>
      </c>
      <c r="E21" s="182" t="s">
        <v>642</v>
      </c>
      <c r="G21" s="850">
        <f>G18</f>
        <v>4.1099999999999998E-2</v>
      </c>
      <c r="H21" s="758">
        <f>ROUND('[15]JSO (t)'!H21*$BT$131,4)</f>
        <v>1.11E-2</v>
      </c>
      <c r="I21" s="459"/>
      <c r="J21" s="459"/>
      <c r="K21" s="460"/>
      <c r="L21" s="414"/>
      <c r="M21" s="759">
        <f>ROUND('[15]JSO (t)'!M21*$BT$131,4)</f>
        <v>1.3899999999999999E-2</v>
      </c>
      <c r="N21" s="759">
        <f>ROUND('[15]JSO (t)'!N21*$BT$131,4)</f>
        <v>5.5999999999999999E-3</v>
      </c>
      <c r="O21" s="760">
        <f>ROUND('[15]JSO (t)'!O21*$BT$131,4)</f>
        <v>2.8E-3</v>
      </c>
      <c r="P21" s="458"/>
      <c r="Q21" s="459"/>
      <c r="R21" s="460"/>
      <c r="S21" s="458"/>
      <c r="T21" s="459"/>
      <c r="U21" s="458"/>
      <c r="V21" s="460"/>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G21*X21/1000</f>
        <v>0</v>
      </c>
      <c r="AP21" s="175">
        <f t="shared" ref="AP21:AW21" si="7">H21*Y21</f>
        <v>0</v>
      </c>
      <c r="AQ21" s="178">
        <f t="shared" si="7"/>
        <v>0</v>
      </c>
      <c r="AR21" s="178">
        <f t="shared" si="7"/>
        <v>0</v>
      </c>
      <c r="AS21" s="179">
        <f t="shared" si="7"/>
        <v>0</v>
      </c>
      <c r="AT21" s="185">
        <f t="shared" si="7"/>
        <v>0</v>
      </c>
      <c r="AU21" s="185">
        <f t="shared" si="7"/>
        <v>0</v>
      </c>
      <c r="AV21" s="185">
        <f t="shared" si="7"/>
        <v>0</v>
      </c>
      <c r="AW21" s="186">
        <f t="shared" si="7"/>
        <v>0</v>
      </c>
      <c r="AX21" s="175">
        <f t="shared" ref="AX21:BD21" si="8">P21*AG21/1000</f>
        <v>0</v>
      </c>
      <c r="AY21" s="176">
        <f t="shared" si="8"/>
        <v>0</v>
      </c>
      <c r="AZ21" s="177">
        <f t="shared" si="8"/>
        <v>0</v>
      </c>
      <c r="BA21" s="175">
        <f t="shared" si="8"/>
        <v>0</v>
      </c>
      <c r="BB21" s="176">
        <f t="shared" si="8"/>
        <v>0</v>
      </c>
      <c r="BC21" s="175">
        <f t="shared" si="8"/>
        <v>0</v>
      </c>
      <c r="BD21" s="176">
        <f t="shared" si="8"/>
        <v>0</v>
      </c>
      <c r="BE21" s="244">
        <f>X21/$BE$7</f>
        <v>0</v>
      </c>
      <c r="BF21" s="245">
        <f>SUM(Y21:AF21)</f>
        <v>0</v>
      </c>
      <c r="BH21" s="255">
        <f t="shared" ref="BH21:BH27" si="9">SUM(AO21)</f>
        <v>0</v>
      </c>
      <c r="BI21" s="255">
        <f t="shared" ref="BI21:BI27" si="10">SUM(AP21:AS21)</f>
        <v>0</v>
      </c>
      <c r="BJ21" s="255">
        <f t="shared" ref="BJ21:BJ27" si="11">SUM(AT21:AW21)</f>
        <v>0</v>
      </c>
      <c r="BK21" s="256">
        <f t="shared" ref="BK21:BK27" si="12">SUM(AX21:BB21)</f>
        <v>0</v>
      </c>
      <c r="BL21" s="262">
        <f t="shared" ref="BL21:BL27" si="13">SUM(BC21:BD21)</f>
        <v>0</v>
      </c>
      <c r="BM21" s="257">
        <f>SUM(BH21:BL21)</f>
        <v>0</v>
      </c>
      <c r="BO21" s="714" t="str">
        <f>IF(BF21=0,"",BM21*1000/BF21)</f>
        <v/>
      </c>
    </row>
    <row r="22" spans="2:67" ht="15" customHeight="1" x14ac:dyDescent="0.25">
      <c r="B22" s="156">
        <f t="shared" ref="B22:B27" si="14">B21+1</f>
        <v>4</v>
      </c>
      <c r="C22" s="180" t="s">
        <v>49</v>
      </c>
      <c r="D22" s="181" t="s">
        <v>49</v>
      </c>
      <c r="E22" s="182" t="s">
        <v>50</v>
      </c>
      <c r="G22" s="850">
        <f>G18</f>
        <v>4.1099999999999998E-2</v>
      </c>
      <c r="H22" s="458"/>
      <c r="I22" s="465">
        <f>ROUND('[15]JSO (t)'!I22*$BT$131,4)</f>
        <v>1.3899999999999999E-2</v>
      </c>
      <c r="J22" s="465">
        <f>ROUND('[15]JSO (t)'!J22*$BT$131,4)</f>
        <v>5.5999999999999999E-3</v>
      </c>
      <c r="K22" s="466">
        <f>ROUND('[15]JSO (t)'!K22*$BT$131,4)</f>
        <v>2.8E-3</v>
      </c>
      <c r="L22" s="414"/>
      <c r="M22" s="414"/>
      <c r="N22" s="414"/>
      <c r="O22" s="415"/>
      <c r="P22" s="458"/>
      <c r="Q22" s="459"/>
      <c r="R22" s="460"/>
      <c r="S22" s="458"/>
      <c r="T22" s="459"/>
      <c r="U22" s="458"/>
      <c r="V22" s="460"/>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2518.6768425</v>
      </c>
      <c r="AP22" s="175">
        <f t="shared" si="0"/>
        <v>0</v>
      </c>
      <c r="AQ22" s="178">
        <f t="shared" si="0"/>
        <v>7917.44</v>
      </c>
      <c r="AR22" s="178">
        <f t="shared" si="0"/>
        <v>637.84</v>
      </c>
      <c r="AS22" s="179">
        <f t="shared" si="0"/>
        <v>354.76</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9"/>
        <v>2518.6768425</v>
      </c>
      <c r="BI22" s="255">
        <f t="shared" si="10"/>
        <v>8910.0399999999991</v>
      </c>
      <c r="BJ22" s="255">
        <f t="shared" si="11"/>
        <v>0</v>
      </c>
      <c r="BK22" s="256">
        <f t="shared" si="12"/>
        <v>0</v>
      </c>
      <c r="BL22" s="262">
        <f t="shared" si="13"/>
        <v>0</v>
      </c>
      <c r="BM22" s="257">
        <f t="shared" si="5"/>
        <v>11428.716842499998</v>
      </c>
      <c r="BO22" s="714">
        <f t="shared" si="6"/>
        <v>14.106043992224139</v>
      </c>
    </row>
    <row r="23" spans="2:67" ht="15" customHeight="1" x14ac:dyDescent="0.25">
      <c r="B23" s="156">
        <f t="shared" si="14"/>
        <v>5</v>
      </c>
      <c r="C23" s="180" t="s">
        <v>51</v>
      </c>
      <c r="D23" s="181" t="s">
        <v>51</v>
      </c>
      <c r="E23" s="182" t="s">
        <v>52</v>
      </c>
      <c r="G23" s="850">
        <f>G18</f>
        <v>4.1099999999999998E-2</v>
      </c>
      <c r="H23" s="458"/>
      <c r="I23" s="465">
        <f>ROUND('[15]JSO (t)'!I23*$BT$131,4)</f>
        <v>1.3899999999999999E-2</v>
      </c>
      <c r="J23" s="465">
        <f>ROUND('[15]JSO (t)'!J23*$BT$131,4)</f>
        <v>5.5999999999999999E-3</v>
      </c>
      <c r="K23" s="466">
        <f>ROUND('[15]JSO (t)'!K23*$BT$131,4)</f>
        <v>2.8E-3</v>
      </c>
      <c r="L23" s="414"/>
      <c r="M23" s="465">
        <f>ROUND('[15]JSO (t)'!M23*$BT$131,4)</f>
        <v>1.3899999999999999E-2</v>
      </c>
      <c r="N23" s="465">
        <f>ROUND('[15]JSO (t)'!N23*$BT$131,4)</f>
        <v>5.5999999999999999E-3</v>
      </c>
      <c r="O23" s="465">
        <f>ROUND('[15]JSO (t)'!O23*$BT$131,4)</f>
        <v>2.8E-3</v>
      </c>
      <c r="P23" s="458"/>
      <c r="Q23" s="459"/>
      <c r="R23" s="460"/>
      <c r="S23" s="458"/>
      <c r="T23" s="459"/>
      <c r="U23" s="458"/>
      <c r="V23" s="460"/>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518.55999999999995</v>
      </c>
      <c r="AW23" s="178">
        <f t="shared" si="0"/>
        <v>64.679999999999993</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9"/>
        <v>0</v>
      </c>
      <c r="BI23" s="255">
        <f t="shared" si="10"/>
        <v>0</v>
      </c>
      <c r="BJ23" s="255">
        <f t="shared" si="11"/>
        <v>583.2399999999999</v>
      </c>
      <c r="BK23" s="256">
        <f t="shared" si="12"/>
        <v>0</v>
      </c>
      <c r="BL23" s="262">
        <f t="shared" si="13"/>
        <v>0</v>
      </c>
      <c r="BM23" s="257">
        <f t="shared" si="5"/>
        <v>583.2399999999999</v>
      </c>
      <c r="BO23" s="714">
        <f t="shared" si="6"/>
        <v>5.0409680207433007</v>
      </c>
    </row>
    <row r="24" spans="2:67" ht="15" customHeight="1" x14ac:dyDescent="0.25">
      <c r="B24" s="156">
        <f t="shared" si="14"/>
        <v>6</v>
      </c>
      <c r="C24" s="180" t="s">
        <v>53</v>
      </c>
      <c r="D24" s="181" t="s">
        <v>53</v>
      </c>
      <c r="E24" s="182" t="s">
        <v>54</v>
      </c>
      <c r="G24" s="850">
        <f>G18</f>
        <v>4.1099999999999998E-2</v>
      </c>
      <c r="H24" s="458"/>
      <c r="I24" s="465">
        <f>ROUND('[15]JSO (t)'!I24*$BT$131,4)</f>
        <v>8.3000000000000001E-3</v>
      </c>
      <c r="J24" s="465">
        <f>ROUND('[15]JSO (t)'!J24*$BT$131,4)</f>
        <v>3.3E-3</v>
      </c>
      <c r="K24" s="466">
        <f>ROUND('[15]JSO (t)'!K24*$BT$131,4)</f>
        <v>1.6000000000000001E-3</v>
      </c>
      <c r="L24" s="414"/>
      <c r="M24" s="414"/>
      <c r="N24" s="414"/>
      <c r="O24" s="415"/>
      <c r="P24" s="458"/>
      <c r="Q24" s="459"/>
      <c r="R24" s="460"/>
      <c r="S24" s="458"/>
      <c r="T24" s="459"/>
      <c r="U24" s="464">
        <f>ROUND('[15]JSO (t)'!U24*$BT$131,4)</f>
        <v>6.1400000000000003E-2</v>
      </c>
      <c r="V24" s="460"/>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15.286528499999999</v>
      </c>
      <c r="AP24" s="175">
        <f t="shared" si="0"/>
        <v>0</v>
      </c>
      <c r="AQ24" s="178">
        <f t="shared" si="0"/>
        <v>3.7349999999999999</v>
      </c>
      <c r="AR24" s="178">
        <f t="shared" si="0"/>
        <v>1.4850000000000001</v>
      </c>
      <c r="AS24" s="179">
        <f t="shared" si="0"/>
        <v>0.4</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27.408653000000001</v>
      </c>
      <c r="BD24" s="176">
        <f t="shared" si="1"/>
        <v>0</v>
      </c>
      <c r="BE24" s="244">
        <f t="shared" si="3"/>
        <v>1019</v>
      </c>
      <c r="BF24" s="245">
        <f t="shared" si="4"/>
        <v>1150</v>
      </c>
      <c r="BH24" s="255">
        <f t="shared" si="9"/>
        <v>15.286528499999999</v>
      </c>
      <c r="BI24" s="255">
        <f t="shared" si="10"/>
        <v>5.62</v>
      </c>
      <c r="BJ24" s="255">
        <f t="shared" si="11"/>
        <v>0</v>
      </c>
      <c r="BK24" s="256">
        <f t="shared" si="12"/>
        <v>0</v>
      </c>
      <c r="BL24" s="262">
        <f t="shared" si="13"/>
        <v>27.408653000000001</v>
      </c>
      <c r="BM24" s="257">
        <f t="shared" si="5"/>
        <v>48.315181500000001</v>
      </c>
      <c r="BO24" s="714"/>
    </row>
    <row r="25" spans="2:67" ht="15" customHeight="1" x14ac:dyDescent="0.25">
      <c r="B25" s="156">
        <f t="shared" si="14"/>
        <v>7</v>
      </c>
      <c r="C25" s="180" t="s">
        <v>55</v>
      </c>
      <c r="D25" s="181" t="s">
        <v>55</v>
      </c>
      <c r="E25" s="182" t="s">
        <v>56</v>
      </c>
      <c r="G25" s="850">
        <f>G18</f>
        <v>4.1099999999999998E-2</v>
      </c>
      <c r="H25" s="458"/>
      <c r="I25" s="465">
        <f>ROUND('[15]JSO (t)'!I25*$BT$131,4)</f>
        <v>8.3000000000000001E-3</v>
      </c>
      <c r="J25" s="465">
        <f>ROUND('[15]JSO (t)'!J25*$BT$131,4)</f>
        <v>3.3E-3</v>
      </c>
      <c r="K25" s="466">
        <f>ROUND('[15]JSO (t)'!K25*$BT$131,4)</f>
        <v>1.6000000000000001E-3</v>
      </c>
      <c r="L25" s="414"/>
      <c r="M25" s="465">
        <f>ROUND('[15]JSO (t)'!M25*$BT$131,4)</f>
        <v>1.3899999999999999E-2</v>
      </c>
      <c r="N25" s="465">
        <f>ROUND('[15]JSO (t)'!N25*$BT$131,4)</f>
        <v>5.5999999999999999E-3</v>
      </c>
      <c r="O25" s="465">
        <f>ROUND('[15]JSO (t)'!O25*$BT$131,4)</f>
        <v>2.8E-3</v>
      </c>
      <c r="P25" s="458"/>
      <c r="Q25" s="459"/>
      <c r="R25" s="460"/>
      <c r="S25" s="458"/>
      <c r="T25" s="459"/>
      <c r="U25" s="464">
        <f>ROUND('[15]JSO (t)'!U25*$BT$131,4)</f>
        <v>6.1400000000000003E-2</v>
      </c>
      <c r="V25" s="460"/>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9"/>
        <v>0</v>
      </c>
      <c r="BI25" s="255">
        <f t="shared" si="10"/>
        <v>0</v>
      </c>
      <c r="BJ25" s="255">
        <f t="shared" si="11"/>
        <v>0</v>
      </c>
      <c r="BK25" s="256">
        <f t="shared" si="12"/>
        <v>0</v>
      </c>
      <c r="BL25" s="262">
        <f t="shared" si="13"/>
        <v>0</v>
      </c>
      <c r="BM25" s="257">
        <f t="shared" si="5"/>
        <v>0</v>
      </c>
      <c r="BO25" s="714"/>
    </row>
    <row r="26" spans="2:67" ht="15" customHeight="1" x14ac:dyDescent="0.25">
      <c r="B26" s="156">
        <f t="shared" si="14"/>
        <v>8</v>
      </c>
      <c r="C26" s="180" t="s">
        <v>699</v>
      </c>
      <c r="D26" s="181" t="str">
        <f>C26</f>
        <v>RTOU+TR</v>
      </c>
      <c r="E26" s="182" t="s">
        <v>701</v>
      </c>
      <c r="G26" s="862">
        <f>G18</f>
        <v>4.1099999999999998E-2</v>
      </c>
      <c r="H26" s="458"/>
      <c r="I26" s="851">
        <f>ROUND(3.2*H18,4)</f>
        <v>3.5499999999999997E-2</v>
      </c>
      <c r="J26" s="851">
        <f>ROUND(H18*0.83,4)</f>
        <v>9.1999999999999998E-3</v>
      </c>
      <c r="K26" s="852">
        <f>K24</f>
        <v>1.6000000000000001E-3</v>
      </c>
      <c r="L26" s="414"/>
      <c r="M26" s="414"/>
      <c r="N26" s="414"/>
      <c r="O26" s="415"/>
      <c r="P26" s="458"/>
      <c r="Q26" s="459"/>
      <c r="R26" s="460"/>
      <c r="S26" s="458"/>
      <c r="T26" s="459"/>
      <c r="U26" s="479"/>
      <c r="V26" s="460"/>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G26*X26/1000</f>
        <v>15.286528499999999</v>
      </c>
      <c r="AP26" s="175">
        <f t="shared" ref="AP26:AW27" si="15">H26*Y26</f>
        <v>0</v>
      </c>
      <c r="AQ26" s="178">
        <f t="shared" si="15"/>
        <v>4.8173499999999994</v>
      </c>
      <c r="AR26" s="178">
        <f t="shared" si="15"/>
        <v>7.6070200000000003</v>
      </c>
      <c r="AS26" s="179">
        <f t="shared" si="15"/>
        <v>0.29992000000000002</v>
      </c>
      <c r="AT26" s="185">
        <f t="shared" si="15"/>
        <v>0</v>
      </c>
      <c r="AU26" s="185">
        <f t="shared" si="15"/>
        <v>0</v>
      </c>
      <c r="AV26" s="185">
        <f t="shared" si="15"/>
        <v>0</v>
      </c>
      <c r="AW26" s="186">
        <f t="shared" si="15"/>
        <v>0</v>
      </c>
      <c r="AX26" s="175">
        <f t="shared" ref="AX26:BD27" si="16">P26*AG26/1000</f>
        <v>0</v>
      </c>
      <c r="AY26" s="176">
        <f t="shared" si="16"/>
        <v>0</v>
      </c>
      <c r="AZ26" s="177">
        <f t="shared" si="16"/>
        <v>0</v>
      </c>
      <c r="BA26" s="175">
        <f t="shared" si="16"/>
        <v>0</v>
      </c>
      <c r="BB26" s="176">
        <f t="shared" si="16"/>
        <v>0</v>
      </c>
      <c r="BC26" s="184">
        <f t="shared" si="16"/>
        <v>0</v>
      </c>
      <c r="BD26" s="176">
        <f t="shared" si="16"/>
        <v>0</v>
      </c>
      <c r="BE26" s="244">
        <f>X26/$BE$7</f>
        <v>1019</v>
      </c>
      <c r="BF26" s="245">
        <f>SUM(Y26:AF26)</f>
        <v>1150</v>
      </c>
      <c r="BH26" s="255">
        <f t="shared" si="9"/>
        <v>15.286528499999999</v>
      </c>
      <c r="BI26" s="255">
        <f t="shared" si="10"/>
        <v>12.72429</v>
      </c>
      <c r="BJ26" s="255">
        <f t="shared" si="11"/>
        <v>0</v>
      </c>
      <c r="BK26" s="256">
        <f t="shared" si="12"/>
        <v>0</v>
      </c>
      <c r="BL26" s="262">
        <f t="shared" si="13"/>
        <v>0</v>
      </c>
      <c r="BM26" s="257">
        <f>SUM(BH26:BL26)</f>
        <v>28.010818499999999</v>
      </c>
      <c r="BO26" s="714"/>
    </row>
    <row r="27" spans="2:67" ht="15" customHeight="1" x14ac:dyDescent="0.25">
      <c r="B27" s="162">
        <f t="shared" si="14"/>
        <v>9</v>
      </c>
      <c r="C27" s="187" t="s">
        <v>700</v>
      </c>
      <c r="D27" s="188" t="str">
        <f>C27</f>
        <v>RTOU+CLTR</v>
      </c>
      <c r="E27" s="189" t="s">
        <v>702</v>
      </c>
      <c r="G27" s="879">
        <f>G18</f>
        <v>4.1099999999999998E-2</v>
      </c>
      <c r="H27" s="468"/>
      <c r="I27" s="853">
        <f>I26</f>
        <v>3.5499999999999997E-2</v>
      </c>
      <c r="J27" s="853">
        <f>J26</f>
        <v>9.1999999999999998E-3</v>
      </c>
      <c r="K27" s="854">
        <f>K25</f>
        <v>1.6000000000000001E-3</v>
      </c>
      <c r="L27" s="416"/>
      <c r="M27" s="853">
        <f>M23</f>
        <v>1.3899999999999999E-2</v>
      </c>
      <c r="N27" s="853">
        <f>N23</f>
        <v>5.5999999999999999E-3</v>
      </c>
      <c r="O27" s="854">
        <f>O23</f>
        <v>2.8E-3</v>
      </c>
      <c r="P27" s="468"/>
      <c r="Q27" s="471"/>
      <c r="R27" s="472"/>
      <c r="S27" s="468"/>
      <c r="T27" s="471"/>
      <c r="U27" s="491"/>
      <c r="V27" s="472"/>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G27*X27/1000</f>
        <v>0</v>
      </c>
      <c r="AP27" s="191">
        <f t="shared" si="15"/>
        <v>0</v>
      </c>
      <c r="AQ27" s="192">
        <f t="shared" si="15"/>
        <v>0</v>
      </c>
      <c r="AR27" s="192">
        <f t="shared" si="15"/>
        <v>0</v>
      </c>
      <c r="AS27" s="193">
        <f t="shared" si="15"/>
        <v>0</v>
      </c>
      <c r="AT27" s="194">
        <f t="shared" si="15"/>
        <v>0</v>
      </c>
      <c r="AU27" s="192">
        <f t="shared" si="15"/>
        <v>0</v>
      </c>
      <c r="AV27" s="192">
        <f t="shared" si="15"/>
        <v>0</v>
      </c>
      <c r="AW27" s="192">
        <f t="shared" si="15"/>
        <v>0</v>
      </c>
      <c r="AX27" s="191">
        <f t="shared" si="16"/>
        <v>0</v>
      </c>
      <c r="AY27" s="195">
        <f t="shared" si="16"/>
        <v>0</v>
      </c>
      <c r="AZ27" s="196">
        <f t="shared" si="16"/>
        <v>0</v>
      </c>
      <c r="BA27" s="191">
        <f t="shared" si="16"/>
        <v>0</v>
      </c>
      <c r="BB27" s="195">
        <f t="shared" si="16"/>
        <v>0</v>
      </c>
      <c r="BC27" s="197">
        <f t="shared" si="16"/>
        <v>0</v>
      </c>
      <c r="BD27" s="195">
        <f t="shared" si="16"/>
        <v>0</v>
      </c>
      <c r="BE27" s="246">
        <f>X27/$BE$7</f>
        <v>0</v>
      </c>
      <c r="BF27" s="247">
        <f>SUM(Y27:AF27)</f>
        <v>0</v>
      </c>
      <c r="BH27" s="255">
        <f t="shared" si="9"/>
        <v>0</v>
      </c>
      <c r="BI27" s="255">
        <f t="shared" si="10"/>
        <v>0</v>
      </c>
      <c r="BJ27" s="255">
        <f t="shared" si="11"/>
        <v>0</v>
      </c>
      <c r="BK27" s="256">
        <f t="shared" si="12"/>
        <v>0</v>
      </c>
      <c r="BL27" s="262">
        <f t="shared" si="13"/>
        <v>0</v>
      </c>
      <c r="BM27" s="257">
        <f>SUM(BH27:BL27)</f>
        <v>0</v>
      </c>
      <c r="BO27" s="714" t="str">
        <f>IF(BF27=0,"",BM27*1000/BF27)</f>
        <v/>
      </c>
    </row>
    <row r="28" spans="2:67" ht="15" customHeight="1" x14ac:dyDescent="0.25">
      <c r="B28" s="167" t="s">
        <v>57</v>
      </c>
      <c r="C28" s="151" t="s">
        <v>58</v>
      </c>
      <c r="D28" s="151"/>
      <c r="E28" s="148"/>
      <c r="G28" s="453"/>
      <c r="H28" s="454"/>
      <c r="I28" s="455"/>
      <c r="J28" s="455"/>
      <c r="K28" s="456"/>
      <c r="L28" s="473"/>
      <c r="M28" s="473"/>
      <c r="N28" s="473"/>
      <c r="O28" s="474"/>
      <c r="P28" s="455"/>
      <c r="Q28" s="455"/>
      <c r="R28" s="456"/>
      <c r="S28" s="454"/>
      <c r="T28" s="455"/>
      <c r="U28" s="454"/>
      <c r="V28" s="456"/>
      <c r="X28" s="168">
        <f>'Q (t)'!G28</f>
        <v>0</v>
      </c>
      <c r="Y28" s="169">
        <f>'Q (t)'!H28</f>
        <v>0</v>
      </c>
      <c r="Z28" s="170">
        <f>'Q (t)'!I28</f>
        <v>0</v>
      </c>
      <c r="AA28" s="170">
        <f>'Q (t)'!J28</f>
        <v>0</v>
      </c>
      <c r="AB28" s="171">
        <f>'Q (t)'!K28</f>
        <v>0</v>
      </c>
      <c r="AC28" s="198">
        <f>'Q (t)'!L28</f>
        <v>0</v>
      </c>
      <c r="AD28" s="198">
        <f>'Q (t)'!M28</f>
        <v>0</v>
      </c>
      <c r="AE28" s="198">
        <f>'Q (t)'!N28</f>
        <v>0</v>
      </c>
      <c r="AF28" s="199">
        <f>'Q (t)'!O28</f>
        <v>0</v>
      </c>
      <c r="AG28" s="170">
        <f>'Q (t)'!P28</f>
        <v>0</v>
      </c>
      <c r="AH28" s="170">
        <f>'Q (t)'!Q28</f>
        <v>0</v>
      </c>
      <c r="AI28" s="171">
        <f>'Q (t)'!R28</f>
        <v>0</v>
      </c>
      <c r="AJ28" s="169">
        <f>'Q (t)'!S28</f>
        <v>0</v>
      </c>
      <c r="AK28" s="170">
        <f>'Q (t)'!T28</f>
        <v>0</v>
      </c>
      <c r="AL28" s="169">
        <f>'Q (t)'!U28</f>
        <v>0</v>
      </c>
      <c r="AM28" s="171">
        <f>'Q (t)'!V28</f>
        <v>0</v>
      </c>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1406.8256685000001</v>
      </c>
      <c r="BI28" s="253">
        <f>SUBTOTAL(9,BI29:BI41)</f>
        <v>9548.0700000000015</v>
      </c>
      <c r="BJ28" s="253">
        <f>SUBTOTAL(9,BJ29:BJ41)</f>
        <v>33.6</v>
      </c>
      <c r="BK28" s="253">
        <f>SUBTOTAL(9,BK29:BK41)</f>
        <v>0</v>
      </c>
      <c r="BL28" s="253">
        <f>SUBTOTAL(9,BL29:BL41)</f>
        <v>0</v>
      </c>
      <c r="BM28" s="257">
        <f t="shared" si="5"/>
        <v>10988.495668500002</v>
      </c>
      <c r="BO28" s="714" t="str">
        <f t="shared" si="6"/>
        <v/>
      </c>
    </row>
    <row r="29" spans="2:67" ht="15" customHeight="1" x14ac:dyDescent="0.25">
      <c r="B29" s="172"/>
      <c r="C29" s="126" t="s">
        <v>59</v>
      </c>
      <c r="D29" s="173"/>
      <c r="E29" s="145"/>
      <c r="G29" s="457"/>
      <c r="H29" s="458"/>
      <c r="I29" s="459"/>
      <c r="J29" s="459"/>
      <c r="K29" s="460"/>
      <c r="L29" s="475"/>
      <c r="M29" s="475"/>
      <c r="N29" s="475"/>
      <c r="O29" s="476"/>
      <c r="P29" s="459"/>
      <c r="Q29" s="459"/>
      <c r="R29" s="460"/>
      <c r="S29" s="458"/>
      <c r="T29" s="459"/>
      <c r="U29" s="458"/>
      <c r="V29" s="460"/>
      <c r="X29" s="174">
        <f>'Q (t)'!G29</f>
        <v>0</v>
      </c>
      <c r="Y29" s="175">
        <f>'Q (t)'!H29</f>
        <v>0</v>
      </c>
      <c r="Z29" s="176">
        <f>'Q (t)'!I29</f>
        <v>0</v>
      </c>
      <c r="AA29" s="176">
        <f>'Q (t)'!J29</f>
        <v>0</v>
      </c>
      <c r="AB29" s="177">
        <f>'Q (t)'!K29</f>
        <v>0</v>
      </c>
      <c r="AC29" s="185">
        <f>'Q (t)'!L29</f>
        <v>0</v>
      </c>
      <c r="AD29" s="185">
        <f>'Q (t)'!M29</f>
        <v>0</v>
      </c>
      <c r="AE29" s="185">
        <f>'Q (t)'!N29</f>
        <v>0</v>
      </c>
      <c r="AF29" s="186">
        <f>'Q (t)'!O29</f>
        <v>0</v>
      </c>
      <c r="AG29" s="176">
        <f>'Q (t)'!P29</f>
        <v>0</v>
      </c>
      <c r="AH29" s="176">
        <f>'Q (t)'!Q29</f>
        <v>0</v>
      </c>
      <c r="AI29" s="177">
        <f>'Q (t)'!R29</f>
        <v>0</v>
      </c>
      <c r="AJ29" s="175">
        <f>'Q (t)'!S29</f>
        <v>0</v>
      </c>
      <c r="AK29" s="176">
        <f>'Q (t)'!T29</f>
        <v>0</v>
      </c>
      <c r="AL29" s="175">
        <f>'Q (t)'!U29</f>
        <v>0</v>
      </c>
      <c r="AM29" s="177">
        <f>'Q (t)'!V29</f>
        <v>0</v>
      </c>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550.79999999999995</v>
      </c>
      <c r="BJ29" s="252">
        <f>SUBTOTAL(9,BJ30:BJ31)</f>
        <v>0</v>
      </c>
      <c r="BK29" s="260">
        <f>SUBTOTAL(9,BK30:BK31)</f>
        <v>0</v>
      </c>
      <c r="BL29" s="261">
        <f>SUBTOTAL(9,BL30:BL31)</f>
        <v>0</v>
      </c>
      <c r="BM29" s="257">
        <f t="shared" si="5"/>
        <v>550.79999999999995</v>
      </c>
      <c r="BO29" s="714" t="str">
        <f t="shared" si="6"/>
        <v/>
      </c>
    </row>
    <row r="30" spans="2:67" ht="15" customHeight="1" x14ac:dyDescent="0.25">
      <c r="B30" s="156">
        <v>1</v>
      </c>
      <c r="C30" s="180" t="s">
        <v>60</v>
      </c>
      <c r="D30" s="181" t="str">
        <f>C30</f>
        <v>LVUU</v>
      </c>
      <c r="E30" s="200" t="s">
        <v>61</v>
      </c>
      <c r="G30" s="477"/>
      <c r="H30" s="478">
        <f>ROUND('[15]JSO (t)'!H28*$BT$132,4)-0.0001</f>
        <v>5.0999999999999995E-3</v>
      </c>
      <c r="I30" s="461"/>
      <c r="J30" s="461"/>
      <c r="K30" s="462"/>
      <c r="L30" s="461"/>
      <c r="M30" s="461"/>
      <c r="N30" s="461"/>
      <c r="O30" s="462"/>
      <c r="P30" s="461"/>
      <c r="Q30" s="461"/>
      <c r="R30" s="462"/>
      <c r="S30" s="479"/>
      <c r="T30" s="461"/>
      <c r="U30" s="480"/>
      <c r="V30" s="481"/>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464.09999999999997</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464.09999999999997</v>
      </c>
      <c r="BJ30" s="255">
        <f>SUM(AT30:AW30)</f>
        <v>0</v>
      </c>
      <c r="BK30" s="256">
        <f>SUM(AX30:BB30)</f>
        <v>0</v>
      </c>
      <c r="BL30" s="262">
        <f>SUM(BC30:BD30)</f>
        <v>0</v>
      </c>
      <c r="BM30" s="257">
        <f t="shared" si="5"/>
        <v>464.09999999999997</v>
      </c>
      <c r="BO30" s="714">
        <f t="shared" si="6"/>
        <v>5.0999999999999996</v>
      </c>
    </row>
    <row r="31" spans="2:67" ht="15" customHeight="1" x14ac:dyDescent="0.25">
      <c r="B31" s="156">
        <f t="shared" ref="B31:B41" si="17">B30+1</f>
        <v>2</v>
      </c>
      <c r="C31" s="180" t="s">
        <v>62</v>
      </c>
      <c r="D31" s="181" t="str">
        <f>C31</f>
        <v>LVUU24</v>
      </c>
      <c r="E31" s="200" t="s">
        <v>63</v>
      </c>
      <c r="G31" s="477"/>
      <c r="H31" s="478">
        <f>ROUND('[15]JSO (t)'!H29*$BT$132,4)-0.0001</f>
        <v>5.0999999999999995E-3</v>
      </c>
      <c r="I31" s="461"/>
      <c r="J31" s="461"/>
      <c r="K31" s="462"/>
      <c r="L31" s="461"/>
      <c r="M31" s="461"/>
      <c r="N31" s="461"/>
      <c r="O31" s="462"/>
      <c r="P31" s="461"/>
      <c r="Q31" s="461"/>
      <c r="R31" s="462"/>
      <c r="S31" s="479"/>
      <c r="T31" s="461"/>
      <c r="U31" s="480"/>
      <c r="V31" s="481"/>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86.699999999999989</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86.699999999999989</v>
      </c>
      <c r="BJ31" s="255">
        <f>SUM(AT31:AW31)</f>
        <v>0</v>
      </c>
      <c r="BK31" s="256">
        <f>SUM(AX31:BB31)</f>
        <v>0</v>
      </c>
      <c r="BL31" s="262">
        <f>SUM(BC31:BD31)</f>
        <v>0</v>
      </c>
      <c r="BM31" s="257">
        <f t="shared" si="5"/>
        <v>86.699999999999989</v>
      </c>
      <c r="BO31" s="714">
        <f t="shared" si="6"/>
        <v>5.0999999999999988</v>
      </c>
    </row>
    <row r="32" spans="2:67" ht="15" customHeight="1" x14ac:dyDescent="0.25">
      <c r="B32" s="156"/>
      <c r="C32" s="201" t="s">
        <v>64</v>
      </c>
      <c r="D32" s="202"/>
      <c r="E32" s="202"/>
      <c r="G32" s="482"/>
      <c r="H32" s="479"/>
      <c r="I32" s="461"/>
      <c r="J32" s="461"/>
      <c r="K32" s="462"/>
      <c r="L32" s="461"/>
      <c r="M32" s="461"/>
      <c r="N32" s="461"/>
      <c r="O32" s="462"/>
      <c r="P32" s="461"/>
      <c r="Q32" s="461"/>
      <c r="R32" s="462"/>
      <c r="S32" s="479"/>
      <c r="T32" s="461"/>
      <c r="U32" s="479"/>
      <c r="V32" s="462"/>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1036.333623</v>
      </c>
      <c r="BI32" s="252">
        <f>SUBTOTAL(9,BI33:BI37)</f>
        <v>5000.1400000000003</v>
      </c>
      <c r="BJ32" s="252">
        <f>SUBTOTAL(9,BJ33:BJ37)</f>
        <v>33.6</v>
      </c>
      <c r="BK32" s="252">
        <f>SUBTOTAL(9,BK33:BK37)</f>
        <v>0</v>
      </c>
      <c r="BL32" s="252">
        <f>SUBTOTAL(9,BL33:BL37)</f>
        <v>0</v>
      </c>
      <c r="BM32" s="257">
        <f t="shared" si="5"/>
        <v>6070.0736230000002</v>
      </c>
      <c r="BO32" s="714" t="str">
        <f t="shared" si="6"/>
        <v/>
      </c>
    </row>
    <row r="33" spans="2:67" ht="15" customHeight="1" x14ac:dyDescent="0.25">
      <c r="B33" s="156">
        <f>B31+1</f>
        <v>3</v>
      </c>
      <c r="C33" s="180" t="s">
        <v>65</v>
      </c>
      <c r="D33" s="181" t="str">
        <f>C33</f>
        <v>BSR</v>
      </c>
      <c r="E33" s="200" t="s">
        <v>66</v>
      </c>
      <c r="G33" s="850">
        <f>ROUND('[15]2020-25 Pricing Schedule'!$L$27/Days_Year,4)</f>
        <v>4.1099999999999998E-2</v>
      </c>
      <c r="H33" s="478">
        <f>ROUND('[15]JSO (t)'!H31*$BT$132,4)</f>
        <v>8.5000000000000006E-3</v>
      </c>
      <c r="I33" s="461"/>
      <c r="J33" s="461"/>
      <c r="K33" s="462"/>
      <c r="L33" s="461"/>
      <c r="M33" s="461"/>
      <c r="N33" s="461"/>
      <c r="O33" s="462"/>
      <c r="P33" s="461"/>
      <c r="Q33" s="461"/>
      <c r="R33" s="462"/>
      <c r="S33" s="479"/>
      <c r="T33" s="461"/>
      <c r="U33" s="480"/>
      <c r="V33" s="481"/>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688.94388749999996</v>
      </c>
      <c r="AP33" s="184">
        <f t="shared" si="0"/>
        <v>2738.7000000000003</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688.94388749999996</v>
      </c>
      <c r="BI33" s="255">
        <f>SUM(AP33:AS33)</f>
        <v>2738.7000000000003</v>
      </c>
      <c r="BJ33" s="255">
        <f>SUM(AT33:AW33)</f>
        <v>0</v>
      </c>
      <c r="BK33" s="256">
        <f>SUM(AX33:BB33)</f>
        <v>0</v>
      </c>
      <c r="BL33" s="262">
        <f>SUM(BC33:BD33)</f>
        <v>0</v>
      </c>
      <c r="BM33" s="257">
        <f t="shared" si="5"/>
        <v>3427.6438875000003</v>
      </c>
      <c r="BO33" s="714">
        <f t="shared" si="6"/>
        <v>10.638249185288641</v>
      </c>
    </row>
    <row r="34" spans="2:67" ht="15" customHeight="1" x14ac:dyDescent="0.25">
      <c r="B34" s="156">
        <f t="shared" si="17"/>
        <v>4</v>
      </c>
      <c r="C34" s="180" t="s">
        <v>67</v>
      </c>
      <c r="D34" s="181" t="str">
        <f>C34</f>
        <v>BSRCL</v>
      </c>
      <c r="E34" s="200" t="s">
        <v>68</v>
      </c>
      <c r="G34" s="850">
        <f>G33</f>
        <v>4.1099999999999998E-2</v>
      </c>
      <c r="H34" s="478">
        <f>ROUND('[15]JSO (t)'!H32*$BT$132,4)</f>
        <v>8.5000000000000006E-3</v>
      </c>
      <c r="I34" s="461"/>
      <c r="J34" s="461"/>
      <c r="K34" s="462"/>
      <c r="L34" s="851">
        <f>L19</f>
        <v>5.5999999999999999E-3</v>
      </c>
      <c r="M34" s="461"/>
      <c r="N34" s="461"/>
      <c r="O34" s="462"/>
      <c r="P34" s="461"/>
      <c r="Q34" s="461"/>
      <c r="R34" s="462"/>
      <c r="S34" s="479"/>
      <c r="T34" s="461"/>
      <c r="U34" s="480"/>
      <c r="V34" s="481"/>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16.8</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16.8</v>
      </c>
      <c r="BK34" s="256">
        <f>SUM(AX34:BB34)</f>
        <v>0</v>
      </c>
      <c r="BL34" s="262">
        <f>SUM(BC34:BD34)</f>
        <v>0</v>
      </c>
      <c r="BM34" s="257">
        <f t="shared" si="5"/>
        <v>16.8</v>
      </c>
      <c r="BO34" s="714">
        <f t="shared" si="6"/>
        <v>5.6</v>
      </c>
    </row>
    <row r="35" spans="2:67" ht="15" customHeight="1" x14ac:dyDescent="0.25">
      <c r="B35" s="156">
        <f t="shared" si="17"/>
        <v>5</v>
      </c>
      <c r="C35" s="180" t="s">
        <v>69</v>
      </c>
      <c r="D35" s="181" t="str">
        <f>C35</f>
        <v>B2R</v>
      </c>
      <c r="E35" s="200" t="s">
        <v>70</v>
      </c>
      <c r="G35" s="850">
        <f>G33</f>
        <v>4.1099999999999998E-2</v>
      </c>
      <c r="H35" s="479"/>
      <c r="I35" s="465">
        <f>ROUND('[15]JSO (t)'!I33*$BT$132,4)</f>
        <v>9.5999999999999992E-3</v>
      </c>
      <c r="J35" s="461"/>
      <c r="K35" s="466">
        <f>ROUND('[15]JSO (t)'!K33*$BT$132,4)</f>
        <v>4.7000000000000002E-3</v>
      </c>
      <c r="L35" s="461"/>
      <c r="M35" s="461"/>
      <c r="N35" s="461"/>
      <c r="O35" s="462"/>
      <c r="P35" s="461"/>
      <c r="Q35" s="461"/>
      <c r="R35" s="462"/>
      <c r="S35" s="479"/>
      <c r="T35" s="461"/>
      <c r="U35" s="480"/>
      <c r="V35" s="481"/>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347.38973549999997</v>
      </c>
      <c r="AP35" s="184">
        <f t="shared" si="0"/>
        <v>0</v>
      </c>
      <c r="AQ35" s="178">
        <f t="shared" si="0"/>
        <v>1569.6</v>
      </c>
      <c r="AR35" s="178">
        <f t="shared" si="0"/>
        <v>0</v>
      </c>
      <c r="AS35" s="179">
        <f t="shared" si="0"/>
        <v>691.84</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347.38973549999997</v>
      </c>
      <c r="BI35" s="255">
        <f>SUM(AP35:AS35)</f>
        <v>2261.44</v>
      </c>
      <c r="BJ35" s="255">
        <f>SUM(AT35:AW35)</f>
        <v>0</v>
      </c>
      <c r="BK35" s="256">
        <f>SUM(AX35:BB35)</f>
        <v>0</v>
      </c>
      <c r="BL35" s="262">
        <f>SUM(BC35:BD35)</f>
        <v>0</v>
      </c>
      <c r="BM35" s="257">
        <f t="shared" si="5"/>
        <v>2608.8297355</v>
      </c>
      <c r="BO35" s="714">
        <f t="shared" si="6"/>
        <v>8.3966196829739292</v>
      </c>
    </row>
    <row r="36" spans="2:67" ht="15" customHeight="1" x14ac:dyDescent="0.25">
      <c r="B36" s="156">
        <f t="shared" si="17"/>
        <v>6</v>
      </c>
      <c r="C36" s="180" t="s">
        <v>71</v>
      </c>
      <c r="D36" s="181" t="str">
        <f>C36</f>
        <v>B2RCL</v>
      </c>
      <c r="E36" s="200" t="s">
        <v>72</v>
      </c>
      <c r="G36" s="850">
        <f>G33</f>
        <v>4.1099999999999998E-2</v>
      </c>
      <c r="H36" s="479"/>
      <c r="I36" s="465">
        <f>ROUND('[15]JSO (t)'!I34*$BT$132,4)</f>
        <v>9.5999999999999992E-3</v>
      </c>
      <c r="J36" s="461"/>
      <c r="K36" s="466">
        <f>ROUND('[15]JSO (t)'!K34*$BT$132,4)</f>
        <v>4.7000000000000002E-3</v>
      </c>
      <c r="L36" s="851">
        <f>L19</f>
        <v>5.5999999999999999E-3</v>
      </c>
      <c r="M36" s="461"/>
      <c r="N36" s="461"/>
      <c r="O36" s="462"/>
      <c r="P36" s="461"/>
      <c r="Q36" s="461"/>
      <c r="R36" s="462"/>
      <c r="S36" s="479"/>
      <c r="T36" s="461"/>
      <c r="U36" s="480"/>
      <c r="V36" s="481"/>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53" si="18">H36*Y36</f>
        <v>0</v>
      </c>
      <c r="AQ36" s="178">
        <f t="shared" si="18"/>
        <v>0</v>
      </c>
      <c r="AR36" s="178">
        <f t="shared" si="18"/>
        <v>0</v>
      </c>
      <c r="AS36" s="179">
        <f t="shared" si="18"/>
        <v>0</v>
      </c>
      <c r="AT36" s="178">
        <f t="shared" si="18"/>
        <v>16.8</v>
      </c>
      <c r="AU36" s="178">
        <f t="shared" si="18"/>
        <v>0</v>
      </c>
      <c r="AV36" s="178">
        <f t="shared" si="18"/>
        <v>0</v>
      </c>
      <c r="AW36" s="179">
        <f t="shared" si="18"/>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16.8</v>
      </c>
      <c r="BK36" s="256">
        <f>SUM(AX36:BB36)</f>
        <v>0</v>
      </c>
      <c r="BL36" s="262">
        <f>SUM(BC36:BD36)</f>
        <v>0</v>
      </c>
      <c r="BM36" s="257">
        <f t="shared" si="5"/>
        <v>16.8</v>
      </c>
      <c r="BO36" s="714">
        <f t="shared" si="6"/>
        <v>5.6</v>
      </c>
    </row>
    <row r="37" spans="2:67" ht="15" customHeight="1" x14ac:dyDescent="0.25">
      <c r="B37" s="156">
        <f t="shared" si="17"/>
        <v>7</v>
      </c>
      <c r="C37" s="180" t="s">
        <v>73</v>
      </c>
      <c r="D37" s="181" t="str">
        <f>C37</f>
        <v>BCL</v>
      </c>
      <c r="E37" s="200" t="s">
        <v>74</v>
      </c>
      <c r="G37" s="477">
        <v>0</v>
      </c>
      <c r="H37" s="479"/>
      <c r="I37" s="461"/>
      <c r="J37" s="461"/>
      <c r="K37" s="462"/>
      <c r="L37" s="851">
        <f>L19</f>
        <v>5.5999999999999999E-3</v>
      </c>
      <c r="M37" s="461"/>
      <c r="N37" s="461"/>
      <c r="O37" s="462"/>
      <c r="P37" s="461"/>
      <c r="Q37" s="461"/>
      <c r="R37" s="462"/>
      <c r="S37" s="479"/>
      <c r="T37" s="461"/>
      <c r="U37" s="480"/>
      <c r="V37" s="481"/>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8"/>
        <v>0</v>
      </c>
      <c r="AQ37" s="178">
        <f t="shared" si="18"/>
        <v>0</v>
      </c>
      <c r="AR37" s="178">
        <f t="shared" si="18"/>
        <v>0</v>
      </c>
      <c r="AS37" s="179">
        <f t="shared" si="18"/>
        <v>0</v>
      </c>
      <c r="AT37" s="178">
        <f t="shared" si="18"/>
        <v>0</v>
      </c>
      <c r="AU37" s="178">
        <f t="shared" si="18"/>
        <v>0</v>
      </c>
      <c r="AV37" s="178">
        <f t="shared" si="18"/>
        <v>0</v>
      </c>
      <c r="AW37" s="179">
        <f t="shared" si="18"/>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c r="H38" s="479"/>
      <c r="I38" s="461"/>
      <c r="J38" s="461"/>
      <c r="K38" s="462"/>
      <c r="L38" s="461"/>
      <c r="M38" s="461"/>
      <c r="N38" s="461"/>
      <c r="O38" s="462"/>
      <c r="P38" s="461"/>
      <c r="Q38" s="461"/>
      <c r="R38" s="462"/>
      <c r="S38" s="479"/>
      <c r="T38" s="461"/>
      <c r="U38" s="479"/>
      <c r="V38" s="462"/>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8"/>
        <v>0</v>
      </c>
      <c r="AQ38" s="178">
        <f t="shared" si="18"/>
        <v>0</v>
      </c>
      <c r="AR38" s="178">
        <f t="shared" si="18"/>
        <v>0</v>
      </c>
      <c r="AS38" s="179">
        <f t="shared" si="18"/>
        <v>0</v>
      </c>
      <c r="AT38" s="178">
        <f t="shared" si="18"/>
        <v>0</v>
      </c>
      <c r="AU38" s="178">
        <f t="shared" si="18"/>
        <v>0</v>
      </c>
      <c r="AV38" s="178">
        <f t="shared" si="18"/>
        <v>0</v>
      </c>
      <c r="AW38" s="179">
        <f t="shared" si="18"/>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370.49204549999996</v>
      </c>
      <c r="BI38" s="252">
        <f>SUBTOTAL(9,BI39:BI41)</f>
        <v>3997.13</v>
      </c>
      <c r="BJ38" s="252">
        <f>SUBTOTAL(9,BJ39:BJ41)</f>
        <v>0</v>
      </c>
      <c r="BK38" s="252">
        <f>SUBTOTAL(9,BK39:BK41)</f>
        <v>0</v>
      </c>
      <c r="BL38" s="252">
        <f>SUBTOTAL(9,BL39:BL41)</f>
        <v>0</v>
      </c>
      <c r="BM38" s="257">
        <f t="shared" si="5"/>
        <v>4367.6220455000002</v>
      </c>
      <c r="BO38" s="714" t="str">
        <f t="shared" si="6"/>
        <v/>
      </c>
    </row>
    <row r="39" spans="2:67" ht="15" customHeight="1" x14ac:dyDescent="0.25">
      <c r="B39" s="156">
        <f>B37+1</f>
        <v>8</v>
      </c>
      <c r="C39" s="180" t="s">
        <v>76</v>
      </c>
      <c r="D39" s="181" t="str">
        <f>C39</f>
        <v>SBTOU</v>
      </c>
      <c r="E39" s="200" t="s">
        <v>77</v>
      </c>
      <c r="G39" s="850">
        <f>G33</f>
        <v>4.1099999999999998E-2</v>
      </c>
      <c r="H39" s="479"/>
      <c r="I39" s="483">
        <f>ROUND('[15]JSO (t)'!I37*$BT$132,4)</f>
        <v>1.2699999999999999E-2</v>
      </c>
      <c r="J39" s="483">
        <f>ROUND('[15]JSO (t)'!J37*$BT$132,4)</f>
        <v>8.8999999999999999E-3</v>
      </c>
      <c r="K39" s="484">
        <f>ROUND('[15]JSO (t)'!K37*$BT$132,4)</f>
        <v>4.7000000000000002E-3</v>
      </c>
      <c r="L39" s="461"/>
      <c r="M39" s="461"/>
      <c r="N39" s="461"/>
      <c r="O39" s="462"/>
      <c r="P39" s="461"/>
      <c r="Q39" s="461"/>
      <c r="R39" s="462"/>
      <c r="S39" s="479"/>
      <c r="T39" s="461"/>
      <c r="U39" s="480"/>
      <c r="V39" s="481"/>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336.81367799999998</v>
      </c>
      <c r="AP39" s="184">
        <f t="shared" si="18"/>
        <v>0</v>
      </c>
      <c r="AQ39" s="178">
        <f t="shared" si="18"/>
        <v>411.47999999999996</v>
      </c>
      <c r="AR39" s="178">
        <f t="shared" si="18"/>
        <v>2060.35</v>
      </c>
      <c r="AS39" s="179">
        <f t="shared" si="18"/>
        <v>960.68000000000006</v>
      </c>
      <c r="AT39" s="178">
        <f t="shared" si="18"/>
        <v>0</v>
      </c>
      <c r="AU39" s="178">
        <f t="shared" si="18"/>
        <v>0</v>
      </c>
      <c r="AV39" s="178">
        <f t="shared" si="18"/>
        <v>0</v>
      </c>
      <c r="AW39" s="179">
        <f t="shared" si="18"/>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336.81367799999998</v>
      </c>
      <c r="BI39" s="255">
        <f>SUM(AP39:AS39)</f>
        <v>3432.51</v>
      </c>
      <c r="BJ39" s="255">
        <f>SUM(AT39:AW39)</f>
        <v>0</v>
      </c>
      <c r="BK39" s="256">
        <f>SUM(AX39:BB39)</f>
        <v>0</v>
      </c>
      <c r="BL39" s="262">
        <f>SUM(BC39:BD39)</f>
        <v>0</v>
      </c>
      <c r="BM39" s="257">
        <f t="shared" si="5"/>
        <v>3769.3236780000002</v>
      </c>
      <c r="BO39" s="714">
        <f t="shared" si="6"/>
        <v>8.0489508392056379</v>
      </c>
    </row>
    <row r="40" spans="2:67" ht="15" customHeight="1" x14ac:dyDescent="0.25">
      <c r="B40" s="156">
        <f t="shared" si="17"/>
        <v>9</v>
      </c>
      <c r="C40" s="180" t="s">
        <v>78</v>
      </c>
      <c r="D40" s="181" t="str">
        <f>C40</f>
        <v>SBTOUD</v>
      </c>
      <c r="E40" s="200" t="s">
        <v>79</v>
      </c>
      <c r="G40" s="850">
        <f>G33</f>
        <v>4.1099999999999998E-2</v>
      </c>
      <c r="H40" s="479"/>
      <c r="I40" s="483">
        <f>ROUND('[15]JSO (t)'!I38*$BT$132,4)</f>
        <v>1.0200000000000001E-2</v>
      </c>
      <c r="J40" s="483">
        <f>ROUND('[15]JSO (t)'!J38*$BT$132,4)</f>
        <v>7.1000000000000004E-3</v>
      </c>
      <c r="K40" s="484">
        <f>ROUND('[15]JSO (t)'!K38*$BT$132,4)</f>
        <v>3.8E-3</v>
      </c>
      <c r="L40" s="461"/>
      <c r="M40" s="461"/>
      <c r="N40" s="461"/>
      <c r="O40" s="462"/>
      <c r="P40" s="461"/>
      <c r="Q40" s="461"/>
      <c r="R40" s="462"/>
      <c r="S40" s="479"/>
      <c r="T40" s="483">
        <f>ROUND('[15]JSO (t)'!T38*$BT$132,4)</f>
        <v>0</v>
      </c>
      <c r="U40" s="480"/>
      <c r="V40" s="481"/>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23.357335499999998</v>
      </c>
      <c r="AP40" s="184">
        <f t="shared" si="18"/>
        <v>0</v>
      </c>
      <c r="AQ40" s="178">
        <f t="shared" si="18"/>
        <v>47.940000000000005</v>
      </c>
      <c r="AR40" s="178">
        <f t="shared" si="18"/>
        <v>289.68</v>
      </c>
      <c r="AS40" s="179">
        <f t="shared" si="18"/>
        <v>104.88</v>
      </c>
      <c r="AT40" s="178">
        <f t="shared" si="18"/>
        <v>0</v>
      </c>
      <c r="AU40" s="178">
        <f t="shared" si="18"/>
        <v>0</v>
      </c>
      <c r="AV40" s="178">
        <f t="shared" si="18"/>
        <v>0</v>
      </c>
      <c r="AW40" s="179">
        <f t="shared" si="18"/>
        <v>0</v>
      </c>
      <c r="AX40" s="178">
        <f t="shared" si="1"/>
        <v>0</v>
      </c>
      <c r="AY40" s="178">
        <f t="shared" si="1"/>
        <v>0</v>
      </c>
      <c r="AZ40" s="179">
        <f t="shared" si="1"/>
        <v>0</v>
      </c>
      <c r="BA40" s="184">
        <f t="shared" si="1"/>
        <v>0</v>
      </c>
      <c r="BB40" s="178">
        <f t="shared" si="1"/>
        <v>0</v>
      </c>
      <c r="BC40" s="184">
        <f t="shared" si="1"/>
        <v>0</v>
      </c>
      <c r="BD40" s="178">
        <f t="shared" si="1"/>
        <v>0</v>
      </c>
      <c r="BE40" s="244">
        <f t="shared" si="3"/>
        <v>1557</v>
      </c>
      <c r="BF40" s="245">
        <f t="shared" si="4"/>
        <v>73100</v>
      </c>
      <c r="BH40" s="255">
        <f>SUM(AO40)</f>
        <v>23.357335499999998</v>
      </c>
      <c r="BI40" s="255">
        <f>SUM(AP40:AS40)</f>
        <v>442.5</v>
      </c>
      <c r="BJ40" s="255">
        <f>SUM(AT40:AW40)</f>
        <v>0</v>
      </c>
      <c r="BK40" s="256">
        <f>SUM(AX40:BB40)</f>
        <v>0</v>
      </c>
      <c r="BL40" s="262">
        <f>SUM(BC40:BD40)</f>
        <v>0</v>
      </c>
      <c r="BM40" s="257">
        <f t="shared" si="5"/>
        <v>465.85733549999998</v>
      </c>
      <c r="BO40" s="714">
        <f t="shared" si="6"/>
        <v>6.3728773666210667</v>
      </c>
    </row>
    <row r="41" spans="2:67" ht="15" customHeight="1" x14ac:dyDescent="0.25">
      <c r="B41" s="162">
        <f t="shared" si="17"/>
        <v>10</v>
      </c>
      <c r="C41" s="187" t="s">
        <v>80</v>
      </c>
      <c r="D41" s="188" t="str">
        <f>C41</f>
        <v>SBD</v>
      </c>
      <c r="E41" s="203" t="s">
        <v>81</v>
      </c>
      <c r="G41" s="855">
        <f>ROUND('[15]2020-25 Pricing Schedule'!$L$45/Days_Year,4)</f>
        <v>4.1099999999999998E-2</v>
      </c>
      <c r="H41" s="856">
        <f>'[15]2020-25 Pricing Schedule'!$L$48</f>
        <v>7.1000000000000004E-3</v>
      </c>
      <c r="I41" s="487"/>
      <c r="J41" s="487"/>
      <c r="K41" s="488"/>
      <c r="L41" s="487"/>
      <c r="M41" s="487"/>
      <c r="N41" s="487"/>
      <c r="O41" s="488"/>
      <c r="P41" s="487"/>
      <c r="Q41" s="857">
        <f>'JSO (t-1)'!Q41</f>
        <v>0</v>
      </c>
      <c r="R41" s="858">
        <f>'JSO (t-1)'!R41</f>
        <v>0</v>
      </c>
      <c r="S41" s="491"/>
      <c r="T41" s="487"/>
      <c r="U41" s="492"/>
      <c r="V41" s="493"/>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10.321031999999999</v>
      </c>
      <c r="AP41" s="197">
        <f t="shared" si="18"/>
        <v>122.12</v>
      </c>
      <c r="AQ41" s="192">
        <f t="shared" si="18"/>
        <v>0</v>
      </c>
      <c r="AR41" s="192">
        <f t="shared" si="18"/>
        <v>0</v>
      </c>
      <c r="AS41" s="193">
        <f t="shared" si="18"/>
        <v>0</v>
      </c>
      <c r="AT41" s="192">
        <f t="shared" si="18"/>
        <v>0</v>
      </c>
      <c r="AU41" s="192">
        <f t="shared" si="18"/>
        <v>0</v>
      </c>
      <c r="AV41" s="192">
        <f t="shared" si="18"/>
        <v>0</v>
      </c>
      <c r="AW41" s="193">
        <f t="shared" si="18"/>
        <v>0</v>
      </c>
      <c r="AX41" s="192">
        <f t="shared" si="1"/>
        <v>0</v>
      </c>
      <c r="AY41" s="192">
        <f t="shared" si="1"/>
        <v>0</v>
      </c>
      <c r="AZ41" s="193">
        <f t="shared" si="1"/>
        <v>0</v>
      </c>
      <c r="BA41" s="197">
        <f t="shared" si="1"/>
        <v>0</v>
      </c>
      <c r="BB41" s="192">
        <f t="shared" si="1"/>
        <v>0</v>
      </c>
      <c r="BC41" s="197">
        <f t="shared" si="1"/>
        <v>0</v>
      </c>
      <c r="BD41" s="192">
        <f t="shared" si="1"/>
        <v>0</v>
      </c>
      <c r="BE41" s="246">
        <f t="shared" si="3"/>
        <v>688</v>
      </c>
      <c r="BF41" s="247">
        <f t="shared" si="4"/>
        <v>17200</v>
      </c>
      <c r="BH41" s="255">
        <f>SUM(AO41)</f>
        <v>10.321031999999999</v>
      </c>
      <c r="BI41" s="255">
        <f>SUM(AP41:AS41)</f>
        <v>122.12</v>
      </c>
      <c r="BJ41" s="255">
        <f>SUM(AT41:AW41)</f>
        <v>0</v>
      </c>
      <c r="BK41" s="256">
        <f>SUM(AX41:BB41)</f>
        <v>0</v>
      </c>
      <c r="BL41" s="262">
        <f>SUM(BC41:BD41)</f>
        <v>0</v>
      </c>
      <c r="BM41" s="257">
        <f t="shared" si="5"/>
        <v>132.44103200000001</v>
      </c>
      <c r="BO41" s="714">
        <f t="shared" si="6"/>
        <v>7.7000600000000006</v>
      </c>
    </row>
    <row r="42" spans="2:67" ht="15" customHeight="1" x14ac:dyDescent="0.25">
      <c r="B42" s="30" t="s">
        <v>82</v>
      </c>
      <c r="C42" s="14" t="s">
        <v>83</v>
      </c>
      <c r="D42" s="14"/>
      <c r="E42" s="99"/>
      <c r="G42" s="494"/>
      <c r="H42" s="495"/>
      <c r="I42" s="496"/>
      <c r="J42" s="496"/>
      <c r="K42" s="497"/>
      <c r="L42" s="496"/>
      <c r="M42" s="496"/>
      <c r="N42" s="496"/>
      <c r="O42" s="497"/>
      <c r="P42" s="496"/>
      <c r="Q42" s="496"/>
      <c r="R42" s="497"/>
      <c r="S42" s="495"/>
      <c r="T42" s="496"/>
      <c r="U42" s="495"/>
      <c r="V42" s="497"/>
      <c r="X42" s="205">
        <f>'Q (t)'!G42</f>
        <v>0</v>
      </c>
      <c r="Y42" s="206">
        <f>'Q (t)'!H42</f>
        <v>0</v>
      </c>
      <c r="Z42" s="207">
        <f>'Q (t)'!I42</f>
        <v>0</v>
      </c>
      <c r="AA42" s="207">
        <f>'Q (t)'!J42</f>
        <v>0</v>
      </c>
      <c r="AB42" s="208">
        <f>'Q (t)'!K42</f>
        <v>0</v>
      </c>
      <c r="AC42" s="207">
        <f>'Q (t)'!L42</f>
        <v>0</v>
      </c>
      <c r="AD42" s="207">
        <f>'Q (t)'!M42</f>
        <v>0</v>
      </c>
      <c r="AE42" s="207">
        <f>'Q (t)'!N42</f>
        <v>0</v>
      </c>
      <c r="AF42" s="208">
        <f>'Q (t)'!O42</f>
        <v>0</v>
      </c>
      <c r="AG42" s="207">
        <f>'Q (t)'!P42</f>
        <v>0</v>
      </c>
      <c r="AH42" s="207">
        <f>'Q (t)'!Q42</f>
        <v>0</v>
      </c>
      <c r="AI42" s="208">
        <f>'Q (t)'!R42</f>
        <v>0</v>
      </c>
      <c r="AJ42" s="206">
        <f>'Q (t)'!S42</f>
        <v>0</v>
      </c>
      <c r="AK42" s="207">
        <f>'Q (t)'!T42</f>
        <v>0</v>
      </c>
      <c r="AL42" s="206">
        <f>'Q (t)'!U42</f>
        <v>0</v>
      </c>
      <c r="AM42" s="208">
        <f>'Q (t)'!V42</f>
        <v>0</v>
      </c>
      <c r="AO42" s="205">
        <f t="shared" si="2"/>
        <v>0</v>
      </c>
      <c r="AP42" s="206">
        <f t="shared" si="18"/>
        <v>0</v>
      </c>
      <c r="AQ42" s="207">
        <f t="shared" si="18"/>
        <v>0</v>
      </c>
      <c r="AR42" s="207">
        <f t="shared" si="18"/>
        <v>0</v>
      </c>
      <c r="AS42" s="208">
        <f t="shared" si="18"/>
        <v>0</v>
      </c>
      <c r="AT42" s="207">
        <f t="shared" si="18"/>
        <v>0</v>
      </c>
      <c r="AU42" s="207">
        <f t="shared" si="18"/>
        <v>0</v>
      </c>
      <c r="AV42" s="207">
        <f t="shared" si="18"/>
        <v>0</v>
      </c>
      <c r="AW42" s="208">
        <f t="shared" si="18"/>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0</v>
      </c>
      <c r="BI42" s="253">
        <f>SUBTOTAL(9,BI43:BI69)</f>
        <v>14234.395899999998</v>
      </c>
      <c r="BJ42" s="253">
        <f>SUBTOTAL(9,BJ43:BJ69)</f>
        <v>0</v>
      </c>
      <c r="BK42" s="253">
        <f>SUBTOTAL(9,BK43:BK69)</f>
        <v>0</v>
      </c>
      <c r="BL42" s="253">
        <f>SUBTOTAL(9,BL43:BL69)</f>
        <v>0</v>
      </c>
      <c r="BM42" s="257">
        <f t="shared" si="5"/>
        <v>14234.395899999998</v>
      </c>
      <c r="BO42" s="714" t="str">
        <f t="shared" si="6"/>
        <v/>
      </c>
    </row>
    <row r="43" spans="2:67" ht="15" customHeight="1" x14ac:dyDescent="0.25">
      <c r="B43" s="19"/>
      <c r="C43" s="36" t="s">
        <v>84</v>
      </c>
      <c r="D43" s="37"/>
      <c r="E43" s="85"/>
      <c r="G43" s="482"/>
      <c r="H43" s="479"/>
      <c r="I43" s="461"/>
      <c r="J43" s="461"/>
      <c r="K43" s="462"/>
      <c r="L43" s="461"/>
      <c r="M43" s="461"/>
      <c r="N43" s="461"/>
      <c r="O43" s="462"/>
      <c r="P43" s="461"/>
      <c r="Q43" s="461"/>
      <c r="R43" s="462"/>
      <c r="S43" s="479"/>
      <c r="T43" s="461"/>
      <c r="U43" s="479"/>
      <c r="V43" s="462"/>
      <c r="X43" s="183">
        <f>'Q (t)'!G43</f>
        <v>0</v>
      </c>
      <c r="Y43" s="184">
        <f>'Q (t)'!H43</f>
        <v>0</v>
      </c>
      <c r="Z43" s="178">
        <f>'Q (t)'!I43</f>
        <v>0</v>
      </c>
      <c r="AA43" s="178">
        <f>'Q (t)'!J43</f>
        <v>0</v>
      </c>
      <c r="AB43" s="179">
        <f>'Q (t)'!K43</f>
        <v>0</v>
      </c>
      <c r="AC43" s="178">
        <f>'Q (t)'!L43</f>
        <v>0</v>
      </c>
      <c r="AD43" s="178">
        <f>'Q (t)'!M43</f>
        <v>0</v>
      </c>
      <c r="AE43" s="178">
        <f>'Q (t)'!N43</f>
        <v>0</v>
      </c>
      <c r="AF43" s="179">
        <f>'Q (t)'!O43</f>
        <v>0</v>
      </c>
      <c r="AG43" s="178">
        <f>'Q (t)'!P43</f>
        <v>0</v>
      </c>
      <c r="AH43" s="178">
        <f>'Q (t)'!Q43</f>
        <v>0</v>
      </c>
      <c r="AI43" s="179">
        <f>'Q (t)'!R43</f>
        <v>0</v>
      </c>
      <c r="AJ43" s="184">
        <f>'Q (t)'!S43</f>
        <v>0</v>
      </c>
      <c r="AK43" s="178">
        <f>'Q (t)'!T43</f>
        <v>0</v>
      </c>
      <c r="AL43" s="184">
        <f>'Q (t)'!U43</f>
        <v>0</v>
      </c>
      <c r="AM43" s="179">
        <f>'Q (t)'!V43</f>
        <v>0</v>
      </c>
      <c r="AO43" s="183">
        <f t="shared" si="2"/>
        <v>0</v>
      </c>
      <c r="AP43" s="184">
        <f t="shared" si="18"/>
        <v>0</v>
      </c>
      <c r="AQ43" s="178">
        <f t="shared" si="18"/>
        <v>0</v>
      </c>
      <c r="AR43" s="178">
        <f t="shared" si="18"/>
        <v>0</v>
      </c>
      <c r="AS43" s="179">
        <f t="shared" si="18"/>
        <v>0</v>
      </c>
      <c r="AT43" s="178">
        <f t="shared" si="18"/>
        <v>0</v>
      </c>
      <c r="AU43" s="178">
        <f t="shared" si="18"/>
        <v>0</v>
      </c>
      <c r="AV43" s="178">
        <f t="shared" si="18"/>
        <v>0</v>
      </c>
      <c r="AW43" s="179">
        <f t="shared" si="18"/>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9">B43+1</f>
        <v>1</v>
      </c>
      <c r="C44" s="44" t="s">
        <v>85</v>
      </c>
      <c r="D44" s="45" t="str">
        <f>C44</f>
        <v>LBSR</v>
      </c>
      <c r="E44" s="76" t="s">
        <v>86</v>
      </c>
      <c r="G44" s="850">
        <f>G33</f>
        <v>4.1099999999999998E-2</v>
      </c>
      <c r="H44" s="859">
        <f>ROUND(H33*1.2,4)</f>
        <v>1.0200000000000001E-2</v>
      </c>
      <c r="I44" s="461"/>
      <c r="J44" s="461"/>
      <c r="K44" s="462"/>
      <c r="L44" s="461"/>
      <c r="M44" s="461"/>
      <c r="N44" s="461"/>
      <c r="O44" s="462"/>
      <c r="P44" s="461"/>
      <c r="Q44" s="461"/>
      <c r="R44" s="462"/>
      <c r="S44" s="479"/>
      <c r="T44" s="461"/>
      <c r="U44" s="480"/>
      <c r="V44" s="481"/>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8"/>
        <v>0</v>
      </c>
      <c r="AQ44" s="178">
        <f t="shared" si="18"/>
        <v>0</v>
      </c>
      <c r="AR44" s="178">
        <f t="shared" si="18"/>
        <v>0</v>
      </c>
      <c r="AS44" s="179">
        <f t="shared" si="18"/>
        <v>0</v>
      </c>
      <c r="AT44" s="178">
        <f t="shared" si="18"/>
        <v>0</v>
      </c>
      <c r="AU44" s="178">
        <f t="shared" si="18"/>
        <v>0</v>
      </c>
      <c r="AV44" s="178">
        <f t="shared" si="18"/>
        <v>0</v>
      </c>
      <c r="AW44" s="179">
        <f t="shared" si="18"/>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9"/>
        <v>2</v>
      </c>
      <c r="C45" s="44" t="s">
        <v>87</v>
      </c>
      <c r="D45" s="45" t="str">
        <f>C45</f>
        <v>LBSRCL</v>
      </c>
      <c r="E45" s="76" t="s">
        <v>88</v>
      </c>
      <c r="G45" s="850">
        <f>G34</f>
        <v>4.1099999999999998E-2</v>
      </c>
      <c r="H45" s="859">
        <f>ROUND(H34*1.2,4)</f>
        <v>1.0200000000000001E-2</v>
      </c>
      <c r="I45" s="461"/>
      <c r="J45" s="461"/>
      <c r="K45" s="462"/>
      <c r="L45" s="851">
        <f>L19</f>
        <v>5.5999999999999999E-3</v>
      </c>
      <c r="M45" s="461"/>
      <c r="N45" s="461"/>
      <c r="O45" s="462"/>
      <c r="P45" s="461"/>
      <c r="Q45" s="461"/>
      <c r="R45" s="462"/>
      <c r="S45" s="479"/>
      <c r="T45" s="461"/>
      <c r="U45" s="480"/>
      <c r="V45" s="481"/>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8"/>
        <v>0</v>
      </c>
      <c r="AQ45" s="178">
        <f t="shared" si="18"/>
        <v>0</v>
      </c>
      <c r="AR45" s="178">
        <f t="shared" si="18"/>
        <v>0</v>
      </c>
      <c r="AS45" s="179">
        <f t="shared" si="18"/>
        <v>0</v>
      </c>
      <c r="AT45" s="178">
        <f t="shared" si="18"/>
        <v>0</v>
      </c>
      <c r="AU45" s="178">
        <f t="shared" si="18"/>
        <v>0</v>
      </c>
      <c r="AV45" s="178">
        <f t="shared" si="18"/>
        <v>0</v>
      </c>
      <c r="AW45" s="179">
        <f t="shared" si="18"/>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9"/>
        <v>3</v>
      </c>
      <c r="C46" s="44" t="s">
        <v>89</v>
      </c>
      <c r="D46" s="45" t="str">
        <f>C46</f>
        <v>LB2R</v>
      </c>
      <c r="E46" s="76" t="s">
        <v>90</v>
      </c>
      <c r="G46" s="850">
        <f>G35</f>
        <v>4.1099999999999998E-2</v>
      </c>
      <c r="H46" s="479"/>
      <c r="I46" s="860">
        <f>ROUND(I35*1.2,4)</f>
        <v>1.15E-2</v>
      </c>
      <c r="J46" s="461"/>
      <c r="K46" s="861">
        <f>ROUND(K35*1.2,4)</f>
        <v>5.5999999999999999E-3</v>
      </c>
      <c r="L46" s="461"/>
      <c r="M46" s="461"/>
      <c r="N46" s="461"/>
      <c r="O46" s="462"/>
      <c r="P46" s="461"/>
      <c r="Q46" s="461"/>
      <c r="R46" s="462"/>
      <c r="S46" s="479"/>
      <c r="T46" s="461"/>
      <c r="U46" s="480"/>
      <c r="V46" s="481"/>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8"/>
        <v>0</v>
      </c>
      <c r="AQ46" s="178">
        <f t="shared" si="18"/>
        <v>0</v>
      </c>
      <c r="AR46" s="178">
        <f t="shared" si="18"/>
        <v>0</v>
      </c>
      <c r="AS46" s="179">
        <f t="shared" si="18"/>
        <v>0</v>
      </c>
      <c r="AT46" s="178">
        <f t="shared" si="18"/>
        <v>0</v>
      </c>
      <c r="AU46" s="178">
        <f t="shared" si="18"/>
        <v>0</v>
      </c>
      <c r="AV46" s="178">
        <f t="shared" si="18"/>
        <v>0</v>
      </c>
      <c r="AW46" s="179">
        <f t="shared" si="18"/>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9"/>
        <v>4</v>
      </c>
      <c r="C47" s="44" t="s">
        <v>91</v>
      </c>
      <c r="D47" s="45" t="str">
        <f>C47</f>
        <v>LB2RCL</v>
      </c>
      <c r="E47" s="104" t="s">
        <v>92</v>
      </c>
      <c r="G47" s="850">
        <f>G36</f>
        <v>4.1099999999999998E-2</v>
      </c>
      <c r="H47" s="479"/>
      <c r="I47" s="860">
        <f>ROUND(I36*1.2,4)</f>
        <v>1.15E-2</v>
      </c>
      <c r="J47" s="461"/>
      <c r="K47" s="861">
        <f>ROUND(K36*1.2,4)</f>
        <v>5.5999999999999999E-3</v>
      </c>
      <c r="L47" s="851">
        <f>L19</f>
        <v>5.5999999999999999E-3</v>
      </c>
      <c r="M47" s="461"/>
      <c r="N47" s="461"/>
      <c r="O47" s="462"/>
      <c r="P47" s="461"/>
      <c r="Q47" s="461"/>
      <c r="R47" s="462"/>
      <c r="S47" s="479"/>
      <c r="T47" s="461"/>
      <c r="U47" s="480"/>
      <c r="V47" s="481"/>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8"/>
        <v>0</v>
      </c>
      <c r="AQ47" s="178">
        <f t="shared" si="18"/>
        <v>0</v>
      </c>
      <c r="AR47" s="178">
        <f t="shared" si="18"/>
        <v>0</v>
      </c>
      <c r="AS47" s="179">
        <f t="shared" si="18"/>
        <v>0</v>
      </c>
      <c r="AT47" s="178">
        <f t="shared" si="18"/>
        <v>0</v>
      </c>
      <c r="AU47" s="178">
        <f t="shared" si="18"/>
        <v>0</v>
      </c>
      <c r="AV47" s="178">
        <f t="shared" si="18"/>
        <v>0</v>
      </c>
      <c r="AW47" s="179">
        <f t="shared" si="18"/>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c r="H48" s="479"/>
      <c r="I48" s="461"/>
      <c r="J48" s="461"/>
      <c r="K48" s="462"/>
      <c r="L48" s="461"/>
      <c r="M48" s="461"/>
      <c r="N48" s="461"/>
      <c r="O48" s="462"/>
      <c r="P48" s="461"/>
      <c r="Q48" s="461"/>
      <c r="R48" s="462"/>
      <c r="S48" s="479"/>
      <c r="T48" s="461"/>
      <c r="U48" s="479"/>
      <c r="V48" s="462"/>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8"/>
        <v>0</v>
      </c>
      <c r="AQ48" s="178">
        <f t="shared" si="18"/>
        <v>0</v>
      </c>
      <c r="AR48" s="178">
        <f t="shared" si="18"/>
        <v>0</v>
      </c>
      <c r="AS48" s="179">
        <f t="shared" si="18"/>
        <v>0</v>
      </c>
      <c r="AT48" s="178">
        <f t="shared" si="18"/>
        <v>0</v>
      </c>
      <c r="AU48" s="178">
        <f t="shared" si="18"/>
        <v>0</v>
      </c>
      <c r="AV48" s="178">
        <f t="shared" si="18"/>
        <v>0</v>
      </c>
      <c r="AW48" s="179">
        <f t="shared" si="18"/>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0</v>
      </c>
      <c r="BI48" s="252">
        <f>SUBTOTAL(9,BI49:BI69)</f>
        <v>14234.395899999998</v>
      </c>
      <c r="BJ48" s="252">
        <f>SUBTOTAL(9,BJ49:BJ69)</f>
        <v>0</v>
      </c>
      <c r="BK48" s="252">
        <f>SUBTOTAL(9,BK49:BK69)</f>
        <v>0</v>
      </c>
      <c r="BL48" s="252">
        <f>SUBTOTAL(9,BL49:BL69)</f>
        <v>0</v>
      </c>
      <c r="BM48" s="257">
        <f t="shared" si="5"/>
        <v>14234.395899999998</v>
      </c>
      <c r="BO48" s="714" t="str">
        <f t="shared" si="6"/>
        <v/>
      </c>
    </row>
    <row r="49" spans="2:67" ht="15" customHeight="1" x14ac:dyDescent="0.25">
      <c r="B49" s="19">
        <f>B47+1</f>
        <v>5</v>
      </c>
      <c r="C49" s="44" t="s">
        <v>579</v>
      </c>
      <c r="D49" s="45" t="s">
        <v>580</v>
      </c>
      <c r="E49" s="105" t="s">
        <v>94</v>
      </c>
      <c r="G49" s="477">
        <f>ROUND('[15]JSO (t)'!G47*$BT$133,4)</f>
        <v>0</v>
      </c>
      <c r="H49" s="479"/>
      <c r="I49" s="483">
        <f>ROUND('[15]JSO (t)'!I47*$BT$133,4)</f>
        <v>6.6E-3</v>
      </c>
      <c r="J49" s="461"/>
      <c r="K49" s="484">
        <f>ROUND('[15]JSO (t)'!K47*$BT$133,4)</f>
        <v>4.1000000000000003E-3</v>
      </c>
      <c r="L49" s="461"/>
      <c r="M49" s="461"/>
      <c r="N49" s="461"/>
      <c r="O49" s="462"/>
      <c r="P49" s="461"/>
      <c r="Q49" s="461"/>
      <c r="R49" s="462"/>
      <c r="S49" s="478">
        <f>ROUND('[15]JSO (t)'!S47*$BT$133,4)</f>
        <v>0</v>
      </c>
      <c r="T49" s="483">
        <f>ROUND('[15]JSO (t)'!T47*$BT$133,4)</f>
        <v>0</v>
      </c>
      <c r="U49" s="480"/>
      <c r="V49" s="481"/>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0</v>
      </c>
      <c r="AP49" s="184">
        <f t="shared" si="18"/>
        <v>0</v>
      </c>
      <c r="AQ49" s="178">
        <f t="shared" si="18"/>
        <v>8513.0033999999996</v>
      </c>
      <c r="AR49" s="178">
        <f t="shared" si="18"/>
        <v>0</v>
      </c>
      <c r="AS49" s="179">
        <f t="shared" si="18"/>
        <v>4722.1627000000008</v>
      </c>
      <c r="AT49" s="178">
        <f t="shared" si="18"/>
        <v>0</v>
      </c>
      <c r="AU49" s="178">
        <f t="shared" si="18"/>
        <v>0</v>
      </c>
      <c r="AV49" s="178">
        <f t="shared" si="18"/>
        <v>0</v>
      </c>
      <c r="AW49" s="179">
        <f t="shared" si="18"/>
        <v>0</v>
      </c>
      <c r="AX49" s="178">
        <f t="shared" si="1"/>
        <v>0</v>
      </c>
      <c r="AY49" s="178">
        <f t="shared" si="1"/>
        <v>0</v>
      </c>
      <c r="AZ49" s="179">
        <f t="shared" si="1"/>
        <v>0</v>
      </c>
      <c r="BA49" s="184">
        <f t="shared" si="1"/>
        <v>0</v>
      </c>
      <c r="BB49" s="178">
        <f t="shared" si="1"/>
        <v>0</v>
      </c>
      <c r="BC49" s="184">
        <f t="shared" si="1"/>
        <v>0</v>
      </c>
      <c r="BD49" s="178">
        <f t="shared" si="1"/>
        <v>0</v>
      </c>
      <c r="BE49" s="244">
        <f t="shared" si="3"/>
        <v>5025</v>
      </c>
      <c r="BF49" s="245">
        <f t="shared" si="4"/>
        <v>2441596</v>
      </c>
      <c r="BH49" s="255">
        <f t="shared" ref="BH49:BH69" si="20">SUM(AO49)</f>
        <v>0</v>
      </c>
      <c r="BI49" s="255">
        <f t="shared" ref="BI49:BI69" si="21">SUM(AP49:AS49)</f>
        <v>13235.1661</v>
      </c>
      <c r="BJ49" s="255">
        <f t="shared" ref="BJ49:BJ69" si="22">SUM(AT49:AW49)</f>
        <v>0</v>
      </c>
      <c r="BK49" s="256">
        <f t="shared" ref="BK49:BK69" si="23">SUM(AX49:BB49)</f>
        <v>0</v>
      </c>
      <c r="BL49" s="262">
        <f t="shared" ref="BL49:BL69" si="24">SUM(BC49:BD49)</f>
        <v>0</v>
      </c>
      <c r="BM49" s="257">
        <f t="shared" si="5"/>
        <v>13235.1661</v>
      </c>
      <c r="BO49" s="714">
        <f t="shared" si="6"/>
        <v>5.4207027288707881</v>
      </c>
    </row>
    <row r="50" spans="2:67" ht="15" customHeight="1" x14ac:dyDescent="0.25">
      <c r="B50" s="19">
        <f t="shared" si="19"/>
        <v>6</v>
      </c>
      <c r="C50" s="44" t="s">
        <v>577</v>
      </c>
      <c r="D50" s="45" t="s">
        <v>581</v>
      </c>
      <c r="E50" s="105" t="s">
        <v>95</v>
      </c>
      <c r="G50" s="477">
        <f>ROUND('[15]JSO (t)'!G48*$BT$133,4)</f>
        <v>0</v>
      </c>
      <c r="H50" s="479"/>
      <c r="I50" s="483">
        <f>ROUND('[15]JSO (t)'!I48*$BT$133,4)</f>
        <v>6.6E-3</v>
      </c>
      <c r="J50" s="461"/>
      <c r="K50" s="484">
        <f>ROUND('[15]JSO (t)'!K48*$BT$133,4)</f>
        <v>4.1000000000000003E-3</v>
      </c>
      <c r="L50" s="461"/>
      <c r="M50" s="461"/>
      <c r="N50" s="461"/>
      <c r="O50" s="462"/>
      <c r="P50" s="483">
        <f>ROUND('[15]JSO (t)'!P48*$BT$133,4)</f>
        <v>0</v>
      </c>
      <c r="Q50" s="461"/>
      <c r="R50" s="462"/>
      <c r="S50" s="479"/>
      <c r="T50" s="483">
        <f>ROUND('[15]JSO (t)'!T48*$BT$133,4)</f>
        <v>0</v>
      </c>
      <c r="U50" s="480"/>
      <c r="V50" s="481"/>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0</v>
      </c>
      <c r="AP50" s="184">
        <f t="shared" si="18"/>
        <v>0</v>
      </c>
      <c r="AQ50" s="178">
        <f>I50*Z50</f>
        <v>477.97199999999998</v>
      </c>
      <c r="AR50" s="178">
        <f t="shared" si="18"/>
        <v>0</v>
      </c>
      <c r="AS50" s="179">
        <f t="shared" si="18"/>
        <v>214.14300000000003</v>
      </c>
      <c r="AT50" s="178">
        <f t="shared" si="18"/>
        <v>0</v>
      </c>
      <c r="AU50" s="178">
        <f t="shared" si="18"/>
        <v>0</v>
      </c>
      <c r="AV50" s="178">
        <f t="shared" si="18"/>
        <v>0</v>
      </c>
      <c r="AW50" s="179">
        <f t="shared" si="18"/>
        <v>0</v>
      </c>
      <c r="AX50" s="178">
        <f t="shared" si="1"/>
        <v>0</v>
      </c>
      <c r="AY50" s="178">
        <f t="shared" si="1"/>
        <v>0</v>
      </c>
      <c r="AZ50" s="179">
        <f t="shared" si="1"/>
        <v>0</v>
      </c>
      <c r="BA50" s="184">
        <f t="shared" si="1"/>
        <v>0</v>
      </c>
      <c r="BB50" s="178">
        <f t="shared" si="1"/>
        <v>0</v>
      </c>
      <c r="BC50" s="184">
        <f t="shared" si="1"/>
        <v>0</v>
      </c>
      <c r="BD50" s="178">
        <f t="shared" si="1"/>
        <v>0</v>
      </c>
      <c r="BE50" s="244">
        <f t="shared" si="3"/>
        <v>277</v>
      </c>
      <c r="BF50" s="245">
        <f t="shared" si="4"/>
        <v>124650</v>
      </c>
      <c r="BH50" s="255">
        <f t="shared" si="20"/>
        <v>0</v>
      </c>
      <c r="BI50" s="255">
        <f t="shared" si="21"/>
        <v>692.11500000000001</v>
      </c>
      <c r="BJ50" s="255">
        <f t="shared" si="22"/>
        <v>0</v>
      </c>
      <c r="BK50" s="256">
        <f t="shared" si="23"/>
        <v>0</v>
      </c>
      <c r="BL50" s="262">
        <f t="shared" si="24"/>
        <v>0</v>
      </c>
      <c r="BM50" s="257">
        <f t="shared" si="5"/>
        <v>692.11500000000001</v>
      </c>
      <c r="BO50" s="714">
        <f t="shared" si="6"/>
        <v>5.5524669073405537</v>
      </c>
    </row>
    <row r="51" spans="2:67" ht="15" customHeight="1" x14ac:dyDescent="0.25">
      <c r="B51" s="19">
        <f t="shared" si="19"/>
        <v>7</v>
      </c>
      <c r="C51" s="833" t="s">
        <v>578</v>
      </c>
      <c r="D51" s="834" t="s">
        <v>582</v>
      </c>
      <c r="E51" s="835" t="s">
        <v>96</v>
      </c>
      <c r="G51" s="482"/>
      <c r="H51" s="479"/>
      <c r="I51" s="461"/>
      <c r="J51" s="461"/>
      <c r="K51" s="462"/>
      <c r="L51" s="461"/>
      <c r="M51" s="461"/>
      <c r="N51" s="461"/>
      <c r="O51" s="462"/>
      <c r="P51" s="461"/>
      <c r="Q51" s="461"/>
      <c r="R51" s="462"/>
      <c r="S51" s="479"/>
      <c r="T51" s="461"/>
      <c r="U51" s="479"/>
      <c r="V51" s="462"/>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8"/>
        <v>0</v>
      </c>
      <c r="AQ51" s="178">
        <f t="shared" si="18"/>
        <v>0</v>
      </c>
      <c r="AR51" s="178">
        <f t="shared" si="18"/>
        <v>0</v>
      </c>
      <c r="AS51" s="179">
        <f t="shared" si="18"/>
        <v>0</v>
      </c>
      <c r="AT51" s="178">
        <f t="shared" si="18"/>
        <v>0</v>
      </c>
      <c r="AU51" s="178">
        <f t="shared" si="18"/>
        <v>0</v>
      </c>
      <c r="AV51" s="178">
        <f t="shared" si="18"/>
        <v>0</v>
      </c>
      <c r="AW51" s="179">
        <f t="shared" si="18"/>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20"/>
        <v>0</v>
      </c>
      <c r="BI51" s="255">
        <f t="shared" si="21"/>
        <v>0</v>
      </c>
      <c r="BJ51" s="255">
        <f t="shared" si="22"/>
        <v>0</v>
      </c>
      <c r="BK51" s="256">
        <f t="shared" si="23"/>
        <v>0</v>
      </c>
      <c r="BL51" s="262">
        <f t="shared" si="24"/>
        <v>0</v>
      </c>
      <c r="BM51" s="257">
        <f t="shared" si="5"/>
        <v>0</v>
      </c>
      <c r="BO51" s="714" t="str">
        <f t="shared" si="6"/>
        <v/>
      </c>
    </row>
    <row r="52" spans="2:67" ht="15" customHeight="1" x14ac:dyDescent="0.25">
      <c r="B52" s="19">
        <f t="shared" si="19"/>
        <v>8</v>
      </c>
      <c r="C52" s="44" t="s">
        <v>97</v>
      </c>
      <c r="D52" s="45" t="s">
        <v>97</v>
      </c>
      <c r="E52" s="105" t="s">
        <v>98</v>
      </c>
      <c r="G52" s="850">
        <f>ROUND('[15]2020-25 Pricing Schedule'!$L$76/Days_Year,4)</f>
        <v>0</v>
      </c>
      <c r="H52" s="859">
        <f>'[15]2020-25 Pricing Schedule'!$L$79</f>
        <v>5.1999999999999998E-3</v>
      </c>
      <c r="I52" s="461"/>
      <c r="J52" s="461"/>
      <c r="K52" s="462"/>
      <c r="L52" s="461"/>
      <c r="M52" s="461"/>
      <c r="N52" s="461"/>
      <c r="O52" s="462"/>
      <c r="P52" s="461"/>
      <c r="Q52" s="860">
        <f>'JSO (t-1)'!Q52</f>
        <v>0</v>
      </c>
      <c r="R52" s="861">
        <f>'JSO (t-1)'!R52</f>
        <v>0</v>
      </c>
      <c r="S52" s="479"/>
      <c r="T52" s="461"/>
      <c r="U52" s="480"/>
      <c r="V52" s="481"/>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0</v>
      </c>
      <c r="AP52" s="184">
        <f t="shared" si="18"/>
        <v>52</v>
      </c>
      <c r="AQ52" s="178">
        <f t="shared" si="18"/>
        <v>0</v>
      </c>
      <c r="AR52" s="178">
        <f t="shared" si="18"/>
        <v>0</v>
      </c>
      <c r="AS52" s="179">
        <f t="shared" si="18"/>
        <v>0</v>
      </c>
      <c r="AT52" s="178">
        <f t="shared" si="18"/>
        <v>0</v>
      </c>
      <c r="AU52" s="178">
        <f t="shared" si="18"/>
        <v>0</v>
      </c>
      <c r="AV52" s="178">
        <f t="shared" si="18"/>
        <v>0</v>
      </c>
      <c r="AW52" s="179">
        <f t="shared" si="18"/>
        <v>0</v>
      </c>
      <c r="AX52" s="178">
        <f t="shared" si="1"/>
        <v>0</v>
      </c>
      <c r="AY52" s="178">
        <f t="shared" si="1"/>
        <v>0</v>
      </c>
      <c r="AZ52" s="179">
        <f t="shared" si="1"/>
        <v>0</v>
      </c>
      <c r="BA52" s="184">
        <f t="shared" si="1"/>
        <v>0</v>
      </c>
      <c r="BB52" s="178">
        <f t="shared" si="1"/>
        <v>0</v>
      </c>
      <c r="BC52" s="184">
        <f t="shared" si="1"/>
        <v>0</v>
      </c>
      <c r="BD52" s="178">
        <f t="shared" si="1"/>
        <v>0</v>
      </c>
      <c r="BE52" s="244">
        <f t="shared" si="3"/>
        <v>34</v>
      </c>
      <c r="BF52" s="245">
        <f t="shared" ref="BF52:BF79" si="25">SUM(Y52:AF52)</f>
        <v>10000</v>
      </c>
      <c r="BH52" s="255">
        <f t="shared" si="20"/>
        <v>0</v>
      </c>
      <c r="BI52" s="255">
        <f t="shared" si="21"/>
        <v>52</v>
      </c>
      <c r="BJ52" s="255">
        <f t="shared" si="22"/>
        <v>0</v>
      </c>
      <c r="BK52" s="256">
        <f t="shared" si="23"/>
        <v>0</v>
      </c>
      <c r="BL52" s="262">
        <f t="shared" si="24"/>
        <v>0</v>
      </c>
      <c r="BM52" s="257">
        <f t="shared" si="5"/>
        <v>52</v>
      </c>
      <c r="BO52" s="714">
        <f t="shared" si="6"/>
        <v>5.2</v>
      </c>
    </row>
    <row r="53" spans="2:67" ht="15" customHeight="1" x14ac:dyDescent="0.25">
      <c r="B53" s="19">
        <f t="shared" si="19"/>
        <v>9</v>
      </c>
      <c r="C53" s="44" t="s">
        <v>583</v>
      </c>
      <c r="D53" s="45" t="s">
        <v>584</v>
      </c>
      <c r="E53" s="105" t="s">
        <v>99</v>
      </c>
      <c r="G53" s="477">
        <f>ROUND('[15]JSO (t)'!G51*$BT$133,4)</f>
        <v>0</v>
      </c>
      <c r="H53" s="479"/>
      <c r="I53" s="483">
        <f>ROUND('[15]JSO (t)'!I51*$BT$133,4)</f>
        <v>0</v>
      </c>
      <c r="J53" s="461"/>
      <c r="K53" s="484">
        <f>ROUND('[15]JSO (t)'!K51*$BT$133,4)</f>
        <v>0</v>
      </c>
      <c r="L53" s="461"/>
      <c r="M53" s="461"/>
      <c r="N53" s="461"/>
      <c r="O53" s="462"/>
      <c r="P53" s="461"/>
      <c r="Q53" s="461"/>
      <c r="R53" s="462"/>
      <c r="S53" s="478">
        <f>ROUND('[15]JSO (t)'!S51*$BT$133,4)</f>
        <v>0</v>
      </c>
      <c r="T53" s="483">
        <f>ROUND('[15]JSO (t)'!T51*$BT$133,4)</f>
        <v>0</v>
      </c>
      <c r="U53" s="480"/>
      <c r="V53" s="481"/>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0</v>
      </c>
      <c r="AP53" s="184">
        <f t="shared" si="18"/>
        <v>0</v>
      </c>
      <c r="AQ53" s="178">
        <f t="shared" si="18"/>
        <v>0</v>
      </c>
      <c r="AR53" s="178">
        <f t="shared" si="18"/>
        <v>0</v>
      </c>
      <c r="AS53" s="179">
        <f t="shared" si="18"/>
        <v>0</v>
      </c>
      <c r="AT53" s="178">
        <f t="shared" si="18"/>
        <v>0</v>
      </c>
      <c r="AU53" s="178">
        <f t="shared" si="18"/>
        <v>0</v>
      </c>
      <c r="AV53" s="178">
        <f t="shared" si="18"/>
        <v>0</v>
      </c>
      <c r="AW53" s="179">
        <f t="shared" si="18"/>
        <v>0</v>
      </c>
      <c r="AX53" s="178">
        <f t="shared" si="1"/>
        <v>0</v>
      </c>
      <c r="AY53" s="178">
        <f t="shared" si="1"/>
        <v>0</v>
      </c>
      <c r="AZ53" s="179">
        <f t="shared" si="1"/>
        <v>0</v>
      </c>
      <c r="BA53" s="184">
        <f t="shared" ref="BA53:BD114" si="26">S53*AJ53/1000</f>
        <v>0</v>
      </c>
      <c r="BB53" s="178">
        <f t="shared" si="26"/>
        <v>0</v>
      </c>
      <c r="BC53" s="184">
        <f t="shared" si="26"/>
        <v>0</v>
      </c>
      <c r="BD53" s="178">
        <f t="shared" si="26"/>
        <v>0</v>
      </c>
      <c r="BE53" s="244">
        <f t="shared" si="3"/>
        <v>4</v>
      </c>
      <c r="BF53" s="245">
        <f t="shared" si="25"/>
        <v>1300</v>
      </c>
      <c r="BH53" s="255">
        <f t="shared" si="20"/>
        <v>0</v>
      </c>
      <c r="BI53" s="255">
        <f t="shared" si="21"/>
        <v>0</v>
      </c>
      <c r="BJ53" s="255">
        <f t="shared" si="22"/>
        <v>0</v>
      </c>
      <c r="BK53" s="256">
        <f t="shared" si="23"/>
        <v>0</v>
      </c>
      <c r="BL53" s="262">
        <f t="shared" si="24"/>
        <v>0</v>
      </c>
      <c r="BM53" s="257">
        <f t="shared" si="5"/>
        <v>0</v>
      </c>
      <c r="BO53" s="714">
        <f t="shared" si="6"/>
        <v>0</v>
      </c>
    </row>
    <row r="54" spans="2:67" ht="15" customHeight="1" x14ac:dyDescent="0.25">
      <c r="B54" s="19"/>
      <c r="C54" s="785"/>
      <c r="D54" s="772"/>
      <c r="E54" s="836" t="s">
        <v>100</v>
      </c>
      <c r="G54" s="482"/>
      <c r="H54" s="479"/>
      <c r="I54" s="461"/>
      <c r="J54" s="461"/>
      <c r="K54" s="462"/>
      <c r="L54" s="461"/>
      <c r="M54" s="461"/>
      <c r="N54" s="461"/>
      <c r="O54" s="462"/>
      <c r="P54" s="461"/>
      <c r="Q54" s="461"/>
      <c r="R54" s="462"/>
      <c r="S54" s="479"/>
      <c r="T54" s="461"/>
      <c r="U54" s="479"/>
      <c r="V54" s="462"/>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ref="AO54:AO68" si="27">G54*X54/1000</f>
        <v>0</v>
      </c>
      <c r="AP54" s="184">
        <f t="shared" ref="AP54:AP68" si="28">H54*Y54</f>
        <v>0</v>
      </c>
      <c r="AQ54" s="178">
        <f t="shared" ref="AQ54:AQ68" si="29">I54*Z54</f>
        <v>0</v>
      </c>
      <c r="AR54" s="178">
        <f t="shared" ref="AR54:AR68" si="30">J54*AA54</f>
        <v>0</v>
      </c>
      <c r="AS54" s="179">
        <f t="shared" ref="AS54:AS68" si="31">K54*AB54</f>
        <v>0</v>
      </c>
      <c r="AT54" s="178">
        <f t="shared" ref="AT54:AT68" si="32">L54*AC54</f>
        <v>0</v>
      </c>
      <c r="AU54" s="178">
        <f t="shared" ref="AU54:AU68" si="33">M54*AD54</f>
        <v>0</v>
      </c>
      <c r="AV54" s="178">
        <f t="shared" ref="AV54:AV68" si="34">N54*AE54</f>
        <v>0</v>
      </c>
      <c r="AW54" s="179">
        <f t="shared" ref="AW54:AW68" si="35">O54*AF54</f>
        <v>0</v>
      </c>
      <c r="AX54" s="178">
        <f t="shared" ref="AX54:AX68" si="36">P54*AG54/1000</f>
        <v>0</v>
      </c>
      <c r="AY54" s="178">
        <f t="shared" ref="AY54:AY68" si="37">Q54*AH54/1000</f>
        <v>0</v>
      </c>
      <c r="AZ54" s="179">
        <f t="shared" ref="AZ54:AZ68" si="38">R54*AI54/1000</f>
        <v>0</v>
      </c>
      <c r="BA54" s="184">
        <f t="shared" ref="BA54:BA68" si="39">S54*AJ54/1000</f>
        <v>0</v>
      </c>
      <c r="BB54" s="178">
        <f t="shared" ref="BB54:BB68" si="40">T54*AK54/1000</f>
        <v>0</v>
      </c>
      <c r="BC54" s="184">
        <f t="shared" ref="BC54:BC68" si="41">U54*AL54/1000</f>
        <v>0</v>
      </c>
      <c r="BD54" s="178">
        <f t="shared" ref="BD54:BD68" si="42">V54*AM54/1000</f>
        <v>0</v>
      </c>
      <c r="BE54" s="244">
        <f t="shared" ref="BE54:BE68" si="43">X54/$BE$7</f>
        <v>0</v>
      </c>
      <c r="BF54" s="245">
        <f t="shared" ref="BF54:BF68" si="44">SUM(Y54:AF54)</f>
        <v>0</v>
      </c>
      <c r="BH54" s="255">
        <f t="shared" ref="BH54:BH68" si="45">SUM(AO54)</f>
        <v>0</v>
      </c>
      <c r="BI54" s="255">
        <f t="shared" ref="BI54:BI68" si="46">SUM(AP54:AS54)</f>
        <v>0</v>
      </c>
      <c r="BJ54" s="255">
        <f t="shared" ref="BJ54:BJ68" si="47">SUM(AT54:AW54)</f>
        <v>0</v>
      </c>
      <c r="BK54" s="256">
        <f t="shared" ref="BK54:BK68" si="48">SUM(AX54:BB54)</f>
        <v>0</v>
      </c>
      <c r="BL54" s="262">
        <f t="shared" ref="BL54:BL68" si="49">SUM(BC54:BD54)</f>
        <v>0</v>
      </c>
      <c r="BM54" s="257">
        <f t="shared" ref="BM54:BM68" si="50">SUM(BH54:BL54)</f>
        <v>0</v>
      </c>
      <c r="BO54" s="714" t="str">
        <f t="shared" ref="BO54:BO68" si="51">IF(BF54=0,"",BM54*1000/BF54)</f>
        <v/>
      </c>
    </row>
    <row r="55" spans="2:67" ht="15" customHeight="1" x14ac:dyDescent="0.25">
      <c r="B55" s="19">
        <f>B53+1</f>
        <v>10</v>
      </c>
      <c r="C55" s="44" t="s">
        <v>705</v>
      </c>
      <c r="D55" s="45"/>
      <c r="E55" s="105" t="s">
        <v>94</v>
      </c>
      <c r="G55" s="862">
        <f>'Cust Specific'!T10</f>
        <v>0</v>
      </c>
      <c r="H55" s="479"/>
      <c r="I55" s="851">
        <f>'Cust Specific'!T13</f>
        <v>6.6E-3</v>
      </c>
      <c r="J55" s="461"/>
      <c r="K55" s="852">
        <f>'Cust Specific'!T14</f>
        <v>4.1000000000000003E-3</v>
      </c>
      <c r="L55" s="461"/>
      <c r="M55" s="461"/>
      <c r="N55" s="461"/>
      <c r="O55" s="462"/>
      <c r="P55" s="461"/>
      <c r="Q55" s="461"/>
      <c r="R55" s="462"/>
      <c r="S55" s="863">
        <f>'Cust Specific'!T11</f>
        <v>0</v>
      </c>
      <c r="T55" s="851">
        <f>'Cust Specific'!T12</f>
        <v>0</v>
      </c>
      <c r="U55" s="480"/>
      <c r="V55" s="481"/>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si="27"/>
        <v>0</v>
      </c>
      <c r="AP55" s="184">
        <f t="shared" si="28"/>
        <v>0</v>
      </c>
      <c r="AQ55" s="178">
        <f t="shared" si="29"/>
        <v>5.9004000000000003</v>
      </c>
      <c r="AR55" s="178">
        <f t="shared" si="30"/>
        <v>0</v>
      </c>
      <c r="AS55" s="179">
        <f t="shared" si="31"/>
        <v>4.3255000000000008</v>
      </c>
      <c r="AT55" s="178">
        <f t="shared" si="32"/>
        <v>0</v>
      </c>
      <c r="AU55" s="178">
        <f t="shared" si="33"/>
        <v>0</v>
      </c>
      <c r="AV55" s="178">
        <f t="shared" si="34"/>
        <v>0</v>
      </c>
      <c r="AW55" s="179">
        <f t="shared" si="35"/>
        <v>0</v>
      </c>
      <c r="AX55" s="178">
        <f t="shared" si="36"/>
        <v>0</v>
      </c>
      <c r="AY55" s="178">
        <f t="shared" si="37"/>
        <v>0</v>
      </c>
      <c r="AZ55" s="179">
        <f t="shared" si="38"/>
        <v>0</v>
      </c>
      <c r="BA55" s="184">
        <f t="shared" si="39"/>
        <v>0</v>
      </c>
      <c r="BB55" s="178">
        <f t="shared" si="40"/>
        <v>0</v>
      </c>
      <c r="BC55" s="184">
        <f t="shared" si="41"/>
        <v>0</v>
      </c>
      <c r="BD55" s="178">
        <f t="shared" si="42"/>
        <v>0</v>
      </c>
      <c r="BE55" s="244">
        <f t="shared" si="43"/>
        <v>1</v>
      </c>
      <c r="BF55" s="245">
        <f t="shared" si="44"/>
        <v>1949</v>
      </c>
      <c r="BH55" s="255">
        <f t="shared" si="45"/>
        <v>0</v>
      </c>
      <c r="BI55" s="255">
        <f t="shared" si="46"/>
        <v>10.225900000000001</v>
      </c>
      <c r="BJ55" s="255">
        <f t="shared" si="47"/>
        <v>0</v>
      </c>
      <c r="BK55" s="256">
        <f t="shared" si="48"/>
        <v>0</v>
      </c>
      <c r="BL55" s="262">
        <f t="shared" si="49"/>
        <v>0</v>
      </c>
      <c r="BM55" s="257">
        <f t="shared" si="50"/>
        <v>10.225900000000001</v>
      </c>
      <c r="BO55" s="714">
        <f t="shared" si="51"/>
        <v>5.2467419189327869</v>
      </c>
    </row>
    <row r="56" spans="2:67" ht="15" customHeight="1" x14ac:dyDescent="0.25">
      <c r="B56" s="19">
        <f t="shared" ref="B56:B69" si="52">B55+1</f>
        <v>11</v>
      </c>
      <c r="C56" s="44" t="s">
        <v>567</v>
      </c>
      <c r="D56" s="834"/>
      <c r="E56" s="105" t="s">
        <v>94</v>
      </c>
      <c r="G56" s="862">
        <f>('Cust Specific'!T18)</f>
        <v>0</v>
      </c>
      <c r="H56" s="479"/>
      <c r="I56" s="851">
        <f>'Cust Specific'!T21</f>
        <v>6.6E-3</v>
      </c>
      <c r="J56" s="461"/>
      <c r="K56" s="852">
        <f>'Cust Specific'!T22</f>
        <v>4.1000000000000003E-3</v>
      </c>
      <c r="L56" s="461"/>
      <c r="M56" s="461"/>
      <c r="N56" s="461"/>
      <c r="O56" s="462"/>
      <c r="P56" s="461"/>
      <c r="Q56" s="461"/>
      <c r="R56" s="462"/>
      <c r="S56" s="863">
        <f>'Cust Specific'!T19</f>
        <v>0</v>
      </c>
      <c r="T56" s="851">
        <f>'Cust Specific'!T20</f>
        <v>0</v>
      </c>
      <c r="U56" s="480"/>
      <c r="V56" s="481"/>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7"/>
        <v>0</v>
      </c>
      <c r="AP56" s="184">
        <f t="shared" si="28"/>
        <v>0</v>
      </c>
      <c r="AQ56" s="178">
        <f t="shared" si="29"/>
        <v>3.9005999999999998</v>
      </c>
      <c r="AR56" s="178">
        <f t="shared" si="30"/>
        <v>0</v>
      </c>
      <c r="AS56" s="179">
        <f t="shared" si="31"/>
        <v>8.0032000000000014</v>
      </c>
      <c r="AT56" s="178">
        <f t="shared" si="32"/>
        <v>0</v>
      </c>
      <c r="AU56" s="178">
        <f t="shared" si="33"/>
        <v>0</v>
      </c>
      <c r="AV56" s="178">
        <f t="shared" si="34"/>
        <v>0</v>
      </c>
      <c r="AW56" s="179">
        <f t="shared" si="35"/>
        <v>0</v>
      </c>
      <c r="AX56" s="178">
        <f t="shared" si="36"/>
        <v>0</v>
      </c>
      <c r="AY56" s="178">
        <f t="shared" si="37"/>
        <v>0</v>
      </c>
      <c r="AZ56" s="179">
        <f t="shared" si="38"/>
        <v>0</v>
      </c>
      <c r="BA56" s="184">
        <f t="shared" si="39"/>
        <v>0</v>
      </c>
      <c r="BB56" s="178">
        <f t="shared" si="40"/>
        <v>0</v>
      </c>
      <c r="BC56" s="184">
        <f t="shared" si="41"/>
        <v>0</v>
      </c>
      <c r="BD56" s="178">
        <f t="shared" si="42"/>
        <v>0</v>
      </c>
      <c r="BE56" s="244">
        <f t="shared" si="43"/>
        <v>1</v>
      </c>
      <c r="BF56" s="245">
        <f t="shared" si="44"/>
        <v>2543</v>
      </c>
      <c r="BH56" s="255">
        <f t="shared" si="45"/>
        <v>0</v>
      </c>
      <c r="BI56" s="255">
        <f t="shared" si="46"/>
        <v>11.9038</v>
      </c>
      <c r="BJ56" s="255">
        <f t="shared" si="47"/>
        <v>0</v>
      </c>
      <c r="BK56" s="256">
        <f t="shared" si="48"/>
        <v>0</v>
      </c>
      <c r="BL56" s="262">
        <f t="shared" si="49"/>
        <v>0</v>
      </c>
      <c r="BM56" s="257">
        <f t="shared" si="50"/>
        <v>11.9038</v>
      </c>
      <c r="BO56" s="714">
        <f t="shared" si="51"/>
        <v>4.6810066850176959</v>
      </c>
    </row>
    <row r="57" spans="2:67" ht="15" customHeight="1" x14ac:dyDescent="0.25">
      <c r="B57" s="19">
        <f t="shared" si="52"/>
        <v>12</v>
      </c>
      <c r="C57" s="833" t="s">
        <v>568</v>
      </c>
      <c r="D57" s="834"/>
      <c r="E57" s="835" t="s">
        <v>94</v>
      </c>
      <c r="G57" s="482"/>
      <c r="H57" s="479"/>
      <c r="I57" s="461"/>
      <c r="J57" s="461"/>
      <c r="K57" s="462"/>
      <c r="L57" s="461"/>
      <c r="M57" s="461"/>
      <c r="N57" s="461"/>
      <c r="O57" s="462"/>
      <c r="P57" s="461"/>
      <c r="Q57" s="461"/>
      <c r="R57" s="462"/>
      <c r="S57" s="479"/>
      <c r="T57" s="461"/>
      <c r="U57" s="480"/>
      <c r="V57" s="481"/>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7"/>
        <v>0</v>
      </c>
      <c r="AP57" s="184">
        <f t="shared" si="28"/>
        <v>0</v>
      </c>
      <c r="AQ57" s="178">
        <f t="shared" si="29"/>
        <v>0</v>
      </c>
      <c r="AR57" s="178">
        <f t="shared" si="30"/>
        <v>0</v>
      </c>
      <c r="AS57" s="179">
        <f t="shared" si="31"/>
        <v>0</v>
      </c>
      <c r="AT57" s="178">
        <f t="shared" si="32"/>
        <v>0</v>
      </c>
      <c r="AU57" s="178">
        <f t="shared" si="33"/>
        <v>0</v>
      </c>
      <c r="AV57" s="178">
        <f t="shared" si="34"/>
        <v>0</v>
      </c>
      <c r="AW57" s="179">
        <f t="shared" si="35"/>
        <v>0</v>
      </c>
      <c r="AX57" s="178">
        <f t="shared" si="36"/>
        <v>0</v>
      </c>
      <c r="AY57" s="178">
        <f t="shared" si="37"/>
        <v>0</v>
      </c>
      <c r="AZ57" s="179">
        <f t="shared" si="38"/>
        <v>0</v>
      </c>
      <c r="BA57" s="184">
        <f t="shared" si="39"/>
        <v>0</v>
      </c>
      <c r="BB57" s="178">
        <f t="shared" si="40"/>
        <v>0</v>
      </c>
      <c r="BC57" s="184">
        <f t="shared" si="41"/>
        <v>0</v>
      </c>
      <c r="BD57" s="178">
        <f t="shared" si="42"/>
        <v>0</v>
      </c>
      <c r="BE57" s="244">
        <f t="shared" si="43"/>
        <v>0</v>
      </c>
      <c r="BF57" s="245">
        <f t="shared" si="44"/>
        <v>0</v>
      </c>
      <c r="BH57" s="255">
        <f t="shared" si="45"/>
        <v>0</v>
      </c>
      <c r="BI57" s="255">
        <f t="shared" si="46"/>
        <v>0</v>
      </c>
      <c r="BJ57" s="255">
        <f t="shared" si="47"/>
        <v>0</v>
      </c>
      <c r="BK57" s="256">
        <f t="shared" si="48"/>
        <v>0</v>
      </c>
      <c r="BL57" s="262">
        <f t="shared" si="49"/>
        <v>0</v>
      </c>
      <c r="BM57" s="257">
        <f t="shared" si="50"/>
        <v>0</v>
      </c>
      <c r="BO57" s="714" t="str">
        <f t="shared" si="51"/>
        <v/>
      </c>
    </row>
    <row r="58" spans="2:67" ht="15" customHeight="1" x14ac:dyDescent="0.25">
      <c r="B58" s="19">
        <f t="shared" si="52"/>
        <v>13</v>
      </c>
      <c r="C58" s="44" t="s">
        <v>569</v>
      </c>
      <c r="D58" s="834"/>
      <c r="E58" s="105" t="s">
        <v>94</v>
      </c>
      <c r="G58" s="862">
        <f>('Cust Specific'!T34)</f>
        <v>0</v>
      </c>
      <c r="H58" s="479"/>
      <c r="I58" s="851">
        <f>'Cust Specific'!T37</f>
        <v>6.6E-3</v>
      </c>
      <c r="J58" s="461"/>
      <c r="K58" s="852">
        <f>'Cust Specific'!T38</f>
        <v>4.1000000000000003E-3</v>
      </c>
      <c r="L58" s="461"/>
      <c r="M58" s="461"/>
      <c r="N58" s="461"/>
      <c r="O58" s="462"/>
      <c r="P58" s="461"/>
      <c r="Q58" s="461"/>
      <c r="R58" s="462"/>
      <c r="S58" s="863">
        <f>'Cust Specific'!T35</f>
        <v>0</v>
      </c>
      <c r="T58" s="851">
        <f>'Cust Specific'!T36</f>
        <v>0</v>
      </c>
      <c r="U58" s="480"/>
      <c r="V58" s="481"/>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7"/>
        <v>0</v>
      </c>
      <c r="AP58" s="184">
        <f t="shared" si="28"/>
        <v>0</v>
      </c>
      <c r="AQ58" s="178">
        <f t="shared" si="29"/>
        <v>6.4878</v>
      </c>
      <c r="AR58" s="178">
        <f t="shared" si="30"/>
        <v>0</v>
      </c>
      <c r="AS58" s="179">
        <f t="shared" si="31"/>
        <v>4.7150000000000007</v>
      </c>
      <c r="AT58" s="178">
        <f t="shared" si="32"/>
        <v>0</v>
      </c>
      <c r="AU58" s="178">
        <f t="shared" si="33"/>
        <v>0</v>
      </c>
      <c r="AV58" s="178">
        <f t="shared" si="34"/>
        <v>0</v>
      </c>
      <c r="AW58" s="179">
        <f t="shared" si="35"/>
        <v>0</v>
      </c>
      <c r="AX58" s="178">
        <f t="shared" si="36"/>
        <v>0</v>
      </c>
      <c r="AY58" s="178">
        <f t="shared" si="37"/>
        <v>0</v>
      </c>
      <c r="AZ58" s="179">
        <f t="shared" si="38"/>
        <v>0</v>
      </c>
      <c r="BA58" s="184">
        <f t="shared" si="39"/>
        <v>0</v>
      </c>
      <c r="BB58" s="178">
        <f t="shared" si="40"/>
        <v>0</v>
      </c>
      <c r="BC58" s="184">
        <f t="shared" si="41"/>
        <v>0</v>
      </c>
      <c r="BD58" s="178">
        <f t="shared" si="42"/>
        <v>0</v>
      </c>
      <c r="BE58" s="244">
        <f t="shared" si="43"/>
        <v>1</v>
      </c>
      <c r="BF58" s="245">
        <f t="shared" si="44"/>
        <v>2133</v>
      </c>
      <c r="BH58" s="255">
        <f t="shared" si="45"/>
        <v>0</v>
      </c>
      <c r="BI58" s="255">
        <f t="shared" si="46"/>
        <v>11.2028</v>
      </c>
      <c r="BJ58" s="255">
        <f t="shared" si="47"/>
        <v>0</v>
      </c>
      <c r="BK58" s="256">
        <f t="shared" si="48"/>
        <v>0</v>
      </c>
      <c r="BL58" s="262">
        <f t="shared" si="49"/>
        <v>0</v>
      </c>
      <c r="BM58" s="257">
        <f t="shared" si="50"/>
        <v>11.2028</v>
      </c>
      <c r="BO58" s="714">
        <f t="shared" si="51"/>
        <v>5.2521331458040317</v>
      </c>
    </row>
    <row r="59" spans="2:67" ht="15" customHeight="1" x14ac:dyDescent="0.25">
      <c r="B59" s="19">
        <f t="shared" si="52"/>
        <v>14</v>
      </c>
      <c r="C59" s="44" t="s">
        <v>570</v>
      </c>
      <c r="D59" s="834"/>
      <c r="E59" s="105" t="s">
        <v>94</v>
      </c>
      <c r="G59" s="862">
        <f>('Cust Specific'!T42)</f>
        <v>0</v>
      </c>
      <c r="H59" s="479"/>
      <c r="I59" s="851">
        <f>'Cust Specific'!T45</f>
        <v>6.6E-3</v>
      </c>
      <c r="J59" s="461"/>
      <c r="K59" s="852">
        <f>'Cust Specific'!T46</f>
        <v>4.1000000000000003E-3</v>
      </c>
      <c r="L59" s="461"/>
      <c r="M59" s="461"/>
      <c r="N59" s="461"/>
      <c r="O59" s="462"/>
      <c r="P59" s="461"/>
      <c r="Q59" s="461"/>
      <c r="R59" s="462"/>
      <c r="S59" s="863">
        <f>'Cust Specific'!T43</f>
        <v>0</v>
      </c>
      <c r="T59" s="851">
        <f>'Cust Specific'!T44</f>
        <v>0</v>
      </c>
      <c r="U59" s="480"/>
      <c r="V59" s="481"/>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7"/>
        <v>0</v>
      </c>
      <c r="AP59" s="184">
        <f t="shared" si="28"/>
        <v>0</v>
      </c>
      <c r="AQ59" s="178">
        <f t="shared" si="29"/>
        <v>6.5868000000000002</v>
      </c>
      <c r="AR59" s="178">
        <f t="shared" si="30"/>
        <v>0</v>
      </c>
      <c r="AS59" s="179">
        <f t="shared" si="31"/>
        <v>8.3599000000000014</v>
      </c>
      <c r="AT59" s="178">
        <f t="shared" si="32"/>
        <v>0</v>
      </c>
      <c r="AU59" s="178">
        <f t="shared" si="33"/>
        <v>0</v>
      </c>
      <c r="AV59" s="178">
        <f t="shared" si="34"/>
        <v>0</v>
      </c>
      <c r="AW59" s="179">
        <f t="shared" si="35"/>
        <v>0</v>
      </c>
      <c r="AX59" s="178">
        <f t="shared" si="36"/>
        <v>0</v>
      </c>
      <c r="AY59" s="178">
        <f t="shared" si="37"/>
        <v>0</v>
      </c>
      <c r="AZ59" s="179">
        <f t="shared" si="38"/>
        <v>0</v>
      </c>
      <c r="BA59" s="184">
        <f t="shared" si="39"/>
        <v>0</v>
      </c>
      <c r="BB59" s="178">
        <f t="shared" si="40"/>
        <v>0</v>
      </c>
      <c r="BC59" s="184">
        <f t="shared" si="41"/>
        <v>0</v>
      </c>
      <c r="BD59" s="178">
        <f t="shared" si="42"/>
        <v>0</v>
      </c>
      <c r="BE59" s="244">
        <f t="shared" si="43"/>
        <v>1</v>
      </c>
      <c r="BF59" s="245">
        <f t="shared" si="44"/>
        <v>3037</v>
      </c>
      <c r="BH59" s="255">
        <f t="shared" si="45"/>
        <v>0</v>
      </c>
      <c r="BI59" s="255">
        <f t="shared" si="46"/>
        <v>14.946700000000002</v>
      </c>
      <c r="BJ59" s="255">
        <f t="shared" si="47"/>
        <v>0</v>
      </c>
      <c r="BK59" s="256">
        <f t="shared" si="48"/>
        <v>0</v>
      </c>
      <c r="BL59" s="262">
        <f t="shared" si="49"/>
        <v>0</v>
      </c>
      <c r="BM59" s="257">
        <f t="shared" si="50"/>
        <v>14.946700000000002</v>
      </c>
      <c r="BO59" s="714">
        <f t="shared" si="51"/>
        <v>4.9215344089562079</v>
      </c>
    </row>
    <row r="60" spans="2:67" ht="15" customHeight="1" x14ac:dyDescent="0.25">
      <c r="B60" s="19">
        <f t="shared" si="52"/>
        <v>15</v>
      </c>
      <c r="C60" s="44" t="s">
        <v>572</v>
      </c>
      <c r="D60" s="45"/>
      <c r="E60" s="105" t="s">
        <v>94</v>
      </c>
      <c r="G60" s="862">
        <f>('Cust Specific'!T50)</f>
        <v>0</v>
      </c>
      <c r="H60" s="479"/>
      <c r="I60" s="851">
        <f>'Cust Specific'!T53</f>
        <v>6.6E-3</v>
      </c>
      <c r="J60" s="461"/>
      <c r="K60" s="852">
        <f>'Cust Specific'!T54</f>
        <v>4.1000000000000003E-3</v>
      </c>
      <c r="L60" s="461"/>
      <c r="M60" s="461"/>
      <c r="N60" s="461"/>
      <c r="O60" s="462"/>
      <c r="P60" s="461"/>
      <c r="Q60" s="461"/>
      <c r="R60" s="462"/>
      <c r="S60" s="863">
        <f>'Cust Specific'!T51</f>
        <v>0</v>
      </c>
      <c r="T60" s="851">
        <f>'Cust Specific'!T52</f>
        <v>0</v>
      </c>
      <c r="U60" s="480"/>
      <c r="V60" s="481"/>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7"/>
        <v>0</v>
      </c>
      <c r="AP60" s="184">
        <f t="shared" si="28"/>
        <v>0</v>
      </c>
      <c r="AQ60" s="178">
        <f t="shared" si="29"/>
        <v>23.4102</v>
      </c>
      <c r="AR60" s="178">
        <f t="shared" si="30"/>
        <v>0</v>
      </c>
      <c r="AS60" s="179">
        <f t="shared" si="31"/>
        <v>13.070800000000002</v>
      </c>
      <c r="AT60" s="178">
        <f t="shared" si="32"/>
        <v>0</v>
      </c>
      <c r="AU60" s="178">
        <f t="shared" si="33"/>
        <v>0</v>
      </c>
      <c r="AV60" s="178">
        <f t="shared" si="34"/>
        <v>0</v>
      </c>
      <c r="AW60" s="179">
        <f t="shared" si="35"/>
        <v>0</v>
      </c>
      <c r="AX60" s="178">
        <f t="shared" si="36"/>
        <v>0</v>
      </c>
      <c r="AY60" s="178">
        <f t="shared" si="37"/>
        <v>0</v>
      </c>
      <c r="AZ60" s="179">
        <f t="shared" si="38"/>
        <v>0</v>
      </c>
      <c r="BA60" s="184">
        <f t="shared" si="39"/>
        <v>0</v>
      </c>
      <c r="BB60" s="178">
        <f t="shared" si="40"/>
        <v>0</v>
      </c>
      <c r="BC60" s="184">
        <f t="shared" si="41"/>
        <v>0</v>
      </c>
      <c r="BD60" s="178">
        <f t="shared" si="42"/>
        <v>0</v>
      </c>
      <c r="BE60" s="244">
        <f t="shared" si="43"/>
        <v>1</v>
      </c>
      <c r="BF60" s="245">
        <f t="shared" si="44"/>
        <v>6735</v>
      </c>
      <c r="BH60" s="255">
        <f t="shared" si="45"/>
        <v>0</v>
      </c>
      <c r="BI60" s="255">
        <f t="shared" si="46"/>
        <v>36.481000000000002</v>
      </c>
      <c r="BJ60" s="255">
        <f t="shared" si="47"/>
        <v>0</v>
      </c>
      <c r="BK60" s="256">
        <f t="shared" si="48"/>
        <v>0</v>
      </c>
      <c r="BL60" s="262">
        <f t="shared" si="49"/>
        <v>0</v>
      </c>
      <c r="BM60" s="257">
        <f t="shared" si="50"/>
        <v>36.481000000000002</v>
      </c>
      <c r="BO60" s="714">
        <f t="shared" si="51"/>
        <v>5.4166295471417962</v>
      </c>
    </row>
    <row r="61" spans="2:67" ht="15" customHeight="1" x14ac:dyDescent="0.25">
      <c r="B61" s="19">
        <f t="shared" si="52"/>
        <v>16</v>
      </c>
      <c r="C61" s="44" t="s">
        <v>651</v>
      </c>
      <c r="D61" s="45"/>
      <c r="E61" s="105" t="s">
        <v>94</v>
      </c>
      <c r="G61" s="862">
        <f>('Cust Specific'!T58)</f>
        <v>0</v>
      </c>
      <c r="H61" s="479"/>
      <c r="I61" s="851">
        <f>'Cust Specific'!T61</f>
        <v>6.6E-3</v>
      </c>
      <c r="J61" s="461"/>
      <c r="K61" s="852">
        <f>'Cust Specific'!T62</f>
        <v>4.1000000000000003E-3</v>
      </c>
      <c r="L61" s="461"/>
      <c r="M61" s="461"/>
      <c r="N61" s="461"/>
      <c r="O61" s="462"/>
      <c r="P61" s="461"/>
      <c r="Q61" s="461"/>
      <c r="R61" s="462"/>
      <c r="S61" s="863">
        <f>'Cust Specific'!T59</f>
        <v>0</v>
      </c>
      <c r="T61" s="851">
        <f>'Cust Specific'!T60</f>
        <v>0</v>
      </c>
      <c r="U61" s="480"/>
      <c r="V61" s="481"/>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7"/>
        <v>0</v>
      </c>
      <c r="AP61" s="184">
        <f t="shared" si="28"/>
        <v>0</v>
      </c>
      <c r="AQ61" s="178">
        <f t="shared" si="29"/>
        <v>2.4750000000000001</v>
      </c>
      <c r="AR61" s="178">
        <f t="shared" si="30"/>
        <v>0</v>
      </c>
      <c r="AS61" s="179">
        <f t="shared" si="31"/>
        <v>4.4649000000000001</v>
      </c>
      <c r="AT61" s="178">
        <f t="shared" si="32"/>
        <v>0</v>
      </c>
      <c r="AU61" s="178">
        <f t="shared" si="33"/>
        <v>0</v>
      </c>
      <c r="AV61" s="178">
        <f t="shared" si="34"/>
        <v>0</v>
      </c>
      <c r="AW61" s="179">
        <f t="shared" si="35"/>
        <v>0</v>
      </c>
      <c r="AX61" s="178">
        <f t="shared" si="36"/>
        <v>0</v>
      </c>
      <c r="AY61" s="178">
        <f t="shared" si="37"/>
        <v>0</v>
      </c>
      <c r="AZ61" s="179">
        <f t="shared" si="38"/>
        <v>0</v>
      </c>
      <c r="BA61" s="184">
        <f t="shared" si="39"/>
        <v>0</v>
      </c>
      <c r="BB61" s="178">
        <f t="shared" si="40"/>
        <v>0</v>
      </c>
      <c r="BC61" s="184">
        <f t="shared" si="41"/>
        <v>0</v>
      </c>
      <c r="BD61" s="178">
        <f t="shared" si="42"/>
        <v>0</v>
      </c>
      <c r="BE61" s="244">
        <f t="shared" si="43"/>
        <v>1</v>
      </c>
      <c r="BF61" s="245">
        <f t="shared" si="44"/>
        <v>1464</v>
      </c>
      <c r="BH61" s="255">
        <f t="shared" si="45"/>
        <v>0</v>
      </c>
      <c r="BI61" s="255">
        <f t="shared" si="46"/>
        <v>6.9398999999999997</v>
      </c>
      <c r="BJ61" s="255">
        <f t="shared" si="47"/>
        <v>0</v>
      </c>
      <c r="BK61" s="256">
        <f t="shared" si="48"/>
        <v>0</v>
      </c>
      <c r="BL61" s="262">
        <f t="shared" si="49"/>
        <v>0</v>
      </c>
      <c r="BM61" s="257">
        <f t="shared" si="50"/>
        <v>6.9398999999999997</v>
      </c>
      <c r="BO61" s="714">
        <f t="shared" si="51"/>
        <v>4.7403688524590164</v>
      </c>
    </row>
    <row r="62" spans="2:67" ht="15" customHeight="1" x14ac:dyDescent="0.25">
      <c r="B62" s="19">
        <f t="shared" si="52"/>
        <v>17</v>
      </c>
      <c r="C62" s="44" t="s">
        <v>707</v>
      </c>
      <c r="D62" s="45"/>
      <c r="E62" s="105" t="s">
        <v>94</v>
      </c>
      <c r="G62" s="862">
        <f>('Cust Specific'!T66)</f>
        <v>0</v>
      </c>
      <c r="H62" s="479"/>
      <c r="I62" s="851">
        <f>'Cust Specific'!T69</f>
        <v>6.6E-3</v>
      </c>
      <c r="J62" s="461"/>
      <c r="K62" s="852">
        <f>'Cust Specific'!T70</f>
        <v>4.1000000000000003E-3</v>
      </c>
      <c r="L62" s="461"/>
      <c r="M62" s="461"/>
      <c r="N62" s="461"/>
      <c r="O62" s="462"/>
      <c r="P62" s="461"/>
      <c r="Q62" s="461"/>
      <c r="R62" s="462"/>
      <c r="S62" s="863">
        <f>'Cust Specific'!T67</f>
        <v>0</v>
      </c>
      <c r="T62" s="851">
        <f>'Cust Specific'!T68</f>
        <v>0</v>
      </c>
      <c r="U62" s="480"/>
      <c r="V62" s="481"/>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7"/>
        <v>0</v>
      </c>
      <c r="AP62" s="184">
        <f t="shared" si="28"/>
        <v>0</v>
      </c>
      <c r="AQ62" s="178">
        <f t="shared" si="29"/>
        <v>7.7615999999999996</v>
      </c>
      <c r="AR62" s="178">
        <f t="shared" si="30"/>
        <v>0</v>
      </c>
      <c r="AS62" s="179">
        <f t="shared" si="31"/>
        <v>8.4419000000000004</v>
      </c>
      <c r="AT62" s="178">
        <f t="shared" si="32"/>
        <v>0</v>
      </c>
      <c r="AU62" s="178">
        <f t="shared" si="33"/>
        <v>0</v>
      </c>
      <c r="AV62" s="178">
        <f t="shared" si="34"/>
        <v>0</v>
      </c>
      <c r="AW62" s="179">
        <f t="shared" si="35"/>
        <v>0</v>
      </c>
      <c r="AX62" s="178">
        <f t="shared" si="36"/>
        <v>0</v>
      </c>
      <c r="AY62" s="178">
        <f t="shared" si="37"/>
        <v>0</v>
      </c>
      <c r="AZ62" s="179">
        <f t="shared" si="38"/>
        <v>0</v>
      </c>
      <c r="BA62" s="184">
        <f t="shared" si="39"/>
        <v>0</v>
      </c>
      <c r="BB62" s="178">
        <f t="shared" si="40"/>
        <v>0</v>
      </c>
      <c r="BC62" s="184">
        <f t="shared" si="41"/>
        <v>0</v>
      </c>
      <c r="BD62" s="178">
        <f t="shared" si="42"/>
        <v>0</v>
      </c>
      <c r="BE62" s="244">
        <f t="shared" si="43"/>
        <v>1</v>
      </c>
      <c r="BF62" s="245">
        <f t="shared" si="44"/>
        <v>3235</v>
      </c>
      <c r="BH62" s="255">
        <f t="shared" si="45"/>
        <v>0</v>
      </c>
      <c r="BI62" s="255">
        <f t="shared" si="46"/>
        <v>16.203499999999998</v>
      </c>
      <c r="BJ62" s="255">
        <f t="shared" si="47"/>
        <v>0</v>
      </c>
      <c r="BK62" s="256">
        <f t="shared" si="48"/>
        <v>0</v>
      </c>
      <c r="BL62" s="262">
        <f t="shared" si="49"/>
        <v>0</v>
      </c>
      <c r="BM62" s="257">
        <f t="shared" si="50"/>
        <v>16.203499999999998</v>
      </c>
      <c r="BO62" s="714">
        <f t="shared" si="51"/>
        <v>5.0088098918083457</v>
      </c>
    </row>
    <row r="63" spans="2:67" ht="15" customHeight="1" x14ac:dyDescent="0.25">
      <c r="B63" s="19">
        <f t="shared" si="52"/>
        <v>18</v>
      </c>
      <c r="C63" s="44" t="s">
        <v>571</v>
      </c>
      <c r="D63" s="45"/>
      <c r="E63" s="105" t="s">
        <v>94</v>
      </c>
      <c r="G63" s="862">
        <f>('Cust Specific'!T74)</f>
        <v>0</v>
      </c>
      <c r="H63" s="479"/>
      <c r="I63" s="851">
        <f>'Cust Specific'!T77</f>
        <v>6.6E-3</v>
      </c>
      <c r="J63" s="461"/>
      <c r="K63" s="852">
        <f>'Cust Specific'!T78</f>
        <v>4.1000000000000003E-3</v>
      </c>
      <c r="L63" s="461"/>
      <c r="M63" s="461"/>
      <c r="N63" s="461"/>
      <c r="O63" s="462"/>
      <c r="P63" s="461"/>
      <c r="Q63" s="461"/>
      <c r="R63" s="462"/>
      <c r="S63" s="863">
        <f>'Cust Specific'!T75</f>
        <v>0</v>
      </c>
      <c r="T63" s="851">
        <f>'Cust Specific'!T76</f>
        <v>0</v>
      </c>
      <c r="U63" s="480"/>
      <c r="V63" s="481"/>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7"/>
        <v>0</v>
      </c>
      <c r="AP63" s="184">
        <f t="shared" si="28"/>
        <v>0</v>
      </c>
      <c r="AQ63" s="178">
        <f t="shared" si="29"/>
        <v>2.8380000000000001</v>
      </c>
      <c r="AR63" s="178">
        <f t="shared" si="30"/>
        <v>0</v>
      </c>
      <c r="AS63" s="179">
        <f t="shared" si="31"/>
        <v>2.3206000000000002</v>
      </c>
      <c r="AT63" s="178">
        <f t="shared" si="32"/>
        <v>0</v>
      </c>
      <c r="AU63" s="178">
        <f t="shared" si="33"/>
        <v>0</v>
      </c>
      <c r="AV63" s="178">
        <f t="shared" si="34"/>
        <v>0</v>
      </c>
      <c r="AW63" s="179">
        <f t="shared" si="35"/>
        <v>0</v>
      </c>
      <c r="AX63" s="178">
        <f t="shared" si="36"/>
        <v>0</v>
      </c>
      <c r="AY63" s="178">
        <f t="shared" si="37"/>
        <v>0</v>
      </c>
      <c r="AZ63" s="179">
        <f t="shared" si="38"/>
        <v>0</v>
      </c>
      <c r="BA63" s="184">
        <f t="shared" si="39"/>
        <v>0</v>
      </c>
      <c r="BB63" s="178">
        <f t="shared" si="40"/>
        <v>0</v>
      </c>
      <c r="BC63" s="184">
        <f t="shared" si="41"/>
        <v>0</v>
      </c>
      <c r="BD63" s="178">
        <f t="shared" si="42"/>
        <v>0</v>
      </c>
      <c r="BE63" s="244">
        <f t="shared" si="43"/>
        <v>1</v>
      </c>
      <c r="BF63" s="245">
        <f t="shared" si="44"/>
        <v>996</v>
      </c>
      <c r="BH63" s="255">
        <f t="shared" si="45"/>
        <v>0</v>
      </c>
      <c r="BI63" s="255">
        <f t="shared" si="46"/>
        <v>5.1585999999999999</v>
      </c>
      <c r="BJ63" s="255">
        <f t="shared" si="47"/>
        <v>0</v>
      </c>
      <c r="BK63" s="256">
        <f t="shared" si="48"/>
        <v>0</v>
      </c>
      <c r="BL63" s="262">
        <f t="shared" si="49"/>
        <v>0</v>
      </c>
      <c r="BM63" s="257">
        <f t="shared" si="50"/>
        <v>5.1585999999999999</v>
      </c>
      <c r="BO63" s="714">
        <f t="shared" si="51"/>
        <v>5.1793172690763045</v>
      </c>
    </row>
    <row r="64" spans="2:67" ht="15" customHeight="1" x14ac:dyDescent="0.25">
      <c r="B64" s="19">
        <f t="shared" si="52"/>
        <v>19</v>
      </c>
      <c r="C64" s="44" t="s">
        <v>573</v>
      </c>
      <c r="D64" s="45"/>
      <c r="E64" s="105" t="s">
        <v>94</v>
      </c>
      <c r="G64" s="862">
        <f>('Cust Specific'!T82)</f>
        <v>0</v>
      </c>
      <c r="H64" s="479"/>
      <c r="I64" s="851">
        <f>'Cust Specific'!T85</f>
        <v>6.6E-3</v>
      </c>
      <c r="J64" s="461"/>
      <c r="K64" s="852">
        <f>'Cust Specific'!T86</f>
        <v>4.1000000000000003E-3</v>
      </c>
      <c r="L64" s="461"/>
      <c r="M64" s="461"/>
      <c r="N64" s="461"/>
      <c r="O64" s="462"/>
      <c r="P64" s="461"/>
      <c r="Q64" s="461"/>
      <c r="R64" s="462"/>
      <c r="S64" s="863">
        <f>'Cust Specific'!T83</f>
        <v>0</v>
      </c>
      <c r="T64" s="851">
        <f>'Cust Specific'!T84</f>
        <v>0</v>
      </c>
      <c r="U64" s="480"/>
      <c r="V64" s="481"/>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7"/>
        <v>0</v>
      </c>
      <c r="AP64" s="184">
        <f t="shared" si="28"/>
        <v>0</v>
      </c>
      <c r="AQ64" s="178">
        <f t="shared" si="29"/>
        <v>2.4948000000000001</v>
      </c>
      <c r="AR64" s="178">
        <f t="shared" si="30"/>
        <v>0</v>
      </c>
      <c r="AS64" s="179">
        <f t="shared" si="31"/>
        <v>2.4641000000000002</v>
      </c>
      <c r="AT64" s="178">
        <f t="shared" si="32"/>
        <v>0</v>
      </c>
      <c r="AU64" s="178">
        <f t="shared" si="33"/>
        <v>0</v>
      </c>
      <c r="AV64" s="178">
        <f t="shared" si="34"/>
        <v>0</v>
      </c>
      <c r="AW64" s="179">
        <f t="shared" si="35"/>
        <v>0</v>
      </c>
      <c r="AX64" s="178">
        <f t="shared" si="36"/>
        <v>0</v>
      </c>
      <c r="AY64" s="178">
        <f t="shared" si="37"/>
        <v>0</v>
      </c>
      <c r="AZ64" s="179">
        <f t="shared" si="38"/>
        <v>0</v>
      </c>
      <c r="BA64" s="184">
        <f t="shared" si="39"/>
        <v>0</v>
      </c>
      <c r="BB64" s="178">
        <f t="shared" si="40"/>
        <v>0</v>
      </c>
      <c r="BC64" s="184">
        <f t="shared" si="41"/>
        <v>0</v>
      </c>
      <c r="BD64" s="178">
        <f t="shared" si="42"/>
        <v>0</v>
      </c>
      <c r="BE64" s="244">
        <f t="shared" si="43"/>
        <v>1</v>
      </c>
      <c r="BF64" s="245">
        <f t="shared" si="44"/>
        <v>979</v>
      </c>
      <c r="BH64" s="255">
        <f t="shared" si="45"/>
        <v>0</v>
      </c>
      <c r="BI64" s="255">
        <f t="shared" si="46"/>
        <v>4.9588999999999999</v>
      </c>
      <c r="BJ64" s="255">
        <f t="shared" si="47"/>
        <v>0</v>
      </c>
      <c r="BK64" s="256">
        <f t="shared" si="48"/>
        <v>0</v>
      </c>
      <c r="BL64" s="262">
        <f t="shared" si="49"/>
        <v>0</v>
      </c>
      <c r="BM64" s="257">
        <f t="shared" si="50"/>
        <v>4.9588999999999999</v>
      </c>
      <c r="BO64" s="714">
        <f t="shared" si="51"/>
        <v>5.0652706843718072</v>
      </c>
    </row>
    <row r="65" spans="2:67" ht="15" customHeight="1" x14ac:dyDescent="0.25">
      <c r="B65" s="19">
        <f t="shared" si="52"/>
        <v>20</v>
      </c>
      <c r="C65" s="833" t="s">
        <v>574</v>
      </c>
      <c r="D65" s="834"/>
      <c r="E65" s="835" t="s">
        <v>94</v>
      </c>
      <c r="G65" s="482"/>
      <c r="H65" s="479"/>
      <c r="I65" s="461"/>
      <c r="J65" s="461"/>
      <c r="K65" s="462"/>
      <c r="L65" s="461"/>
      <c r="M65" s="461"/>
      <c r="N65" s="461"/>
      <c r="O65" s="462"/>
      <c r="P65" s="461"/>
      <c r="Q65" s="461"/>
      <c r="R65" s="462"/>
      <c r="S65" s="479"/>
      <c r="T65" s="461"/>
      <c r="U65" s="480"/>
      <c r="V65" s="481"/>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7"/>
        <v>0</v>
      </c>
      <c r="AP65" s="184">
        <f t="shared" si="28"/>
        <v>0</v>
      </c>
      <c r="AQ65" s="178">
        <f t="shared" si="29"/>
        <v>0</v>
      </c>
      <c r="AR65" s="178">
        <f t="shared" si="30"/>
        <v>0</v>
      </c>
      <c r="AS65" s="179">
        <f t="shared" si="31"/>
        <v>0</v>
      </c>
      <c r="AT65" s="178">
        <f t="shared" si="32"/>
        <v>0</v>
      </c>
      <c r="AU65" s="178">
        <f t="shared" si="33"/>
        <v>0</v>
      </c>
      <c r="AV65" s="178">
        <f t="shared" si="34"/>
        <v>0</v>
      </c>
      <c r="AW65" s="179">
        <f t="shared" si="35"/>
        <v>0</v>
      </c>
      <c r="AX65" s="178">
        <f t="shared" si="36"/>
        <v>0</v>
      </c>
      <c r="AY65" s="178">
        <f t="shared" si="37"/>
        <v>0</v>
      </c>
      <c r="AZ65" s="179">
        <f t="shared" si="38"/>
        <v>0</v>
      </c>
      <c r="BA65" s="184">
        <f t="shared" si="39"/>
        <v>0</v>
      </c>
      <c r="BB65" s="178">
        <f t="shared" si="40"/>
        <v>0</v>
      </c>
      <c r="BC65" s="184">
        <f t="shared" si="41"/>
        <v>0</v>
      </c>
      <c r="BD65" s="178">
        <f t="shared" si="42"/>
        <v>0</v>
      </c>
      <c r="BE65" s="244">
        <f t="shared" si="43"/>
        <v>0</v>
      </c>
      <c r="BF65" s="245">
        <f t="shared" si="44"/>
        <v>0</v>
      </c>
      <c r="BH65" s="255">
        <f t="shared" si="45"/>
        <v>0</v>
      </c>
      <c r="BI65" s="255">
        <f t="shared" si="46"/>
        <v>0</v>
      </c>
      <c r="BJ65" s="255">
        <f t="shared" si="47"/>
        <v>0</v>
      </c>
      <c r="BK65" s="256">
        <f t="shared" si="48"/>
        <v>0</v>
      </c>
      <c r="BL65" s="262">
        <f t="shared" si="49"/>
        <v>0</v>
      </c>
      <c r="BM65" s="257">
        <f t="shared" si="50"/>
        <v>0</v>
      </c>
      <c r="BO65" s="714" t="str">
        <f t="shared" si="51"/>
        <v/>
      </c>
    </row>
    <row r="66" spans="2:67" ht="15" customHeight="1" x14ac:dyDescent="0.25">
      <c r="B66" s="19">
        <f t="shared" si="52"/>
        <v>21</v>
      </c>
      <c r="C66" s="44" t="s">
        <v>706</v>
      </c>
      <c r="D66" s="45"/>
      <c r="E66" s="105" t="s">
        <v>94</v>
      </c>
      <c r="G66" s="862">
        <f>('Cust Specific'!T98)</f>
        <v>0</v>
      </c>
      <c r="H66" s="479"/>
      <c r="I66" s="851">
        <f>'Cust Specific'!T101</f>
        <v>6.6E-3</v>
      </c>
      <c r="J66" s="461"/>
      <c r="K66" s="852">
        <f>'Cust Specific'!T102</f>
        <v>4.1000000000000003E-3</v>
      </c>
      <c r="L66" s="461"/>
      <c r="M66" s="461"/>
      <c r="N66" s="461"/>
      <c r="O66" s="462"/>
      <c r="P66" s="461"/>
      <c r="Q66" s="461"/>
      <c r="R66" s="462"/>
      <c r="S66" s="863">
        <f>'Cust Specific'!T99</f>
        <v>0</v>
      </c>
      <c r="T66" s="851">
        <f>'Cust Specific'!T100</f>
        <v>0</v>
      </c>
      <c r="U66" s="480"/>
      <c r="V66" s="481"/>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7"/>
        <v>0</v>
      </c>
      <c r="AP66" s="184">
        <f t="shared" si="28"/>
        <v>0</v>
      </c>
      <c r="AQ66" s="178">
        <f t="shared" si="29"/>
        <v>43.144199999999998</v>
      </c>
      <c r="AR66" s="178">
        <f t="shared" si="30"/>
        <v>0</v>
      </c>
      <c r="AS66" s="179">
        <f t="shared" si="31"/>
        <v>28.347400000000004</v>
      </c>
      <c r="AT66" s="178">
        <f t="shared" si="32"/>
        <v>0</v>
      </c>
      <c r="AU66" s="178">
        <f t="shared" si="33"/>
        <v>0</v>
      </c>
      <c r="AV66" s="178">
        <f t="shared" si="34"/>
        <v>0</v>
      </c>
      <c r="AW66" s="179">
        <f t="shared" si="35"/>
        <v>0</v>
      </c>
      <c r="AX66" s="178">
        <f t="shared" si="36"/>
        <v>0</v>
      </c>
      <c r="AY66" s="178">
        <f t="shared" si="37"/>
        <v>0</v>
      </c>
      <c r="AZ66" s="179">
        <f t="shared" si="38"/>
        <v>0</v>
      </c>
      <c r="BA66" s="184">
        <f t="shared" si="39"/>
        <v>0</v>
      </c>
      <c r="BB66" s="178">
        <f t="shared" si="40"/>
        <v>0</v>
      </c>
      <c r="BC66" s="184">
        <f t="shared" si="41"/>
        <v>0</v>
      </c>
      <c r="BD66" s="178">
        <f t="shared" si="42"/>
        <v>0</v>
      </c>
      <c r="BE66" s="244">
        <f t="shared" si="43"/>
        <v>1</v>
      </c>
      <c r="BF66" s="245">
        <f t="shared" si="44"/>
        <v>13451</v>
      </c>
      <c r="BH66" s="255">
        <f t="shared" si="45"/>
        <v>0</v>
      </c>
      <c r="BI66" s="255">
        <f t="shared" si="46"/>
        <v>71.491600000000005</v>
      </c>
      <c r="BJ66" s="255">
        <f t="shared" si="47"/>
        <v>0</v>
      </c>
      <c r="BK66" s="256">
        <f t="shared" si="48"/>
        <v>0</v>
      </c>
      <c r="BL66" s="262">
        <f t="shared" si="49"/>
        <v>0</v>
      </c>
      <c r="BM66" s="257">
        <f t="shared" si="50"/>
        <v>71.491600000000005</v>
      </c>
      <c r="BO66" s="714">
        <f t="shared" si="51"/>
        <v>5.3149654300795488</v>
      </c>
    </row>
    <row r="67" spans="2:67" ht="15" customHeight="1" x14ac:dyDescent="0.25">
      <c r="B67" s="19">
        <f t="shared" si="52"/>
        <v>22</v>
      </c>
      <c r="C67" s="44" t="s">
        <v>575</v>
      </c>
      <c r="D67" s="45"/>
      <c r="E67" s="105" t="s">
        <v>94</v>
      </c>
      <c r="G67" s="862">
        <f>('Cust Specific'!T106)</f>
        <v>0</v>
      </c>
      <c r="H67" s="479"/>
      <c r="I67" s="851">
        <f>'Cust Specific'!T109</f>
        <v>6.6E-3</v>
      </c>
      <c r="J67" s="461"/>
      <c r="K67" s="852">
        <f>'Cust Specific'!T110</f>
        <v>4.1000000000000003E-3</v>
      </c>
      <c r="L67" s="461"/>
      <c r="M67" s="461"/>
      <c r="N67" s="461"/>
      <c r="O67" s="462"/>
      <c r="P67" s="461"/>
      <c r="Q67" s="461"/>
      <c r="R67" s="462"/>
      <c r="S67" s="863">
        <f>'Cust Specific'!T107</f>
        <v>0</v>
      </c>
      <c r="T67" s="851">
        <f>'Cust Specific'!T108</f>
        <v>0</v>
      </c>
      <c r="U67" s="480"/>
      <c r="V67" s="481"/>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7"/>
        <v>0</v>
      </c>
      <c r="AP67" s="184">
        <f t="shared" si="28"/>
        <v>0</v>
      </c>
      <c r="AQ67" s="178">
        <f t="shared" si="29"/>
        <v>2.5211999999999999</v>
      </c>
      <c r="AR67" s="178">
        <f t="shared" si="30"/>
        <v>0</v>
      </c>
      <c r="AS67" s="179">
        <f t="shared" si="31"/>
        <v>1.9844000000000002</v>
      </c>
      <c r="AT67" s="178">
        <f t="shared" si="32"/>
        <v>0</v>
      </c>
      <c r="AU67" s="178">
        <f t="shared" si="33"/>
        <v>0</v>
      </c>
      <c r="AV67" s="178">
        <f t="shared" si="34"/>
        <v>0</v>
      </c>
      <c r="AW67" s="179">
        <f t="shared" si="35"/>
        <v>0</v>
      </c>
      <c r="AX67" s="178">
        <f t="shared" si="36"/>
        <v>0</v>
      </c>
      <c r="AY67" s="178">
        <f t="shared" si="37"/>
        <v>0</v>
      </c>
      <c r="AZ67" s="179">
        <f t="shared" si="38"/>
        <v>0</v>
      </c>
      <c r="BA67" s="184">
        <f t="shared" si="39"/>
        <v>0</v>
      </c>
      <c r="BB67" s="178">
        <f t="shared" si="40"/>
        <v>0</v>
      </c>
      <c r="BC67" s="184">
        <f t="shared" si="41"/>
        <v>0</v>
      </c>
      <c r="BD67" s="178">
        <f t="shared" si="42"/>
        <v>0</v>
      </c>
      <c r="BE67" s="244">
        <f t="shared" si="43"/>
        <v>1</v>
      </c>
      <c r="BF67" s="245">
        <f t="shared" si="44"/>
        <v>866</v>
      </c>
      <c r="BH67" s="255">
        <f t="shared" si="45"/>
        <v>0</v>
      </c>
      <c r="BI67" s="255">
        <f t="shared" si="46"/>
        <v>4.5056000000000003</v>
      </c>
      <c r="BJ67" s="255">
        <f t="shared" si="47"/>
        <v>0</v>
      </c>
      <c r="BK67" s="256">
        <f t="shared" si="48"/>
        <v>0</v>
      </c>
      <c r="BL67" s="262">
        <f t="shared" si="49"/>
        <v>0</v>
      </c>
      <c r="BM67" s="257">
        <f t="shared" si="50"/>
        <v>4.5056000000000003</v>
      </c>
      <c r="BO67" s="714">
        <f t="shared" si="51"/>
        <v>5.2027713625866054</v>
      </c>
    </row>
    <row r="68" spans="2:67" ht="15" customHeight="1" x14ac:dyDescent="0.25">
      <c r="B68" s="19">
        <f t="shared" si="52"/>
        <v>23</v>
      </c>
      <c r="C68" s="44" t="s">
        <v>576</v>
      </c>
      <c r="D68" s="45"/>
      <c r="E68" s="105" t="s">
        <v>94</v>
      </c>
      <c r="G68" s="862">
        <f>('Cust Specific'!T114)</f>
        <v>0</v>
      </c>
      <c r="H68" s="479"/>
      <c r="I68" s="851">
        <f>'Cust Specific'!T117</f>
        <v>6.6E-3</v>
      </c>
      <c r="J68" s="461"/>
      <c r="K68" s="852">
        <f>'Cust Specific'!T118</f>
        <v>4.1000000000000003E-3</v>
      </c>
      <c r="L68" s="461"/>
      <c r="M68" s="461"/>
      <c r="N68" s="461"/>
      <c r="O68" s="462"/>
      <c r="P68" s="461"/>
      <c r="Q68" s="461"/>
      <c r="R68" s="462"/>
      <c r="S68" s="863">
        <f>'Cust Specific'!T115</f>
        <v>0</v>
      </c>
      <c r="T68" s="851">
        <f>'Cust Specific'!T116</f>
        <v>0</v>
      </c>
      <c r="U68" s="480"/>
      <c r="V68" s="481"/>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7"/>
        <v>0</v>
      </c>
      <c r="AP68" s="184">
        <f t="shared" si="28"/>
        <v>0</v>
      </c>
      <c r="AQ68" s="178">
        <f t="shared" si="29"/>
        <v>24.116399999999999</v>
      </c>
      <c r="AR68" s="178">
        <f t="shared" si="30"/>
        <v>0</v>
      </c>
      <c r="AS68" s="179">
        <f t="shared" si="31"/>
        <v>23.005100000000002</v>
      </c>
      <c r="AT68" s="178">
        <f t="shared" si="32"/>
        <v>0</v>
      </c>
      <c r="AU68" s="178">
        <f t="shared" si="33"/>
        <v>0</v>
      </c>
      <c r="AV68" s="178">
        <f t="shared" si="34"/>
        <v>0</v>
      </c>
      <c r="AW68" s="179">
        <f t="shared" si="35"/>
        <v>0</v>
      </c>
      <c r="AX68" s="178">
        <f t="shared" si="36"/>
        <v>0</v>
      </c>
      <c r="AY68" s="178">
        <f t="shared" si="37"/>
        <v>0</v>
      </c>
      <c r="AZ68" s="179">
        <f t="shared" si="38"/>
        <v>0</v>
      </c>
      <c r="BA68" s="184">
        <f t="shared" si="39"/>
        <v>0</v>
      </c>
      <c r="BB68" s="178">
        <f t="shared" si="40"/>
        <v>0</v>
      </c>
      <c r="BC68" s="184">
        <f t="shared" si="41"/>
        <v>0</v>
      </c>
      <c r="BD68" s="178">
        <f t="shared" si="42"/>
        <v>0</v>
      </c>
      <c r="BE68" s="244">
        <f t="shared" si="43"/>
        <v>1</v>
      </c>
      <c r="BF68" s="245">
        <f t="shared" si="44"/>
        <v>9265</v>
      </c>
      <c r="BH68" s="255">
        <f t="shared" si="45"/>
        <v>0</v>
      </c>
      <c r="BI68" s="255">
        <f t="shared" si="46"/>
        <v>47.121499999999997</v>
      </c>
      <c r="BJ68" s="255">
        <f t="shared" si="47"/>
        <v>0</v>
      </c>
      <c r="BK68" s="256">
        <f t="shared" si="48"/>
        <v>0</v>
      </c>
      <c r="BL68" s="262">
        <f t="shared" si="49"/>
        <v>0</v>
      </c>
      <c r="BM68" s="257">
        <f t="shared" si="50"/>
        <v>47.121499999999997</v>
      </c>
      <c r="BO68" s="714">
        <f t="shared" si="51"/>
        <v>5.0859686994063678</v>
      </c>
    </row>
    <row r="69" spans="2:67" ht="15" customHeight="1" x14ac:dyDescent="0.25">
      <c r="B69" s="26">
        <f t="shared" si="52"/>
        <v>24</v>
      </c>
      <c r="C69" s="841" t="s">
        <v>632</v>
      </c>
      <c r="D69" s="56"/>
      <c r="E69" s="109" t="s">
        <v>652</v>
      </c>
      <c r="G69" s="862">
        <f>('Cust Specific'!T122)</f>
        <v>0</v>
      </c>
      <c r="H69" s="479"/>
      <c r="I69" s="851">
        <f>'Cust Specific'!T125</f>
        <v>6.6E-3</v>
      </c>
      <c r="J69" s="461"/>
      <c r="K69" s="852">
        <f>'Cust Specific'!T126</f>
        <v>4.1000000000000003E-3</v>
      </c>
      <c r="L69" s="461"/>
      <c r="M69" s="461"/>
      <c r="N69" s="461"/>
      <c r="O69" s="462"/>
      <c r="P69" s="863">
        <f>'Cust Specific'!T123</f>
        <v>0</v>
      </c>
      <c r="Q69" s="461"/>
      <c r="R69" s="462"/>
      <c r="S69" s="479"/>
      <c r="T69" s="851">
        <f>'Cust Specific'!T124</f>
        <v>0</v>
      </c>
      <c r="U69" s="480"/>
      <c r="V69" s="481"/>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0</v>
      </c>
      <c r="AP69" s="184">
        <f t="shared" ref="AP69:AW79" si="53">H69*Y69</f>
        <v>0</v>
      </c>
      <c r="AQ69" s="178">
        <f t="shared" si="53"/>
        <v>7.1280000000000001</v>
      </c>
      <c r="AR69" s="178">
        <f t="shared" si="53"/>
        <v>0</v>
      </c>
      <c r="AS69" s="179">
        <f t="shared" si="53"/>
        <v>6.8470000000000004</v>
      </c>
      <c r="AT69" s="178">
        <f t="shared" si="53"/>
        <v>0</v>
      </c>
      <c r="AU69" s="178">
        <f t="shared" si="53"/>
        <v>0</v>
      </c>
      <c r="AV69" s="178">
        <f t="shared" si="53"/>
        <v>0</v>
      </c>
      <c r="AW69" s="179">
        <f t="shared" si="53"/>
        <v>0</v>
      </c>
      <c r="AX69" s="178">
        <f t="shared" ref="AX69:BC115" si="54">P69*AG69/1000</f>
        <v>0</v>
      </c>
      <c r="AY69" s="178">
        <f t="shared" si="54"/>
        <v>0</v>
      </c>
      <c r="AZ69" s="179">
        <f t="shared" si="54"/>
        <v>0</v>
      </c>
      <c r="BA69" s="184">
        <f t="shared" si="26"/>
        <v>0</v>
      </c>
      <c r="BB69" s="178">
        <f t="shared" si="26"/>
        <v>0</v>
      </c>
      <c r="BC69" s="184">
        <f t="shared" si="26"/>
        <v>0</v>
      </c>
      <c r="BD69" s="178">
        <f t="shared" si="26"/>
        <v>0</v>
      </c>
      <c r="BE69" s="244">
        <f t="shared" si="3"/>
        <v>1</v>
      </c>
      <c r="BF69" s="245">
        <f t="shared" si="25"/>
        <v>2750</v>
      </c>
      <c r="BH69" s="255">
        <f t="shared" si="20"/>
        <v>0</v>
      </c>
      <c r="BI69" s="255">
        <f t="shared" si="21"/>
        <v>13.975000000000001</v>
      </c>
      <c r="BJ69" s="255">
        <f t="shared" si="22"/>
        <v>0</v>
      </c>
      <c r="BK69" s="256">
        <f t="shared" si="23"/>
        <v>0</v>
      </c>
      <c r="BL69" s="262">
        <f t="shared" si="24"/>
        <v>0</v>
      </c>
      <c r="BM69" s="257">
        <f t="shared" si="5"/>
        <v>13.975000000000001</v>
      </c>
      <c r="BO69" s="714">
        <f t="shared" si="6"/>
        <v>5.0818181818181829</v>
      </c>
    </row>
    <row r="70" spans="2:67" ht="15" customHeight="1" x14ac:dyDescent="0.25">
      <c r="B70" s="30" t="s">
        <v>101</v>
      </c>
      <c r="C70" s="14" t="s">
        <v>102</v>
      </c>
      <c r="D70" s="14"/>
      <c r="E70" s="99"/>
      <c r="G70" s="494"/>
      <c r="H70" s="495"/>
      <c r="I70" s="496"/>
      <c r="J70" s="496"/>
      <c r="K70" s="497"/>
      <c r="L70" s="496"/>
      <c r="M70" s="496"/>
      <c r="N70" s="496"/>
      <c r="O70" s="497"/>
      <c r="P70" s="496"/>
      <c r="Q70" s="496"/>
      <c r="R70" s="497"/>
      <c r="S70" s="495"/>
      <c r="T70" s="496"/>
      <c r="U70" s="495"/>
      <c r="V70" s="497"/>
      <c r="X70" s="205">
        <f>'Q (t)'!G70</f>
        <v>0</v>
      </c>
      <c r="Y70" s="206">
        <f>'Q (t)'!H70</f>
        <v>0</v>
      </c>
      <c r="Z70" s="207">
        <f>'Q (t)'!I70</f>
        <v>0</v>
      </c>
      <c r="AA70" s="207">
        <f>'Q (t)'!J70</f>
        <v>0</v>
      </c>
      <c r="AB70" s="208">
        <f>'Q (t)'!K70</f>
        <v>0</v>
      </c>
      <c r="AC70" s="207">
        <f>'Q (t)'!L70</f>
        <v>0</v>
      </c>
      <c r="AD70" s="207">
        <f>'Q (t)'!M70</f>
        <v>0</v>
      </c>
      <c r="AE70" s="207">
        <f>'Q (t)'!N70</f>
        <v>0</v>
      </c>
      <c r="AF70" s="208">
        <f>'Q (t)'!O70</f>
        <v>0</v>
      </c>
      <c r="AG70" s="207">
        <f>'Q (t)'!P70</f>
        <v>0</v>
      </c>
      <c r="AH70" s="207">
        <f>'Q (t)'!Q70</f>
        <v>0</v>
      </c>
      <c r="AI70" s="208">
        <f>'Q (t)'!R70</f>
        <v>0</v>
      </c>
      <c r="AJ70" s="206">
        <f>'Q (t)'!S70</f>
        <v>0</v>
      </c>
      <c r="AK70" s="207">
        <f>'Q (t)'!T70</f>
        <v>0</v>
      </c>
      <c r="AL70" s="206">
        <f>'Q (t)'!U70</f>
        <v>0</v>
      </c>
      <c r="AM70" s="208">
        <f>'Q (t)'!V70</f>
        <v>0</v>
      </c>
      <c r="AO70" s="205">
        <f t="shared" si="2"/>
        <v>0</v>
      </c>
      <c r="AP70" s="206">
        <f t="shared" si="53"/>
        <v>0</v>
      </c>
      <c r="AQ70" s="207">
        <f t="shared" si="53"/>
        <v>0</v>
      </c>
      <c r="AR70" s="207">
        <f t="shared" si="53"/>
        <v>0</v>
      </c>
      <c r="AS70" s="208">
        <f t="shared" si="53"/>
        <v>0</v>
      </c>
      <c r="AT70" s="207">
        <f t="shared" si="53"/>
        <v>0</v>
      </c>
      <c r="AU70" s="207">
        <f t="shared" si="53"/>
        <v>0</v>
      </c>
      <c r="AV70" s="207">
        <f t="shared" si="53"/>
        <v>0</v>
      </c>
      <c r="AW70" s="208">
        <f t="shared" si="53"/>
        <v>0</v>
      </c>
      <c r="AX70" s="207">
        <f t="shared" si="54"/>
        <v>0</v>
      </c>
      <c r="AY70" s="207">
        <f t="shared" si="54"/>
        <v>0</v>
      </c>
      <c r="AZ70" s="208">
        <f t="shared" si="54"/>
        <v>0</v>
      </c>
      <c r="BA70" s="206">
        <f t="shared" si="26"/>
        <v>0</v>
      </c>
      <c r="BB70" s="207">
        <f t="shared" si="26"/>
        <v>0</v>
      </c>
      <c r="BC70" s="206">
        <f t="shared" si="26"/>
        <v>0</v>
      </c>
      <c r="BD70" s="207">
        <f t="shared" si="26"/>
        <v>0</v>
      </c>
      <c r="BE70" s="242">
        <f t="shared" si="3"/>
        <v>0</v>
      </c>
      <c r="BF70" s="243">
        <f t="shared" si="25"/>
        <v>0</v>
      </c>
      <c r="BH70" s="253">
        <f>SUBTOTAL(9,BH71:BH93)</f>
        <v>0</v>
      </c>
      <c r="BI70" s="253">
        <f>SUBTOTAL(9,BI71:BI93)</f>
        <v>2575.1488000000004</v>
      </c>
      <c r="BJ70" s="253">
        <f>SUBTOTAL(9,BJ71:BJ93)</f>
        <v>0</v>
      </c>
      <c r="BK70" s="253">
        <f>SUBTOTAL(9,BK71:BK93)</f>
        <v>0</v>
      </c>
      <c r="BL70" s="253">
        <f>SUBTOTAL(9,BL71:BL93)</f>
        <v>0</v>
      </c>
      <c r="BM70" s="257">
        <f t="shared" si="5"/>
        <v>2575.1488000000004</v>
      </c>
      <c r="BO70" s="714" t="str">
        <f t="shared" si="6"/>
        <v/>
      </c>
    </row>
    <row r="71" spans="2:67" ht="15" customHeight="1" x14ac:dyDescent="0.25">
      <c r="B71" s="19"/>
      <c r="C71" s="36" t="s">
        <v>103</v>
      </c>
      <c r="D71" s="85"/>
      <c r="E71" s="85"/>
      <c r="G71" s="482"/>
      <c r="H71" s="479"/>
      <c r="I71" s="461"/>
      <c r="J71" s="461"/>
      <c r="K71" s="462"/>
      <c r="L71" s="461"/>
      <c r="M71" s="461"/>
      <c r="N71" s="461"/>
      <c r="O71" s="462"/>
      <c r="P71" s="461"/>
      <c r="Q71" s="461"/>
      <c r="R71" s="462"/>
      <c r="S71" s="479"/>
      <c r="T71" s="461"/>
      <c r="U71" s="479"/>
      <c r="V71" s="462"/>
      <c r="X71" s="183">
        <f>'Q (t)'!G71</f>
        <v>0</v>
      </c>
      <c r="Y71" s="184">
        <f>'Q (t)'!H71</f>
        <v>0</v>
      </c>
      <c r="Z71" s="178">
        <f>'Q (t)'!I71</f>
        <v>0</v>
      </c>
      <c r="AA71" s="178">
        <f>'Q (t)'!J71</f>
        <v>0</v>
      </c>
      <c r="AB71" s="179">
        <f>'Q (t)'!K71</f>
        <v>0</v>
      </c>
      <c r="AC71" s="178">
        <f>'Q (t)'!L71</f>
        <v>0</v>
      </c>
      <c r="AD71" s="178">
        <f>'Q (t)'!M71</f>
        <v>0</v>
      </c>
      <c r="AE71" s="178">
        <f>'Q (t)'!N71</f>
        <v>0</v>
      </c>
      <c r="AF71" s="179">
        <f>'Q (t)'!O71</f>
        <v>0</v>
      </c>
      <c r="AG71" s="178">
        <f>'Q (t)'!P71</f>
        <v>0</v>
      </c>
      <c r="AH71" s="178">
        <f>'Q (t)'!Q71</f>
        <v>0</v>
      </c>
      <c r="AI71" s="179">
        <f>'Q (t)'!R71</f>
        <v>0</v>
      </c>
      <c r="AJ71" s="184">
        <f>'Q (t)'!S71</f>
        <v>0</v>
      </c>
      <c r="AK71" s="178">
        <f>'Q (t)'!T71</f>
        <v>0</v>
      </c>
      <c r="AL71" s="184">
        <f>'Q (t)'!U71</f>
        <v>0</v>
      </c>
      <c r="AM71" s="179">
        <f>'Q (t)'!V71</f>
        <v>0</v>
      </c>
      <c r="AO71" s="183">
        <f t="shared" si="2"/>
        <v>0</v>
      </c>
      <c r="AP71" s="184">
        <f t="shared" si="53"/>
        <v>0</v>
      </c>
      <c r="AQ71" s="178">
        <f t="shared" si="53"/>
        <v>0</v>
      </c>
      <c r="AR71" s="178">
        <f t="shared" si="53"/>
        <v>0</v>
      </c>
      <c r="AS71" s="179">
        <f t="shared" si="53"/>
        <v>0</v>
      </c>
      <c r="AT71" s="178">
        <f t="shared" si="53"/>
        <v>0</v>
      </c>
      <c r="AU71" s="178">
        <f t="shared" si="53"/>
        <v>0</v>
      </c>
      <c r="AV71" s="178">
        <f t="shared" si="53"/>
        <v>0</v>
      </c>
      <c r="AW71" s="179">
        <f t="shared" si="53"/>
        <v>0</v>
      </c>
      <c r="AX71" s="178">
        <f t="shared" si="54"/>
        <v>0</v>
      </c>
      <c r="AY71" s="178">
        <f t="shared" si="54"/>
        <v>0</v>
      </c>
      <c r="AZ71" s="179">
        <f t="shared" si="54"/>
        <v>0</v>
      </c>
      <c r="BA71" s="184">
        <f t="shared" si="26"/>
        <v>0</v>
      </c>
      <c r="BB71" s="178">
        <f t="shared" si="26"/>
        <v>0</v>
      </c>
      <c r="BC71" s="184">
        <f t="shared" si="26"/>
        <v>0</v>
      </c>
      <c r="BD71" s="178">
        <f t="shared" si="26"/>
        <v>0</v>
      </c>
      <c r="BE71" s="244">
        <f t="shared" si="3"/>
        <v>0</v>
      </c>
      <c r="BF71" s="245">
        <f t="shared" si="25"/>
        <v>0</v>
      </c>
      <c r="BH71" s="252">
        <f>SUBTOTAL(9,BH72:BH77)</f>
        <v>0</v>
      </c>
      <c r="BI71" s="252">
        <f>SUBTOTAL(9,BI72:BI77)</f>
        <v>2353.4872000000005</v>
      </c>
      <c r="BJ71" s="252">
        <f>SUBTOTAL(9,BJ72:BJ77)</f>
        <v>0</v>
      </c>
      <c r="BK71" s="252">
        <f>SUBTOTAL(9,BK72:BK77)</f>
        <v>0</v>
      </c>
      <c r="BL71" s="252">
        <f>SUBTOTAL(9,BL72:BL77)</f>
        <v>0</v>
      </c>
      <c r="BM71" s="257">
        <f t="shared" si="5"/>
        <v>2353.4872000000005</v>
      </c>
      <c r="BO71" s="714" t="str">
        <f t="shared" si="6"/>
        <v/>
      </c>
    </row>
    <row r="72" spans="2:67" ht="15" customHeight="1" x14ac:dyDescent="0.25">
      <c r="B72" s="19">
        <v>1</v>
      </c>
      <c r="C72" s="44" t="s">
        <v>585</v>
      </c>
      <c r="D72" s="45" t="s">
        <v>586</v>
      </c>
      <c r="E72" s="105" t="s">
        <v>104</v>
      </c>
      <c r="G72" s="477">
        <f>ROUND('[15]JSO (t)'!G70*$BT$134,4)</f>
        <v>0</v>
      </c>
      <c r="H72" s="479"/>
      <c r="I72" s="483">
        <f>ROUND('[15]JSO (t)'!I70*$BT$134,4)</f>
        <v>4.4000000000000003E-3</v>
      </c>
      <c r="J72" s="461"/>
      <c r="K72" s="484">
        <f>ROUND('[15]JSO (t)'!K70*$BT$134,4)</f>
        <v>2.8E-3</v>
      </c>
      <c r="L72" s="461"/>
      <c r="M72" s="461"/>
      <c r="N72" s="461"/>
      <c r="O72" s="462"/>
      <c r="P72" s="461"/>
      <c r="Q72" s="461"/>
      <c r="R72" s="462"/>
      <c r="S72" s="478">
        <f>ROUND('[15]JSO (t)'!S70*$BT$134,4)</f>
        <v>0</v>
      </c>
      <c r="T72" s="483">
        <f>ROUND('[15]JSO (t)'!T70*$BT$134,4)</f>
        <v>0</v>
      </c>
      <c r="U72" s="480"/>
      <c r="V72" s="481"/>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0</v>
      </c>
      <c r="AP72" s="184">
        <f t="shared" si="53"/>
        <v>0</v>
      </c>
      <c r="AQ72" s="178">
        <f t="shared" si="53"/>
        <v>1332.8656000000001</v>
      </c>
      <c r="AR72" s="178">
        <f t="shared" si="53"/>
        <v>0</v>
      </c>
      <c r="AS72" s="179">
        <f t="shared" si="53"/>
        <v>796.38160000000005</v>
      </c>
      <c r="AT72" s="178">
        <f t="shared" si="53"/>
        <v>0</v>
      </c>
      <c r="AU72" s="178">
        <f t="shared" si="53"/>
        <v>0</v>
      </c>
      <c r="AV72" s="178">
        <f t="shared" si="53"/>
        <v>0</v>
      </c>
      <c r="AW72" s="179">
        <f t="shared" si="53"/>
        <v>0</v>
      </c>
      <c r="AX72" s="178">
        <f t="shared" si="54"/>
        <v>0</v>
      </c>
      <c r="AY72" s="178">
        <f t="shared" si="54"/>
        <v>0</v>
      </c>
      <c r="AZ72" s="179">
        <f t="shared" si="54"/>
        <v>0</v>
      </c>
      <c r="BA72" s="184">
        <f t="shared" si="26"/>
        <v>0</v>
      </c>
      <c r="BB72" s="178">
        <f t="shared" si="26"/>
        <v>0</v>
      </c>
      <c r="BC72" s="184">
        <f t="shared" si="26"/>
        <v>0</v>
      </c>
      <c r="BD72" s="178">
        <f t="shared" si="26"/>
        <v>0</v>
      </c>
      <c r="BE72" s="244">
        <f t="shared" si="3"/>
        <v>149</v>
      </c>
      <c r="BF72" s="245">
        <f t="shared" si="25"/>
        <v>587346</v>
      </c>
      <c r="BH72" s="255">
        <f t="shared" ref="BH72:BH92" si="55">SUM(AO72)</f>
        <v>0</v>
      </c>
      <c r="BI72" s="255">
        <f t="shared" ref="BI72:BI92" si="56">SUM(AP72:AS72)</f>
        <v>2129.2472000000002</v>
      </c>
      <c r="BJ72" s="255">
        <f t="shared" ref="BJ72:BJ92" si="57">SUM(AT72:AW72)</f>
        <v>0</v>
      </c>
      <c r="BK72" s="256">
        <f t="shared" ref="BK72:BK92" si="58">SUM(AX72:BB72)</f>
        <v>0</v>
      </c>
      <c r="BL72" s="262">
        <f t="shared" ref="BL72:BL92" si="59">SUM(BC72:BD72)</f>
        <v>0</v>
      </c>
      <c r="BM72" s="257">
        <f t="shared" si="5"/>
        <v>2129.2472000000002</v>
      </c>
      <c r="BO72" s="714">
        <f t="shared" si="6"/>
        <v>3.6252008185975559</v>
      </c>
    </row>
    <row r="73" spans="2:67" ht="15" customHeight="1" x14ac:dyDescent="0.25">
      <c r="B73" s="19">
        <f>B72+1</f>
        <v>2</v>
      </c>
      <c r="C73" s="44" t="s">
        <v>587</v>
      </c>
      <c r="D73" s="45" t="s">
        <v>588</v>
      </c>
      <c r="E73" s="105" t="s">
        <v>105</v>
      </c>
      <c r="G73" s="477">
        <f>ROUND('[15]JSO (t)'!G71*$BT$134,4)</f>
        <v>0</v>
      </c>
      <c r="H73" s="479"/>
      <c r="I73" s="483">
        <f>ROUND('[15]JSO (t)'!I71*$BT$134,4)</f>
        <v>4.4000000000000003E-3</v>
      </c>
      <c r="J73" s="461"/>
      <c r="K73" s="484">
        <f>ROUND('[15]JSO (t)'!K71*$BT$134,4)</f>
        <v>2.8E-3</v>
      </c>
      <c r="L73" s="461"/>
      <c r="M73" s="461"/>
      <c r="N73" s="461"/>
      <c r="O73" s="462"/>
      <c r="P73" s="483">
        <f>ROUND('[15]JSO (t)'!P71*$BT$134,4)</f>
        <v>0</v>
      </c>
      <c r="Q73" s="461"/>
      <c r="R73" s="462"/>
      <c r="S73" s="479"/>
      <c r="T73" s="483">
        <f>ROUND('[15]JSO (t)'!T71*$BT$134,4)</f>
        <v>0</v>
      </c>
      <c r="U73" s="480"/>
      <c r="V73" s="481"/>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0</v>
      </c>
      <c r="AP73" s="184">
        <f t="shared" si="53"/>
        <v>0</v>
      </c>
      <c r="AQ73" s="178">
        <f t="shared" si="53"/>
        <v>113.96000000000001</v>
      </c>
      <c r="AR73" s="178">
        <f t="shared" si="53"/>
        <v>0</v>
      </c>
      <c r="AS73" s="179">
        <f t="shared" si="53"/>
        <v>70</v>
      </c>
      <c r="AT73" s="178">
        <f t="shared" si="53"/>
        <v>0</v>
      </c>
      <c r="AU73" s="178">
        <f t="shared" si="53"/>
        <v>0</v>
      </c>
      <c r="AV73" s="178">
        <f t="shared" si="53"/>
        <v>0</v>
      </c>
      <c r="AW73" s="179">
        <f t="shared" si="53"/>
        <v>0</v>
      </c>
      <c r="AX73" s="178">
        <f t="shared" si="54"/>
        <v>0</v>
      </c>
      <c r="AY73" s="178">
        <f t="shared" si="54"/>
        <v>0</v>
      </c>
      <c r="AZ73" s="179">
        <f t="shared" si="54"/>
        <v>0</v>
      </c>
      <c r="BA73" s="184">
        <f t="shared" si="26"/>
        <v>0</v>
      </c>
      <c r="BB73" s="178">
        <f t="shared" si="26"/>
        <v>0</v>
      </c>
      <c r="BC73" s="184">
        <f t="shared" si="26"/>
        <v>0</v>
      </c>
      <c r="BD73" s="178">
        <f t="shared" si="26"/>
        <v>0</v>
      </c>
      <c r="BE73" s="244">
        <f t="shared" si="3"/>
        <v>14</v>
      </c>
      <c r="BF73" s="245">
        <f t="shared" si="25"/>
        <v>50900</v>
      </c>
      <c r="BH73" s="255">
        <f t="shared" si="55"/>
        <v>0</v>
      </c>
      <c r="BI73" s="255">
        <f t="shared" si="56"/>
        <v>183.96</v>
      </c>
      <c r="BJ73" s="255">
        <f t="shared" si="57"/>
        <v>0</v>
      </c>
      <c r="BK73" s="256">
        <f t="shared" si="58"/>
        <v>0</v>
      </c>
      <c r="BL73" s="262">
        <f t="shared" si="59"/>
        <v>0</v>
      </c>
      <c r="BM73" s="257">
        <f t="shared" si="5"/>
        <v>183.96</v>
      </c>
      <c r="BO73" s="714">
        <f t="shared" si="6"/>
        <v>3.6141453831041259</v>
      </c>
    </row>
    <row r="74" spans="2:67" ht="15" customHeight="1" x14ac:dyDescent="0.25">
      <c r="B74" s="19">
        <f>B73+1</f>
        <v>3</v>
      </c>
      <c r="C74" s="833" t="s">
        <v>589</v>
      </c>
      <c r="D74" s="834" t="s">
        <v>590</v>
      </c>
      <c r="E74" s="835" t="s">
        <v>106</v>
      </c>
      <c r="G74" s="482"/>
      <c r="H74" s="479"/>
      <c r="I74" s="461"/>
      <c r="J74" s="461"/>
      <c r="K74" s="462"/>
      <c r="L74" s="461"/>
      <c r="M74" s="461"/>
      <c r="N74" s="461"/>
      <c r="O74" s="462"/>
      <c r="P74" s="461"/>
      <c r="Q74" s="461"/>
      <c r="R74" s="462"/>
      <c r="S74" s="479"/>
      <c r="T74" s="461"/>
      <c r="U74" s="480"/>
      <c r="V74" s="481"/>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53"/>
        <v>0</v>
      </c>
      <c r="AQ74" s="178">
        <f t="shared" si="53"/>
        <v>0</v>
      </c>
      <c r="AR74" s="178">
        <f t="shared" si="53"/>
        <v>0</v>
      </c>
      <c r="AS74" s="179">
        <f t="shared" si="53"/>
        <v>0</v>
      </c>
      <c r="AT74" s="178">
        <f t="shared" si="53"/>
        <v>0</v>
      </c>
      <c r="AU74" s="178">
        <f t="shared" si="53"/>
        <v>0</v>
      </c>
      <c r="AV74" s="178">
        <f t="shared" si="53"/>
        <v>0</v>
      </c>
      <c r="AW74" s="179">
        <f t="shared" si="53"/>
        <v>0</v>
      </c>
      <c r="AX74" s="178">
        <f t="shared" si="54"/>
        <v>0</v>
      </c>
      <c r="AY74" s="178">
        <f t="shared" si="54"/>
        <v>0</v>
      </c>
      <c r="AZ74" s="179">
        <f t="shared" si="54"/>
        <v>0</v>
      </c>
      <c r="BA74" s="184">
        <f t="shared" si="26"/>
        <v>0</v>
      </c>
      <c r="BB74" s="178">
        <f t="shared" si="26"/>
        <v>0</v>
      </c>
      <c r="BC74" s="184">
        <f t="shared" si="26"/>
        <v>0</v>
      </c>
      <c r="BD74" s="178">
        <f t="shared" si="26"/>
        <v>0</v>
      </c>
      <c r="BE74" s="244">
        <f t="shared" si="3"/>
        <v>0</v>
      </c>
      <c r="BF74" s="245">
        <f t="shared" si="25"/>
        <v>0</v>
      </c>
      <c r="BH74" s="255">
        <f t="shared" si="55"/>
        <v>0</v>
      </c>
      <c r="BI74" s="255">
        <f t="shared" si="56"/>
        <v>0</v>
      </c>
      <c r="BJ74" s="255">
        <f t="shared" si="57"/>
        <v>0</v>
      </c>
      <c r="BK74" s="256">
        <f t="shared" si="58"/>
        <v>0</v>
      </c>
      <c r="BL74" s="262">
        <f t="shared" si="59"/>
        <v>0</v>
      </c>
      <c r="BM74" s="257">
        <f t="shared" si="5"/>
        <v>0</v>
      </c>
      <c r="BO74" s="714" t="str">
        <f t="shared" si="6"/>
        <v/>
      </c>
    </row>
    <row r="75" spans="2:67" ht="15" customHeight="1" x14ac:dyDescent="0.25">
      <c r="B75" s="19">
        <f>B74+1</f>
        <v>4</v>
      </c>
      <c r="C75" s="44" t="s">
        <v>107</v>
      </c>
      <c r="D75" s="45" t="s">
        <v>107</v>
      </c>
      <c r="E75" s="105" t="s">
        <v>108</v>
      </c>
      <c r="G75" s="850">
        <f>ROUND('[15]2020-25 Pricing Schedule'!$L$122/Days_Year,4)</f>
        <v>0</v>
      </c>
      <c r="H75" s="859">
        <f>'[15]2020-25 Pricing Schedule'!$L$125</f>
        <v>3.5999999999999999E-3</v>
      </c>
      <c r="I75" s="461"/>
      <c r="J75" s="461"/>
      <c r="K75" s="462"/>
      <c r="L75" s="461"/>
      <c r="M75" s="461"/>
      <c r="N75" s="461"/>
      <c r="O75" s="462"/>
      <c r="P75" s="461"/>
      <c r="Q75" s="860">
        <f>'JSO (t-1)'!Q75</f>
        <v>0</v>
      </c>
      <c r="R75" s="861">
        <f>'JSO (t-1)'!R75</f>
        <v>0</v>
      </c>
      <c r="S75" s="479"/>
      <c r="T75" s="461"/>
      <c r="U75" s="480"/>
      <c r="V75" s="481"/>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53"/>
        <v>0</v>
      </c>
      <c r="AQ75" s="178">
        <f t="shared" si="53"/>
        <v>0</v>
      </c>
      <c r="AR75" s="178">
        <f t="shared" si="53"/>
        <v>0</v>
      </c>
      <c r="AS75" s="179">
        <f t="shared" si="53"/>
        <v>0</v>
      </c>
      <c r="AT75" s="178">
        <f t="shared" si="53"/>
        <v>0</v>
      </c>
      <c r="AU75" s="178">
        <f t="shared" si="53"/>
        <v>0</v>
      </c>
      <c r="AV75" s="178">
        <f t="shared" si="53"/>
        <v>0</v>
      </c>
      <c r="AW75" s="179">
        <f t="shared" si="53"/>
        <v>0</v>
      </c>
      <c r="AX75" s="178">
        <f t="shared" si="54"/>
        <v>0</v>
      </c>
      <c r="AY75" s="178">
        <f t="shared" si="54"/>
        <v>0</v>
      </c>
      <c r="AZ75" s="179">
        <f t="shared" si="54"/>
        <v>0</v>
      </c>
      <c r="BA75" s="184">
        <f t="shared" si="26"/>
        <v>0</v>
      </c>
      <c r="BB75" s="178">
        <f t="shared" si="26"/>
        <v>0</v>
      </c>
      <c r="BC75" s="184">
        <f t="shared" si="26"/>
        <v>0</v>
      </c>
      <c r="BD75" s="178">
        <f t="shared" si="26"/>
        <v>0</v>
      </c>
      <c r="BE75" s="244">
        <f t="shared" si="3"/>
        <v>0</v>
      </c>
      <c r="BF75" s="245">
        <f t="shared" si="25"/>
        <v>0</v>
      </c>
      <c r="BH75" s="255">
        <f t="shared" si="55"/>
        <v>0</v>
      </c>
      <c r="BI75" s="255">
        <f t="shared" si="56"/>
        <v>0</v>
      </c>
      <c r="BJ75" s="255">
        <f t="shared" si="57"/>
        <v>0</v>
      </c>
      <c r="BK75" s="256">
        <f t="shared" si="58"/>
        <v>0</v>
      </c>
      <c r="BL75" s="262">
        <f t="shared" si="59"/>
        <v>0</v>
      </c>
      <c r="BM75" s="257">
        <f t="shared" si="5"/>
        <v>0</v>
      </c>
      <c r="BO75" s="714" t="str">
        <f t="shared" si="6"/>
        <v/>
      </c>
    </row>
    <row r="76" spans="2:67" ht="15" customHeight="1" x14ac:dyDescent="0.25">
      <c r="B76" s="19">
        <f>B75+1</f>
        <v>5</v>
      </c>
      <c r="C76" s="845" t="s">
        <v>591</v>
      </c>
      <c r="D76" s="76" t="s">
        <v>592</v>
      </c>
      <c r="E76" s="105" t="s">
        <v>109</v>
      </c>
      <c r="G76" s="862">
        <f>G49</f>
        <v>0</v>
      </c>
      <c r="H76" s="479"/>
      <c r="I76" s="851">
        <f>I72</f>
        <v>4.4000000000000003E-3</v>
      </c>
      <c r="J76" s="461"/>
      <c r="K76" s="852">
        <f>K72</f>
        <v>2.8E-3</v>
      </c>
      <c r="L76" s="461"/>
      <c r="M76" s="461"/>
      <c r="N76" s="461"/>
      <c r="O76" s="462"/>
      <c r="P76" s="461"/>
      <c r="Q76" s="461"/>
      <c r="R76" s="462"/>
      <c r="S76" s="863">
        <f>S49</f>
        <v>0</v>
      </c>
      <c r="T76" s="851">
        <f>T49</f>
        <v>0</v>
      </c>
      <c r="U76" s="480"/>
      <c r="V76" s="481"/>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0</v>
      </c>
      <c r="AP76" s="184">
        <f t="shared" si="53"/>
        <v>0</v>
      </c>
      <c r="AQ76" s="178">
        <f t="shared" si="53"/>
        <v>26.84</v>
      </c>
      <c r="AR76" s="178">
        <f t="shared" si="53"/>
        <v>0</v>
      </c>
      <c r="AS76" s="179">
        <f t="shared" si="53"/>
        <v>13.44</v>
      </c>
      <c r="AT76" s="178">
        <f t="shared" si="53"/>
        <v>0</v>
      </c>
      <c r="AU76" s="178">
        <f t="shared" si="53"/>
        <v>0</v>
      </c>
      <c r="AV76" s="178">
        <f t="shared" si="53"/>
        <v>0</v>
      </c>
      <c r="AW76" s="179">
        <f t="shared" si="53"/>
        <v>0</v>
      </c>
      <c r="AX76" s="178">
        <f t="shared" si="54"/>
        <v>0</v>
      </c>
      <c r="AY76" s="178">
        <f t="shared" si="54"/>
        <v>0</v>
      </c>
      <c r="AZ76" s="179">
        <f t="shared" si="54"/>
        <v>0</v>
      </c>
      <c r="BA76" s="184">
        <f t="shared" si="26"/>
        <v>0</v>
      </c>
      <c r="BB76" s="178">
        <f t="shared" si="26"/>
        <v>0</v>
      </c>
      <c r="BC76" s="184">
        <f t="shared" si="26"/>
        <v>0</v>
      </c>
      <c r="BD76" s="178">
        <f t="shared" si="26"/>
        <v>0</v>
      </c>
      <c r="BE76" s="244">
        <f t="shared" si="3"/>
        <v>24</v>
      </c>
      <c r="BF76" s="245">
        <f t="shared" si="25"/>
        <v>10900</v>
      </c>
      <c r="BH76" s="255">
        <f t="shared" si="55"/>
        <v>0</v>
      </c>
      <c r="BI76" s="255">
        <f t="shared" si="56"/>
        <v>40.28</v>
      </c>
      <c r="BJ76" s="255">
        <f t="shared" si="57"/>
        <v>0</v>
      </c>
      <c r="BK76" s="256">
        <f t="shared" si="58"/>
        <v>0</v>
      </c>
      <c r="BL76" s="262">
        <f t="shared" si="59"/>
        <v>0</v>
      </c>
      <c r="BM76" s="257">
        <f t="shared" si="5"/>
        <v>40.28</v>
      </c>
      <c r="BO76" s="714">
        <f t="shared" si="6"/>
        <v>3.6954128440366971</v>
      </c>
    </row>
    <row r="77" spans="2:67" ht="15" customHeight="1" x14ac:dyDescent="0.25">
      <c r="B77" s="19">
        <f>B76+1</f>
        <v>6</v>
      </c>
      <c r="C77" s="44" t="s">
        <v>593</v>
      </c>
      <c r="D77" s="45" t="s">
        <v>594</v>
      </c>
      <c r="E77" s="105" t="s">
        <v>110</v>
      </c>
      <c r="G77" s="477">
        <f>ROUND('[15]JSO (t)'!G75*$BT$134,4)</f>
        <v>0</v>
      </c>
      <c r="H77" s="479"/>
      <c r="I77" s="483">
        <f>ROUND('[15]JSO (t)'!I75*$BT$134,4)</f>
        <v>0</v>
      </c>
      <c r="J77" s="461"/>
      <c r="K77" s="484">
        <f>ROUND('[15]JSO (t)'!K75*$BT$134,4)</f>
        <v>0</v>
      </c>
      <c r="L77" s="461"/>
      <c r="M77" s="461"/>
      <c r="N77" s="461"/>
      <c r="O77" s="462"/>
      <c r="P77" s="461"/>
      <c r="Q77" s="461"/>
      <c r="R77" s="462"/>
      <c r="S77" s="478">
        <f>ROUND('[15]JSO (t)'!S75*$BT$134,4)</f>
        <v>0</v>
      </c>
      <c r="T77" s="483">
        <f>ROUND('[15]JSO (t)'!T75*$BT$134,4)</f>
        <v>0</v>
      </c>
      <c r="U77" s="480"/>
      <c r="V77" s="481"/>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53"/>
        <v>0</v>
      </c>
      <c r="AQ77" s="178">
        <f t="shared" si="53"/>
        <v>0</v>
      </c>
      <c r="AR77" s="178">
        <f t="shared" si="53"/>
        <v>0</v>
      </c>
      <c r="AS77" s="179">
        <f t="shared" si="53"/>
        <v>0</v>
      </c>
      <c r="AT77" s="178">
        <f t="shared" si="53"/>
        <v>0</v>
      </c>
      <c r="AU77" s="178">
        <f t="shared" si="53"/>
        <v>0</v>
      </c>
      <c r="AV77" s="178">
        <f t="shared" si="53"/>
        <v>0</v>
      </c>
      <c r="AW77" s="179">
        <f t="shared" si="53"/>
        <v>0</v>
      </c>
      <c r="AX77" s="178">
        <f t="shared" si="54"/>
        <v>0</v>
      </c>
      <c r="AY77" s="178">
        <f t="shared" si="54"/>
        <v>0</v>
      </c>
      <c r="AZ77" s="179">
        <f t="shared" si="54"/>
        <v>0</v>
      </c>
      <c r="BA77" s="184">
        <f t="shared" si="26"/>
        <v>0</v>
      </c>
      <c r="BB77" s="178">
        <f t="shared" si="26"/>
        <v>0</v>
      </c>
      <c r="BC77" s="184">
        <f t="shared" si="26"/>
        <v>0</v>
      </c>
      <c r="BD77" s="178">
        <f t="shared" si="26"/>
        <v>0</v>
      </c>
      <c r="BE77" s="244">
        <f t="shared" si="3"/>
        <v>9</v>
      </c>
      <c r="BF77" s="245">
        <f t="shared" si="25"/>
        <v>2700</v>
      </c>
      <c r="BH77" s="255">
        <f t="shared" si="55"/>
        <v>0</v>
      </c>
      <c r="BI77" s="255">
        <f t="shared" si="56"/>
        <v>0</v>
      </c>
      <c r="BJ77" s="255">
        <f t="shared" si="57"/>
        <v>0</v>
      </c>
      <c r="BK77" s="256">
        <f t="shared" si="58"/>
        <v>0</v>
      </c>
      <c r="BL77" s="262">
        <f t="shared" si="59"/>
        <v>0</v>
      </c>
      <c r="BM77" s="257">
        <f t="shared" si="5"/>
        <v>0</v>
      </c>
      <c r="BO77" s="714">
        <f t="shared" si="6"/>
        <v>0</v>
      </c>
    </row>
    <row r="78" spans="2:67" ht="15" customHeight="1" x14ac:dyDescent="0.25">
      <c r="B78" s="19"/>
      <c r="C78" s="785"/>
      <c r="D78" s="772"/>
      <c r="E78" s="836" t="s">
        <v>111</v>
      </c>
      <c r="G78" s="482"/>
      <c r="H78" s="479"/>
      <c r="I78" s="461"/>
      <c r="J78" s="461"/>
      <c r="K78" s="462"/>
      <c r="L78" s="461"/>
      <c r="M78" s="461"/>
      <c r="N78" s="461"/>
      <c r="O78" s="462"/>
      <c r="P78" s="461"/>
      <c r="Q78" s="461"/>
      <c r="R78" s="462"/>
      <c r="S78" s="479"/>
      <c r="T78" s="461"/>
      <c r="U78" s="480"/>
      <c r="V78" s="481"/>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53"/>
        <v>0</v>
      </c>
      <c r="AQ78" s="178">
        <f t="shared" si="53"/>
        <v>0</v>
      </c>
      <c r="AR78" s="178">
        <f t="shared" si="53"/>
        <v>0</v>
      </c>
      <c r="AS78" s="179">
        <f t="shared" si="53"/>
        <v>0</v>
      </c>
      <c r="AT78" s="178">
        <f t="shared" si="53"/>
        <v>0</v>
      </c>
      <c r="AU78" s="178">
        <f t="shared" si="53"/>
        <v>0</v>
      </c>
      <c r="AV78" s="178">
        <f t="shared" si="53"/>
        <v>0</v>
      </c>
      <c r="AW78" s="179">
        <f t="shared" si="53"/>
        <v>0</v>
      </c>
      <c r="AX78" s="178">
        <f t="shared" si="54"/>
        <v>0</v>
      </c>
      <c r="AY78" s="178">
        <f t="shared" si="54"/>
        <v>0</v>
      </c>
      <c r="AZ78" s="179">
        <f t="shared" si="54"/>
        <v>0</v>
      </c>
      <c r="BA78" s="184">
        <f t="shared" si="26"/>
        <v>0</v>
      </c>
      <c r="BB78" s="178">
        <f t="shared" si="26"/>
        <v>0</v>
      </c>
      <c r="BC78" s="184">
        <f t="shared" si="26"/>
        <v>0</v>
      </c>
      <c r="BD78" s="178">
        <f t="shared" si="26"/>
        <v>0</v>
      </c>
      <c r="BE78" s="244">
        <f t="shared" si="3"/>
        <v>0</v>
      </c>
      <c r="BF78" s="245">
        <f t="shared" si="25"/>
        <v>0</v>
      </c>
      <c r="BH78" s="255">
        <f t="shared" si="55"/>
        <v>0</v>
      </c>
      <c r="BI78" s="255">
        <f t="shared" si="56"/>
        <v>0</v>
      </c>
      <c r="BJ78" s="255">
        <f t="shared" si="57"/>
        <v>0</v>
      </c>
      <c r="BK78" s="256">
        <f t="shared" si="58"/>
        <v>0</v>
      </c>
      <c r="BL78" s="262">
        <f t="shared" si="59"/>
        <v>0</v>
      </c>
      <c r="BM78" s="257">
        <f t="shared" si="5"/>
        <v>0</v>
      </c>
      <c r="BO78" s="714" t="str">
        <f t="shared" si="6"/>
        <v/>
      </c>
    </row>
    <row r="79" spans="2:67" ht="15" customHeight="1" x14ac:dyDescent="0.25">
      <c r="B79" s="19">
        <f>B77+1</f>
        <v>7</v>
      </c>
      <c r="C79" s="833" t="s">
        <v>553</v>
      </c>
      <c r="D79" s="45"/>
      <c r="E79" s="835" t="s">
        <v>104</v>
      </c>
      <c r="G79" s="482"/>
      <c r="H79" s="479"/>
      <c r="I79" s="461"/>
      <c r="J79" s="461"/>
      <c r="K79" s="462"/>
      <c r="L79" s="461"/>
      <c r="M79" s="461"/>
      <c r="N79" s="461"/>
      <c r="O79" s="462"/>
      <c r="P79" s="461"/>
      <c r="Q79" s="461"/>
      <c r="R79" s="462"/>
      <c r="S79" s="479"/>
      <c r="T79" s="461"/>
      <c r="U79" s="480"/>
      <c r="V79" s="481"/>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53"/>
        <v>0</v>
      </c>
      <c r="AQ79" s="178">
        <f t="shared" si="53"/>
        <v>0</v>
      </c>
      <c r="AR79" s="178">
        <f t="shared" si="53"/>
        <v>0</v>
      </c>
      <c r="AS79" s="179">
        <f t="shared" si="53"/>
        <v>0</v>
      </c>
      <c r="AT79" s="178">
        <f t="shared" si="53"/>
        <v>0</v>
      </c>
      <c r="AU79" s="178">
        <f t="shared" si="53"/>
        <v>0</v>
      </c>
      <c r="AV79" s="178">
        <f t="shared" si="53"/>
        <v>0</v>
      </c>
      <c r="AW79" s="179">
        <f t="shared" si="53"/>
        <v>0</v>
      </c>
      <c r="AX79" s="178">
        <f t="shared" si="54"/>
        <v>0</v>
      </c>
      <c r="AY79" s="178">
        <f t="shared" si="54"/>
        <v>0</v>
      </c>
      <c r="AZ79" s="179">
        <f t="shared" si="54"/>
        <v>0</v>
      </c>
      <c r="BA79" s="184">
        <f t="shared" si="26"/>
        <v>0</v>
      </c>
      <c r="BB79" s="178">
        <f t="shared" si="26"/>
        <v>0</v>
      </c>
      <c r="BC79" s="184">
        <f t="shared" si="26"/>
        <v>0</v>
      </c>
      <c r="BD79" s="178">
        <f t="shared" si="26"/>
        <v>0</v>
      </c>
      <c r="BE79" s="244">
        <f t="shared" si="3"/>
        <v>0</v>
      </c>
      <c r="BF79" s="245">
        <f t="shared" si="25"/>
        <v>0</v>
      </c>
      <c r="BH79" s="255">
        <f t="shared" si="55"/>
        <v>0</v>
      </c>
      <c r="BI79" s="255">
        <f t="shared" si="56"/>
        <v>0</v>
      </c>
      <c r="BJ79" s="255">
        <f t="shared" si="57"/>
        <v>0</v>
      </c>
      <c r="BK79" s="256">
        <f t="shared" si="58"/>
        <v>0</v>
      </c>
      <c r="BL79" s="262">
        <f t="shared" si="59"/>
        <v>0</v>
      </c>
      <c r="BM79" s="257">
        <f t="shared" si="5"/>
        <v>0</v>
      </c>
      <c r="BO79" s="714" t="str">
        <f t="shared" si="6"/>
        <v/>
      </c>
    </row>
    <row r="80" spans="2:67" ht="15" customHeight="1" x14ac:dyDescent="0.25">
      <c r="B80" s="19">
        <f t="shared" ref="B80:B93" si="60">B79+1</f>
        <v>8</v>
      </c>
      <c r="C80" s="833" t="s">
        <v>554</v>
      </c>
      <c r="D80" s="45"/>
      <c r="E80" s="835" t="s">
        <v>104</v>
      </c>
      <c r="G80" s="482"/>
      <c r="H80" s="479"/>
      <c r="I80" s="461"/>
      <c r="J80" s="461"/>
      <c r="K80" s="462"/>
      <c r="L80" s="461"/>
      <c r="M80" s="461"/>
      <c r="N80" s="461"/>
      <c r="O80" s="462"/>
      <c r="P80" s="461"/>
      <c r="Q80" s="461"/>
      <c r="R80" s="462"/>
      <c r="S80" s="479"/>
      <c r="T80" s="461"/>
      <c r="U80" s="480"/>
      <c r="V80" s="481"/>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ref="AO80:AO129" si="61">G80*X80/1000</f>
        <v>0</v>
      </c>
      <c r="AP80" s="184">
        <f t="shared" ref="AP80:AW96" si="62">H80*Y80</f>
        <v>0</v>
      </c>
      <c r="AQ80" s="178">
        <f t="shared" si="62"/>
        <v>0</v>
      </c>
      <c r="AR80" s="178">
        <f t="shared" si="62"/>
        <v>0</v>
      </c>
      <c r="AS80" s="179">
        <f t="shared" si="62"/>
        <v>0</v>
      </c>
      <c r="AT80" s="178">
        <f t="shared" si="62"/>
        <v>0</v>
      </c>
      <c r="AU80" s="178">
        <f t="shared" si="62"/>
        <v>0</v>
      </c>
      <c r="AV80" s="178">
        <f t="shared" si="62"/>
        <v>0</v>
      </c>
      <c r="AW80" s="179">
        <f t="shared" si="62"/>
        <v>0</v>
      </c>
      <c r="AX80" s="178">
        <f t="shared" si="54"/>
        <v>0</v>
      </c>
      <c r="AY80" s="178">
        <f t="shared" si="54"/>
        <v>0</v>
      </c>
      <c r="AZ80" s="179">
        <f t="shared" si="54"/>
        <v>0</v>
      </c>
      <c r="BA80" s="184">
        <f t="shared" si="26"/>
        <v>0</v>
      </c>
      <c r="BB80" s="178">
        <f t="shared" si="26"/>
        <v>0</v>
      </c>
      <c r="BC80" s="184">
        <f t="shared" si="26"/>
        <v>0</v>
      </c>
      <c r="BD80" s="178">
        <f t="shared" si="26"/>
        <v>0</v>
      </c>
      <c r="BE80" s="244">
        <f>X80/$BE$7</f>
        <v>0</v>
      </c>
      <c r="BF80" s="245">
        <f t="shared" ref="BF80:BF111" si="63">SUM(Y80:AF80)</f>
        <v>0</v>
      </c>
      <c r="BH80" s="255">
        <f t="shared" si="55"/>
        <v>0</v>
      </c>
      <c r="BI80" s="255">
        <f t="shared" si="56"/>
        <v>0</v>
      </c>
      <c r="BJ80" s="255">
        <f t="shared" si="57"/>
        <v>0</v>
      </c>
      <c r="BK80" s="256">
        <f t="shared" si="58"/>
        <v>0</v>
      </c>
      <c r="BL80" s="262">
        <f t="shared" si="59"/>
        <v>0</v>
      </c>
      <c r="BM80" s="257">
        <f t="shared" ref="BM80:BM129" si="64">SUM(BH80:BL80)</f>
        <v>0</v>
      </c>
      <c r="BO80" s="714" t="str">
        <f t="shared" ref="BO80:BO129" si="65">IF(BF80=0,"",BM80*1000/BF80)</f>
        <v/>
      </c>
    </row>
    <row r="81" spans="2:67" ht="15" customHeight="1" x14ac:dyDescent="0.25">
      <c r="B81" s="19">
        <f t="shared" si="60"/>
        <v>9</v>
      </c>
      <c r="C81" s="44" t="s">
        <v>566</v>
      </c>
      <c r="D81" s="45"/>
      <c r="E81" s="105" t="s">
        <v>104</v>
      </c>
      <c r="G81" s="862">
        <f>('Cust Specific'!T150)</f>
        <v>0</v>
      </c>
      <c r="H81" s="479"/>
      <c r="I81" s="851">
        <f>'Cust Specific'!T153</f>
        <v>4.4000000000000003E-3</v>
      </c>
      <c r="J81" s="461"/>
      <c r="K81" s="852">
        <f>'Cust Specific'!T154</f>
        <v>2.8E-3</v>
      </c>
      <c r="L81" s="461"/>
      <c r="M81" s="461"/>
      <c r="N81" s="461"/>
      <c r="O81" s="462"/>
      <c r="P81" s="461"/>
      <c r="Q81" s="461"/>
      <c r="R81" s="462"/>
      <c r="S81" s="863">
        <f>'Cust Specific'!T151</f>
        <v>0</v>
      </c>
      <c r="T81" s="851">
        <f>'Cust Specific'!T152</f>
        <v>0</v>
      </c>
      <c r="U81" s="480"/>
      <c r="V81" s="481"/>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si="61"/>
        <v>0</v>
      </c>
      <c r="AP81" s="184">
        <f t="shared" si="62"/>
        <v>0</v>
      </c>
      <c r="AQ81" s="178">
        <f t="shared" si="62"/>
        <v>28.072000000000003</v>
      </c>
      <c r="AR81" s="178">
        <f t="shared" si="62"/>
        <v>0</v>
      </c>
      <c r="AS81" s="179">
        <f t="shared" si="62"/>
        <v>38.869599999999998</v>
      </c>
      <c r="AT81" s="178">
        <f t="shared" si="62"/>
        <v>0</v>
      </c>
      <c r="AU81" s="178">
        <f t="shared" si="62"/>
        <v>0</v>
      </c>
      <c r="AV81" s="178">
        <f t="shared" si="62"/>
        <v>0</v>
      </c>
      <c r="AW81" s="179">
        <f t="shared" si="62"/>
        <v>0</v>
      </c>
      <c r="AX81" s="178">
        <f t="shared" si="54"/>
        <v>0</v>
      </c>
      <c r="AY81" s="178">
        <f t="shared" si="54"/>
        <v>0</v>
      </c>
      <c r="AZ81" s="179">
        <f t="shared" si="54"/>
        <v>0</v>
      </c>
      <c r="BA81" s="184">
        <f t="shared" si="26"/>
        <v>0</v>
      </c>
      <c r="BB81" s="178">
        <f t="shared" si="26"/>
        <v>0</v>
      </c>
      <c r="BC81" s="184">
        <f t="shared" si="26"/>
        <v>0</v>
      </c>
      <c r="BD81" s="178">
        <f t="shared" si="26"/>
        <v>0</v>
      </c>
      <c r="BE81" s="244">
        <f>X81/$BE$7</f>
        <v>1</v>
      </c>
      <c r="BF81" s="245">
        <f t="shared" si="63"/>
        <v>20262</v>
      </c>
      <c r="BH81" s="255">
        <f t="shared" si="55"/>
        <v>0</v>
      </c>
      <c r="BI81" s="255">
        <f t="shared" si="56"/>
        <v>66.941599999999994</v>
      </c>
      <c r="BJ81" s="255">
        <f t="shared" si="57"/>
        <v>0</v>
      </c>
      <c r="BK81" s="256">
        <f t="shared" si="58"/>
        <v>0</v>
      </c>
      <c r="BL81" s="262">
        <f t="shared" si="59"/>
        <v>0</v>
      </c>
      <c r="BM81" s="257">
        <f t="shared" si="64"/>
        <v>66.941599999999994</v>
      </c>
      <c r="BO81" s="714">
        <f t="shared" si="65"/>
        <v>3.3038002171552656</v>
      </c>
    </row>
    <row r="82" spans="2:67" ht="15" customHeight="1" x14ac:dyDescent="0.25">
      <c r="B82" s="19">
        <f t="shared" si="60"/>
        <v>10</v>
      </c>
      <c r="C82" s="833" t="s">
        <v>555</v>
      </c>
      <c r="D82" s="45"/>
      <c r="E82" s="835" t="s">
        <v>104</v>
      </c>
      <c r="G82" s="482"/>
      <c r="H82" s="479"/>
      <c r="I82" s="461"/>
      <c r="J82" s="461"/>
      <c r="K82" s="462"/>
      <c r="L82" s="461"/>
      <c r="M82" s="461"/>
      <c r="N82" s="461"/>
      <c r="O82" s="462"/>
      <c r="P82" s="461"/>
      <c r="Q82" s="461"/>
      <c r="R82" s="462"/>
      <c r="S82" s="479"/>
      <c r="T82" s="461"/>
      <c r="U82" s="480"/>
      <c r="V82" s="481"/>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61"/>
        <v>0</v>
      </c>
      <c r="AP82" s="184">
        <f t="shared" si="62"/>
        <v>0</v>
      </c>
      <c r="AQ82" s="178">
        <f t="shared" si="62"/>
        <v>0</v>
      </c>
      <c r="AR82" s="178">
        <f t="shared" si="62"/>
        <v>0</v>
      </c>
      <c r="AS82" s="179">
        <f t="shared" si="62"/>
        <v>0</v>
      </c>
      <c r="AT82" s="178">
        <f t="shared" si="62"/>
        <v>0</v>
      </c>
      <c r="AU82" s="178">
        <f t="shared" si="62"/>
        <v>0</v>
      </c>
      <c r="AV82" s="178">
        <f t="shared" si="62"/>
        <v>0</v>
      </c>
      <c r="AW82" s="179">
        <f t="shared" si="62"/>
        <v>0</v>
      </c>
      <c r="AX82" s="178">
        <f t="shared" si="54"/>
        <v>0</v>
      </c>
      <c r="AY82" s="178">
        <f t="shared" si="54"/>
        <v>0</v>
      </c>
      <c r="AZ82" s="179">
        <f t="shared" si="54"/>
        <v>0</v>
      </c>
      <c r="BA82" s="184">
        <f t="shared" si="26"/>
        <v>0</v>
      </c>
      <c r="BB82" s="178">
        <f t="shared" si="26"/>
        <v>0</v>
      </c>
      <c r="BC82" s="184">
        <f t="shared" si="26"/>
        <v>0</v>
      </c>
      <c r="BD82" s="178">
        <f t="shared" si="26"/>
        <v>0</v>
      </c>
      <c r="BE82" s="244">
        <f>X82/$BE$7</f>
        <v>0</v>
      </c>
      <c r="BF82" s="245">
        <f t="shared" si="63"/>
        <v>0</v>
      </c>
      <c r="BH82" s="255">
        <f t="shared" si="55"/>
        <v>0</v>
      </c>
      <c r="BI82" s="255">
        <f t="shared" si="56"/>
        <v>0</v>
      </c>
      <c r="BJ82" s="255">
        <f t="shared" si="57"/>
        <v>0</v>
      </c>
      <c r="BK82" s="256">
        <f t="shared" si="58"/>
        <v>0</v>
      </c>
      <c r="BL82" s="262">
        <f t="shared" si="59"/>
        <v>0</v>
      </c>
      <c r="BM82" s="257">
        <f t="shared" si="64"/>
        <v>0</v>
      </c>
      <c r="BO82" s="714" t="str">
        <f t="shared" si="65"/>
        <v/>
      </c>
    </row>
    <row r="83" spans="2:67" ht="15" customHeight="1" x14ac:dyDescent="0.25">
      <c r="B83" s="19">
        <f t="shared" si="60"/>
        <v>11</v>
      </c>
      <c r="C83" s="833" t="s">
        <v>556</v>
      </c>
      <c r="D83" s="45"/>
      <c r="E83" s="835" t="s">
        <v>104</v>
      </c>
      <c r="G83" s="482"/>
      <c r="H83" s="479"/>
      <c r="I83" s="461"/>
      <c r="J83" s="461"/>
      <c r="K83" s="462"/>
      <c r="L83" s="461"/>
      <c r="M83" s="461"/>
      <c r="N83" s="461"/>
      <c r="O83" s="462"/>
      <c r="P83" s="461"/>
      <c r="Q83" s="461"/>
      <c r="R83" s="462"/>
      <c r="S83" s="479"/>
      <c r="T83" s="461"/>
      <c r="U83" s="480"/>
      <c r="V83" s="481"/>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61"/>
        <v>0</v>
      </c>
      <c r="AP83" s="184">
        <f t="shared" si="62"/>
        <v>0</v>
      </c>
      <c r="AQ83" s="178">
        <f t="shared" si="62"/>
        <v>0</v>
      </c>
      <c r="AR83" s="178">
        <f t="shared" si="62"/>
        <v>0</v>
      </c>
      <c r="AS83" s="179">
        <f t="shared" si="62"/>
        <v>0</v>
      </c>
      <c r="AT83" s="178">
        <f t="shared" si="62"/>
        <v>0</v>
      </c>
      <c r="AU83" s="178">
        <f t="shared" si="62"/>
        <v>0</v>
      </c>
      <c r="AV83" s="178">
        <f t="shared" si="62"/>
        <v>0</v>
      </c>
      <c r="AW83" s="179">
        <f t="shared" si="62"/>
        <v>0</v>
      </c>
      <c r="AX83" s="178">
        <f t="shared" si="54"/>
        <v>0</v>
      </c>
      <c r="AY83" s="178">
        <f t="shared" si="54"/>
        <v>0</v>
      </c>
      <c r="AZ83" s="179">
        <f t="shared" si="54"/>
        <v>0</v>
      </c>
      <c r="BA83" s="184">
        <f t="shared" si="26"/>
        <v>0</v>
      </c>
      <c r="BB83" s="178">
        <f t="shared" si="26"/>
        <v>0</v>
      </c>
      <c r="BC83" s="184">
        <f t="shared" si="26"/>
        <v>0</v>
      </c>
      <c r="BD83" s="178">
        <f t="shared" si="26"/>
        <v>0</v>
      </c>
      <c r="BE83" s="244">
        <f>X83/$BE$7</f>
        <v>0</v>
      </c>
      <c r="BF83" s="245">
        <f t="shared" si="63"/>
        <v>0</v>
      </c>
      <c r="BH83" s="255">
        <f t="shared" si="55"/>
        <v>0</v>
      </c>
      <c r="BI83" s="255">
        <f t="shared" si="56"/>
        <v>0</v>
      </c>
      <c r="BJ83" s="255">
        <f t="shared" si="57"/>
        <v>0</v>
      </c>
      <c r="BK83" s="256">
        <f t="shared" si="58"/>
        <v>0</v>
      </c>
      <c r="BL83" s="262">
        <f t="shared" si="59"/>
        <v>0</v>
      </c>
      <c r="BM83" s="257">
        <f t="shared" si="64"/>
        <v>0</v>
      </c>
      <c r="BO83" s="714" t="str">
        <f t="shared" si="65"/>
        <v/>
      </c>
    </row>
    <row r="84" spans="2:67" ht="15" customHeight="1" x14ac:dyDescent="0.25">
      <c r="B84" s="19">
        <f t="shared" si="60"/>
        <v>12</v>
      </c>
      <c r="C84" s="833" t="s">
        <v>557</v>
      </c>
      <c r="D84" s="45"/>
      <c r="E84" s="835" t="s">
        <v>104</v>
      </c>
      <c r="G84" s="482"/>
      <c r="H84" s="479"/>
      <c r="I84" s="461"/>
      <c r="J84" s="461"/>
      <c r="K84" s="462"/>
      <c r="L84" s="461"/>
      <c r="M84" s="461"/>
      <c r="N84" s="461"/>
      <c r="O84" s="462"/>
      <c r="P84" s="461"/>
      <c r="Q84" s="461"/>
      <c r="R84" s="462"/>
      <c r="S84" s="479"/>
      <c r="T84" s="461"/>
      <c r="U84" s="480"/>
      <c r="V84" s="481"/>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61"/>
        <v>0</v>
      </c>
      <c r="AP84" s="184">
        <f t="shared" si="62"/>
        <v>0</v>
      </c>
      <c r="AQ84" s="178">
        <f t="shared" si="62"/>
        <v>0</v>
      </c>
      <c r="AR84" s="178">
        <f t="shared" si="62"/>
        <v>0</v>
      </c>
      <c r="AS84" s="179">
        <f t="shared" si="62"/>
        <v>0</v>
      </c>
      <c r="AT84" s="178">
        <f t="shared" si="62"/>
        <v>0</v>
      </c>
      <c r="AU84" s="178">
        <f t="shared" si="62"/>
        <v>0</v>
      </c>
      <c r="AV84" s="178">
        <f t="shared" si="62"/>
        <v>0</v>
      </c>
      <c r="AW84" s="179">
        <f t="shared" si="62"/>
        <v>0</v>
      </c>
      <c r="AX84" s="178">
        <f t="shared" si="54"/>
        <v>0</v>
      </c>
      <c r="AY84" s="178">
        <f t="shared" si="54"/>
        <v>0</v>
      </c>
      <c r="AZ84" s="179">
        <f t="shared" si="54"/>
        <v>0</v>
      </c>
      <c r="BA84" s="184">
        <f t="shared" si="26"/>
        <v>0</v>
      </c>
      <c r="BB84" s="178">
        <f t="shared" si="26"/>
        <v>0</v>
      </c>
      <c r="BC84" s="184">
        <f t="shared" si="26"/>
        <v>0</v>
      </c>
      <c r="BD84" s="178">
        <f t="shared" si="26"/>
        <v>0</v>
      </c>
      <c r="BE84" s="244">
        <f t="shared" ref="BE84:BE129" si="66">X84/$BE$7</f>
        <v>0</v>
      </c>
      <c r="BF84" s="245">
        <f t="shared" si="63"/>
        <v>0</v>
      </c>
      <c r="BH84" s="255">
        <f t="shared" si="55"/>
        <v>0</v>
      </c>
      <c r="BI84" s="255">
        <f t="shared" si="56"/>
        <v>0</v>
      </c>
      <c r="BJ84" s="255">
        <f t="shared" si="57"/>
        <v>0</v>
      </c>
      <c r="BK84" s="256">
        <f t="shared" si="58"/>
        <v>0</v>
      </c>
      <c r="BL84" s="262">
        <f t="shared" si="59"/>
        <v>0</v>
      </c>
      <c r="BM84" s="257">
        <f t="shared" si="64"/>
        <v>0</v>
      </c>
      <c r="BO84" s="714" t="str">
        <f t="shared" si="65"/>
        <v/>
      </c>
    </row>
    <row r="85" spans="2:67" ht="15" customHeight="1" x14ac:dyDescent="0.25">
      <c r="B85" s="19">
        <f t="shared" si="60"/>
        <v>13</v>
      </c>
      <c r="C85" s="44" t="s">
        <v>558</v>
      </c>
      <c r="D85" s="45"/>
      <c r="E85" s="105" t="s">
        <v>104</v>
      </c>
      <c r="G85" s="862">
        <f>('Cust Specific'!T182)</f>
        <v>0</v>
      </c>
      <c r="H85" s="479"/>
      <c r="I85" s="851">
        <f>'Cust Specific'!T185</f>
        <v>4.4000000000000003E-3</v>
      </c>
      <c r="J85" s="461"/>
      <c r="K85" s="852">
        <f>'Cust Specific'!T186</f>
        <v>2.8E-3</v>
      </c>
      <c r="L85" s="461"/>
      <c r="M85" s="461"/>
      <c r="N85" s="461"/>
      <c r="O85" s="462"/>
      <c r="P85" s="461"/>
      <c r="Q85" s="461"/>
      <c r="R85" s="462"/>
      <c r="S85" s="863">
        <f>'Cust Specific'!T183</f>
        <v>0</v>
      </c>
      <c r="T85" s="851">
        <f>'Cust Specific'!T184</f>
        <v>0</v>
      </c>
      <c r="U85" s="480"/>
      <c r="V85" s="481"/>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61"/>
        <v>0</v>
      </c>
      <c r="AP85" s="184">
        <f t="shared" si="62"/>
        <v>0</v>
      </c>
      <c r="AQ85" s="178">
        <f t="shared" si="62"/>
        <v>50.160000000000004</v>
      </c>
      <c r="AR85" s="178">
        <f t="shared" si="62"/>
        <v>0</v>
      </c>
      <c r="AS85" s="179">
        <f t="shared" si="62"/>
        <v>31.919999999999998</v>
      </c>
      <c r="AT85" s="178">
        <f t="shared" si="62"/>
        <v>0</v>
      </c>
      <c r="AU85" s="178">
        <f t="shared" si="62"/>
        <v>0</v>
      </c>
      <c r="AV85" s="178">
        <f t="shared" si="62"/>
        <v>0</v>
      </c>
      <c r="AW85" s="179">
        <f t="shared" si="62"/>
        <v>0</v>
      </c>
      <c r="AX85" s="178">
        <f t="shared" si="54"/>
        <v>0</v>
      </c>
      <c r="AY85" s="178">
        <f t="shared" si="54"/>
        <v>0</v>
      </c>
      <c r="AZ85" s="179">
        <f t="shared" si="54"/>
        <v>0</v>
      </c>
      <c r="BA85" s="184">
        <f t="shared" si="26"/>
        <v>0</v>
      </c>
      <c r="BB85" s="178">
        <f t="shared" si="26"/>
        <v>0</v>
      </c>
      <c r="BC85" s="184">
        <f t="shared" si="26"/>
        <v>0</v>
      </c>
      <c r="BD85" s="178">
        <f t="shared" si="26"/>
        <v>0</v>
      </c>
      <c r="BE85" s="244">
        <f t="shared" si="66"/>
        <v>1</v>
      </c>
      <c r="BF85" s="245">
        <f t="shared" si="63"/>
        <v>22800</v>
      </c>
      <c r="BH85" s="255">
        <f t="shared" si="55"/>
        <v>0</v>
      </c>
      <c r="BI85" s="255">
        <f t="shared" si="56"/>
        <v>82.08</v>
      </c>
      <c r="BJ85" s="255">
        <f t="shared" si="57"/>
        <v>0</v>
      </c>
      <c r="BK85" s="256">
        <f t="shared" si="58"/>
        <v>0</v>
      </c>
      <c r="BL85" s="262">
        <f t="shared" si="59"/>
        <v>0</v>
      </c>
      <c r="BM85" s="257">
        <f t="shared" si="64"/>
        <v>82.08</v>
      </c>
      <c r="BO85" s="714">
        <f t="shared" si="65"/>
        <v>3.6</v>
      </c>
    </row>
    <row r="86" spans="2:67" ht="15" customHeight="1" x14ac:dyDescent="0.25">
      <c r="B86" s="19">
        <f t="shared" si="60"/>
        <v>14</v>
      </c>
      <c r="C86" s="44" t="s">
        <v>631</v>
      </c>
      <c r="D86" s="45"/>
      <c r="E86" s="105" t="s">
        <v>104</v>
      </c>
      <c r="G86" s="862">
        <f>'Cust Specific'!T190</f>
        <v>0</v>
      </c>
      <c r="H86" s="479"/>
      <c r="I86" s="851">
        <f>'Cust Specific'!T193</f>
        <v>4.4000000000000003E-3</v>
      </c>
      <c r="J86" s="461"/>
      <c r="K86" s="852">
        <f>'Cust Specific'!T194</f>
        <v>2.8E-3</v>
      </c>
      <c r="L86" s="461"/>
      <c r="M86" s="461"/>
      <c r="N86" s="461"/>
      <c r="O86" s="462"/>
      <c r="P86" s="461"/>
      <c r="Q86" s="461"/>
      <c r="R86" s="462"/>
      <c r="S86" s="863">
        <f>'Cust Specific'!T191</f>
        <v>0</v>
      </c>
      <c r="T86" s="851">
        <f>'Cust Specific'!T192</f>
        <v>0</v>
      </c>
      <c r="U86" s="480"/>
      <c r="V86" s="481"/>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G86*X86/1000</f>
        <v>0</v>
      </c>
      <c r="AP86" s="184">
        <f t="shared" ref="AP86:AW86" si="67">H86*Y86</f>
        <v>0</v>
      </c>
      <c r="AQ86" s="178">
        <f t="shared" si="67"/>
        <v>45.760000000000005</v>
      </c>
      <c r="AR86" s="178">
        <f t="shared" si="67"/>
        <v>0</v>
      </c>
      <c r="AS86" s="179">
        <f t="shared" si="67"/>
        <v>26.88</v>
      </c>
      <c r="AT86" s="178">
        <f t="shared" si="67"/>
        <v>0</v>
      </c>
      <c r="AU86" s="178">
        <f t="shared" si="67"/>
        <v>0</v>
      </c>
      <c r="AV86" s="178">
        <f t="shared" si="67"/>
        <v>0</v>
      </c>
      <c r="AW86" s="179">
        <f t="shared" si="67"/>
        <v>0</v>
      </c>
      <c r="AX86" s="178">
        <f t="shared" ref="AX86:BD86" si="68">P86*AG86/1000</f>
        <v>0</v>
      </c>
      <c r="AY86" s="178">
        <f t="shared" si="68"/>
        <v>0</v>
      </c>
      <c r="AZ86" s="179">
        <f t="shared" si="68"/>
        <v>0</v>
      </c>
      <c r="BA86" s="184">
        <f t="shared" si="68"/>
        <v>0</v>
      </c>
      <c r="BB86" s="178">
        <f t="shared" si="68"/>
        <v>0</v>
      </c>
      <c r="BC86" s="184">
        <f t="shared" si="68"/>
        <v>0</v>
      </c>
      <c r="BD86" s="178">
        <f t="shared" si="68"/>
        <v>0</v>
      </c>
      <c r="BE86" s="244">
        <f>X86/$BE$7</f>
        <v>1</v>
      </c>
      <c r="BF86" s="245">
        <f>SUM(Y86:AF86)</f>
        <v>20000</v>
      </c>
      <c r="BH86" s="255">
        <f>SUM(AO86)</f>
        <v>0</v>
      </c>
      <c r="BI86" s="255">
        <f>SUM(AP86:AS86)</f>
        <v>72.64</v>
      </c>
      <c r="BJ86" s="255">
        <f>SUM(AT86:AW86)</f>
        <v>0</v>
      </c>
      <c r="BK86" s="256">
        <f>SUM(AX86:BB86)</f>
        <v>0</v>
      </c>
      <c r="BL86" s="262">
        <f>SUM(BC86:BD86)</f>
        <v>0</v>
      </c>
      <c r="BM86" s="257">
        <f>SUM(BH86:BL86)</f>
        <v>72.64</v>
      </c>
      <c r="BO86" s="714">
        <f t="shared" si="65"/>
        <v>3.6320000000000001</v>
      </c>
    </row>
    <row r="87" spans="2:67" ht="15" customHeight="1" x14ac:dyDescent="0.25">
      <c r="B87" s="19">
        <f t="shared" si="60"/>
        <v>15</v>
      </c>
      <c r="C87" s="833" t="s">
        <v>559</v>
      </c>
      <c r="D87" s="45"/>
      <c r="E87" s="835" t="s">
        <v>104</v>
      </c>
      <c r="G87" s="482"/>
      <c r="H87" s="479"/>
      <c r="I87" s="461"/>
      <c r="J87" s="461"/>
      <c r="K87" s="462"/>
      <c r="L87" s="461"/>
      <c r="M87" s="461"/>
      <c r="N87" s="461"/>
      <c r="O87" s="462"/>
      <c r="P87" s="461"/>
      <c r="Q87" s="461"/>
      <c r="R87" s="462"/>
      <c r="S87" s="479"/>
      <c r="T87" s="461"/>
      <c r="U87" s="480"/>
      <c r="V87" s="481"/>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61"/>
        <v>0</v>
      </c>
      <c r="AP87" s="184">
        <f t="shared" si="62"/>
        <v>0</v>
      </c>
      <c r="AQ87" s="178">
        <f t="shared" si="62"/>
        <v>0</v>
      </c>
      <c r="AR87" s="178">
        <f t="shared" si="62"/>
        <v>0</v>
      </c>
      <c r="AS87" s="179">
        <f t="shared" si="62"/>
        <v>0</v>
      </c>
      <c r="AT87" s="178">
        <f t="shared" si="62"/>
        <v>0</v>
      </c>
      <c r="AU87" s="178">
        <f t="shared" si="62"/>
        <v>0</v>
      </c>
      <c r="AV87" s="178">
        <f t="shared" si="62"/>
        <v>0</v>
      </c>
      <c r="AW87" s="179">
        <f t="shared" si="62"/>
        <v>0</v>
      </c>
      <c r="AX87" s="178">
        <f t="shared" si="54"/>
        <v>0</v>
      </c>
      <c r="AY87" s="178">
        <f t="shared" si="54"/>
        <v>0</v>
      </c>
      <c r="AZ87" s="179">
        <f t="shared" si="54"/>
        <v>0</v>
      </c>
      <c r="BA87" s="184">
        <f t="shared" si="26"/>
        <v>0</v>
      </c>
      <c r="BB87" s="178">
        <f t="shared" si="26"/>
        <v>0</v>
      </c>
      <c r="BC87" s="184">
        <f t="shared" si="26"/>
        <v>0</v>
      </c>
      <c r="BD87" s="178">
        <f t="shared" si="26"/>
        <v>0</v>
      </c>
      <c r="BE87" s="244">
        <f t="shared" si="66"/>
        <v>0</v>
      </c>
      <c r="BF87" s="245">
        <f t="shared" si="63"/>
        <v>0</v>
      </c>
      <c r="BH87" s="255">
        <f t="shared" si="55"/>
        <v>0</v>
      </c>
      <c r="BI87" s="255">
        <f t="shared" si="56"/>
        <v>0</v>
      </c>
      <c r="BJ87" s="255">
        <f t="shared" si="57"/>
        <v>0</v>
      </c>
      <c r="BK87" s="256">
        <f t="shared" si="58"/>
        <v>0</v>
      </c>
      <c r="BL87" s="262">
        <f t="shared" si="59"/>
        <v>0</v>
      </c>
      <c r="BM87" s="257">
        <f t="shared" si="64"/>
        <v>0</v>
      </c>
      <c r="BO87" s="714" t="str">
        <f t="shared" si="65"/>
        <v/>
      </c>
    </row>
    <row r="88" spans="2:67" ht="15" customHeight="1" x14ac:dyDescent="0.25">
      <c r="B88" s="19">
        <f t="shared" si="60"/>
        <v>16</v>
      </c>
      <c r="C88" s="785"/>
      <c r="D88" s="772"/>
      <c r="E88" s="836"/>
      <c r="G88" s="482"/>
      <c r="H88" s="479"/>
      <c r="I88" s="461"/>
      <c r="J88" s="461"/>
      <c r="K88" s="462"/>
      <c r="L88" s="461"/>
      <c r="M88" s="461"/>
      <c r="N88" s="461"/>
      <c r="O88" s="462"/>
      <c r="P88" s="461"/>
      <c r="Q88" s="461"/>
      <c r="R88" s="462"/>
      <c r="S88" s="479"/>
      <c r="T88" s="461"/>
      <c r="U88" s="479"/>
      <c r="V88" s="462"/>
      <c r="X88" s="183">
        <f>'Q (t)'!G88</f>
        <v>0</v>
      </c>
      <c r="Y88" s="184">
        <f>'Q (t)'!H88</f>
        <v>0</v>
      </c>
      <c r="Z88" s="178">
        <f>'Q (t)'!I88</f>
        <v>0</v>
      </c>
      <c r="AA88" s="178">
        <f>'Q (t)'!J88</f>
        <v>0</v>
      </c>
      <c r="AB88" s="179">
        <f>'Q (t)'!K88</f>
        <v>0</v>
      </c>
      <c r="AC88" s="178">
        <f>'Q (t)'!L88</f>
        <v>0</v>
      </c>
      <c r="AD88" s="178">
        <f>'Q (t)'!M88</f>
        <v>0</v>
      </c>
      <c r="AE88" s="178">
        <f>'Q (t)'!N88</f>
        <v>0</v>
      </c>
      <c r="AF88" s="179">
        <f>'Q (t)'!O88</f>
        <v>0</v>
      </c>
      <c r="AG88" s="178">
        <f>'Q (t)'!P88</f>
        <v>0</v>
      </c>
      <c r="AH88" s="178">
        <f>'Q (t)'!Q88</f>
        <v>0</v>
      </c>
      <c r="AI88" s="179">
        <f>'Q (t)'!R88</f>
        <v>0</v>
      </c>
      <c r="AJ88" s="184">
        <f>'Q (t)'!S88</f>
        <v>0</v>
      </c>
      <c r="AK88" s="178">
        <f>'Q (t)'!T88</f>
        <v>0</v>
      </c>
      <c r="AL88" s="184">
        <f>'Q (t)'!U88</f>
        <v>0</v>
      </c>
      <c r="AM88" s="179">
        <f>'Q (t)'!V88</f>
        <v>0</v>
      </c>
      <c r="AO88" s="183">
        <f t="shared" si="61"/>
        <v>0</v>
      </c>
      <c r="AP88" s="184">
        <f t="shared" si="62"/>
        <v>0</v>
      </c>
      <c r="AQ88" s="178">
        <f t="shared" si="62"/>
        <v>0</v>
      </c>
      <c r="AR88" s="178">
        <f t="shared" si="62"/>
        <v>0</v>
      </c>
      <c r="AS88" s="179">
        <f t="shared" si="62"/>
        <v>0</v>
      </c>
      <c r="AT88" s="178">
        <f t="shared" si="62"/>
        <v>0</v>
      </c>
      <c r="AU88" s="178">
        <f t="shared" si="62"/>
        <v>0</v>
      </c>
      <c r="AV88" s="178">
        <f t="shared" si="62"/>
        <v>0</v>
      </c>
      <c r="AW88" s="179">
        <f t="shared" si="62"/>
        <v>0</v>
      </c>
      <c r="AX88" s="178">
        <f t="shared" si="54"/>
        <v>0</v>
      </c>
      <c r="AY88" s="178">
        <f t="shared" si="54"/>
        <v>0</v>
      </c>
      <c r="AZ88" s="179">
        <f t="shared" si="54"/>
        <v>0</v>
      </c>
      <c r="BA88" s="184">
        <f t="shared" si="26"/>
        <v>0</v>
      </c>
      <c r="BB88" s="178">
        <f t="shared" si="26"/>
        <v>0</v>
      </c>
      <c r="BC88" s="184">
        <f t="shared" si="26"/>
        <v>0</v>
      </c>
      <c r="BD88" s="178">
        <f t="shared" si="26"/>
        <v>0</v>
      </c>
      <c r="BE88" s="244">
        <f t="shared" si="66"/>
        <v>0</v>
      </c>
      <c r="BF88" s="245">
        <f t="shared" si="63"/>
        <v>0</v>
      </c>
      <c r="BH88" s="255">
        <f t="shared" si="55"/>
        <v>0</v>
      </c>
      <c r="BI88" s="255">
        <f t="shared" si="56"/>
        <v>0</v>
      </c>
      <c r="BJ88" s="255">
        <f t="shared" si="57"/>
        <v>0</v>
      </c>
      <c r="BK88" s="256">
        <f t="shared" si="58"/>
        <v>0</v>
      </c>
      <c r="BL88" s="262">
        <f t="shared" si="59"/>
        <v>0</v>
      </c>
      <c r="BM88" s="257">
        <f t="shared" si="64"/>
        <v>0</v>
      </c>
      <c r="BO88" s="714" t="str">
        <f t="shared" si="65"/>
        <v/>
      </c>
    </row>
    <row r="89" spans="2:67" ht="15" customHeight="1" x14ac:dyDescent="0.25">
      <c r="B89" s="19">
        <f t="shared" si="60"/>
        <v>17</v>
      </c>
      <c r="C89" s="785"/>
      <c r="D89" s="772"/>
      <c r="E89" s="836"/>
      <c r="G89" s="482"/>
      <c r="H89" s="479"/>
      <c r="I89" s="461"/>
      <c r="J89" s="461"/>
      <c r="K89" s="462"/>
      <c r="L89" s="461"/>
      <c r="M89" s="461"/>
      <c r="N89" s="461"/>
      <c r="O89" s="462"/>
      <c r="P89" s="461"/>
      <c r="Q89" s="461"/>
      <c r="R89" s="462"/>
      <c r="S89" s="479"/>
      <c r="T89" s="461"/>
      <c r="U89" s="479"/>
      <c r="V89" s="462"/>
      <c r="X89" s="183">
        <f>'Q (t)'!G89</f>
        <v>0</v>
      </c>
      <c r="Y89" s="184">
        <f>'Q (t)'!H89</f>
        <v>0</v>
      </c>
      <c r="Z89" s="178">
        <f>'Q (t)'!I89</f>
        <v>0</v>
      </c>
      <c r="AA89" s="178">
        <f>'Q (t)'!J89</f>
        <v>0</v>
      </c>
      <c r="AB89" s="179">
        <f>'Q (t)'!K89</f>
        <v>0</v>
      </c>
      <c r="AC89" s="178">
        <f>'Q (t)'!L89</f>
        <v>0</v>
      </c>
      <c r="AD89" s="178">
        <f>'Q (t)'!M89</f>
        <v>0</v>
      </c>
      <c r="AE89" s="178">
        <f>'Q (t)'!N89</f>
        <v>0</v>
      </c>
      <c r="AF89" s="179">
        <f>'Q (t)'!O89</f>
        <v>0</v>
      </c>
      <c r="AG89" s="178">
        <f>'Q (t)'!P89</f>
        <v>0</v>
      </c>
      <c r="AH89" s="178">
        <f>'Q (t)'!Q89</f>
        <v>0</v>
      </c>
      <c r="AI89" s="179">
        <f>'Q (t)'!R89</f>
        <v>0</v>
      </c>
      <c r="AJ89" s="184">
        <f>'Q (t)'!S89</f>
        <v>0</v>
      </c>
      <c r="AK89" s="178">
        <f>'Q (t)'!T89</f>
        <v>0</v>
      </c>
      <c r="AL89" s="184">
        <f>'Q (t)'!U89</f>
        <v>0</v>
      </c>
      <c r="AM89" s="179">
        <f>'Q (t)'!V89</f>
        <v>0</v>
      </c>
      <c r="AO89" s="183">
        <f t="shared" si="61"/>
        <v>0</v>
      </c>
      <c r="AP89" s="184">
        <f t="shared" si="62"/>
        <v>0</v>
      </c>
      <c r="AQ89" s="178">
        <f t="shared" si="62"/>
        <v>0</v>
      </c>
      <c r="AR89" s="178">
        <f t="shared" si="62"/>
        <v>0</v>
      </c>
      <c r="AS89" s="179">
        <f t="shared" si="62"/>
        <v>0</v>
      </c>
      <c r="AT89" s="178">
        <f t="shared" si="62"/>
        <v>0</v>
      </c>
      <c r="AU89" s="178">
        <f t="shared" si="62"/>
        <v>0</v>
      </c>
      <c r="AV89" s="178">
        <f t="shared" si="62"/>
        <v>0</v>
      </c>
      <c r="AW89" s="179">
        <f t="shared" si="62"/>
        <v>0</v>
      </c>
      <c r="AX89" s="178">
        <f t="shared" si="54"/>
        <v>0</v>
      </c>
      <c r="AY89" s="178">
        <f t="shared" si="54"/>
        <v>0</v>
      </c>
      <c r="AZ89" s="179">
        <f t="shared" si="54"/>
        <v>0</v>
      </c>
      <c r="BA89" s="184">
        <f t="shared" si="26"/>
        <v>0</v>
      </c>
      <c r="BB89" s="178">
        <f t="shared" si="26"/>
        <v>0</v>
      </c>
      <c r="BC89" s="184">
        <f t="shared" si="26"/>
        <v>0</v>
      </c>
      <c r="BD89" s="178">
        <f t="shared" si="26"/>
        <v>0</v>
      </c>
      <c r="BE89" s="244">
        <f t="shared" si="66"/>
        <v>0</v>
      </c>
      <c r="BF89" s="245">
        <f t="shared" si="63"/>
        <v>0</v>
      </c>
      <c r="BH89" s="255">
        <f t="shared" si="55"/>
        <v>0</v>
      </c>
      <c r="BI89" s="255">
        <f t="shared" si="56"/>
        <v>0</v>
      </c>
      <c r="BJ89" s="255">
        <f t="shared" si="57"/>
        <v>0</v>
      </c>
      <c r="BK89" s="256">
        <f t="shared" si="58"/>
        <v>0</v>
      </c>
      <c r="BL89" s="262">
        <f t="shared" si="59"/>
        <v>0</v>
      </c>
      <c r="BM89" s="257">
        <f t="shared" si="64"/>
        <v>0</v>
      </c>
      <c r="BO89" s="714" t="str">
        <f t="shared" si="65"/>
        <v/>
      </c>
    </row>
    <row r="90" spans="2:67" ht="15" customHeight="1" x14ac:dyDescent="0.25">
      <c r="B90" s="19">
        <f t="shared" si="60"/>
        <v>18</v>
      </c>
      <c r="C90" s="785"/>
      <c r="D90" s="772"/>
      <c r="E90" s="836"/>
      <c r="G90" s="482"/>
      <c r="H90" s="479"/>
      <c r="I90" s="461"/>
      <c r="J90" s="461"/>
      <c r="K90" s="462"/>
      <c r="L90" s="461"/>
      <c r="M90" s="461"/>
      <c r="N90" s="461"/>
      <c r="O90" s="462"/>
      <c r="P90" s="461"/>
      <c r="Q90" s="461"/>
      <c r="R90" s="462"/>
      <c r="S90" s="479"/>
      <c r="T90" s="461"/>
      <c r="U90" s="479"/>
      <c r="V90" s="462"/>
      <c r="X90" s="183">
        <f>'Q (t)'!G90</f>
        <v>0</v>
      </c>
      <c r="Y90" s="184">
        <f>'Q (t)'!H90</f>
        <v>0</v>
      </c>
      <c r="Z90" s="178">
        <f>'Q (t)'!I90</f>
        <v>0</v>
      </c>
      <c r="AA90" s="178">
        <f>'Q (t)'!J90</f>
        <v>0</v>
      </c>
      <c r="AB90" s="179">
        <f>'Q (t)'!K90</f>
        <v>0</v>
      </c>
      <c r="AC90" s="178">
        <f>'Q (t)'!L90</f>
        <v>0</v>
      </c>
      <c r="AD90" s="178">
        <f>'Q (t)'!M90</f>
        <v>0</v>
      </c>
      <c r="AE90" s="178">
        <f>'Q (t)'!N90</f>
        <v>0</v>
      </c>
      <c r="AF90" s="179">
        <f>'Q (t)'!O90</f>
        <v>0</v>
      </c>
      <c r="AG90" s="178">
        <f>'Q (t)'!P90</f>
        <v>0</v>
      </c>
      <c r="AH90" s="178">
        <f>'Q (t)'!Q90</f>
        <v>0</v>
      </c>
      <c r="AI90" s="179">
        <f>'Q (t)'!R90</f>
        <v>0</v>
      </c>
      <c r="AJ90" s="184">
        <f>'Q (t)'!S90</f>
        <v>0</v>
      </c>
      <c r="AK90" s="178">
        <f>'Q (t)'!T90</f>
        <v>0</v>
      </c>
      <c r="AL90" s="184">
        <f>'Q (t)'!U90</f>
        <v>0</v>
      </c>
      <c r="AM90" s="179">
        <f>'Q (t)'!V90</f>
        <v>0</v>
      </c>
      <c r="AO90" s="183">
        <f t="shared" si="61"/>
        <v>0</v>
      </c>
      <c r="AP90" s="184">
        <f t="shared" si="62"/>
        <v>0</v>
      </c>
      <c r="AQ90" s="178">
        <f t="shared" si="62"/>
        <v>0</v>
      </c>
      <c r="AR90" s="178">
        <f t="shared" si="62"/>
        <v>0</v>
      </c>
      <c r="AS90" s="179">
        <f t="shared" si="62"/>
        <v>0</v>
      </c>
      <c r="AT90" s="178">
        <f t="shared" si="62"/>
        <v>0</v>
      </c>
      <c r="AU90" s="178">
        <f t="shared" si="62"/>
        <v>0</v>
      </c>
      <c r="AV90" s="178">
        <f t="shared" si="62"/>
        <v>0</v>
      </c>
      <c r="AW90" s="179">
        <f t="shared" si="62"/>
        <v>0</v>
      </c>
      <c r="AX90" s="178">
        <f t="shared" si="54"/>
        <v>0</v>
      </c>
      <c r="AY90" s="178">
        <f t="shared" si="54"/>
        <v>0</v>
      </c>
      <c r="AZ90" s="179">
        <f t="shared" si="54"/>
        <v>0</v>
      </c>
      <c r="BA90" s="184">
        <f t="shared" si="26"/>
        <v>0</v>
      </c>
      <c r="BB90" s="178">
        <f t="shared" si="26"/>
        <v>0</v>
      </c>
      <c r="BC90" s="184">
        <f t="shared" si="26"/>
        <v>0</v>
      </c>
      <c r="BD90" s="178">
        <f t="shared" si="26"/>
        <v>0</v>
      </c>
      <c r="BE90" s="244">
        <f t="shared" si="66"/>
        <v>0</v>
      </c>
      <c r="BF90" s="245">
        <f t="shared" si="63"/>
        <v>0</v>
      </c>
      <c r="BH90" s="255">
        <f t="shared" si="55"/>
        <v>0</v>
      </c>
      <c r="BI90" s="255">
        <f t="shared" si="56"/>
        <v>0</v>
      </c>
      <c r="BJ90" s="255">
        <f t="shared" si="57"/>
        <v>0</v>
      </c>
      <c r="BK90" s="256">
        <f t="shared" si="58"/>
        <v>0</v>
      </c>
      <c r="BL90" s="262">
        <f t="shared" si="59"/>
        <v>0</v>
      </c>
      <c r="BM90" s="257">
        <f t="shared" si="64"/>
        <v>0</v>
      </c>
      <c r="BO90" s="714" t="str">
        <f t="shared" si="65"/>
        <v/>
      </c>
    </row>
    <row r="91" spans="2:67" ht="15" customHeight="1" x14ac:dyDescent="0.25">
      <c r="B91" s="19">
        <f t="shared" si="60"/>
        <v>19</v>
      </c>
      <c r="C91" s="785"/>
      <c r="D91" s="772"/>
      <c r="E91" s="836"/>
      <c r="G91" s="482"/>
      <c r="H91" s="479"/>
      <c r="I91" s="461"/>
      <c r="J91" s="461"/>
      <c r="K91" s="462"/>
      <c r="L91" s="461"/>
      <c r="M91" s="461"/>
      <c r="N91" s="461"/>
      <c r="O91" s="462"/>
      <c r="P91" s="461"/>
      <c r="Q91" s="461"/>
      <c r="R91" s="462"/>
      <c r="S91" s="479"/>
      <c r="T91" s="461"/>
      <c r="U91" s="479"/>
      <c r="V91" s="462"/>
      <c r="X91" s="183">
        <f>'Q (t)'!G91</f>
        <v>0</v>
      </c>
      <c r="Y91" s="184">
        <f>'Q (t)'!H91</f>
        <v>0</v>
      </c>
      <c r="Z91" s="178">
        <f>'Q (t)'!I91</f>
        <v>0</v>
      </c>
      <c r="AA91" s="178">
        <f>'Q (t)'!J91</f>
        <v>0</v>
      </c>
      <c r="AB91" s="179">
        <f>'Q (t)'!K91</f>
        <v>0</v>
      </c>
      <c r="AC91" s="178">
        <f>'Q (t)'!L91</f>
        <v>0</v>
      </c>
      <c r="AD91" s="178">
        <f>'Q (t)'!M91</f>
        <v>0</v>
      </c>
      <c r="AE91" s="178">
        <f>'Q (t)'!N91</f>
        <v>0</v>
      </c>
      <c r="AF91" s="179">
        <f>'Q (t)'!O91</f>
        <v>0</v>
      </c>
      <c r="AG91" s="178">
        <f>'Q (t)'!P91</f>
        <v>0</v>
      </c>
      <c r="AH91" s="178">
        <f>'Q (t)'!Q91</f>
        <v>0</v>
      </c>
      <c r="AI91" s="179">
        <f>'Q (t)'!R91</f>
        <v>0</v>
      </c>
      <c r="AJ91" s="184">
        <f>'Q (t)'!S91</f>
        <v>0</v>
      </c>
      <c r="AK91" s="178">
        <f>'Q (t)'!T91</f>
        <v>0</v>
      </c>
      <c r="AL91" s="184">
        <f>'Q (t)'!U91</f>
        <v>0</v>
      </c>
      <c r="AM91" s="179">
        <f>'Q (t)'!V91</f>
        <v>0</v>
      </c>
      <c r="AO91" s="183">
        <f t="shared" si="61"/>
        <v>0</v>
      </c>
      <c r="AP91" s="184">
        <f t="shared" si="62"/>
        <v>0</v>
      </c>
      <c r="AQ91" s="178">
        <f t="shared" si="62"/>
        <v>0</v>
      </c>
      <c r="AR91" s="178">
        <f t="shared" si="62"/>
        <v>0</v>
      </c>
      <c r="AS91" s="179">
        <f t="shared" si="62"/>
        <v>0</v>
      </c>
      <c r="AT91" s="178">
        <f t="shared" si="62"/>
        <v>0</v>
      </c>
      <c r="AU91" s="178">
        <f t="shared" si="62"/>
        <v>0</v>
      </c>
      <c r="AV91" s="178">
        <f t="shared" si="62"/>
        <v>0</v>
      </c>
      <c r="AW91" s="179">
        <f t="shared" si="62"/>
        <v>0</v>
      </c>
      <c r="AX91" s="178">
        <f t="shared" si="54"/>
        <v>0</v>
      </c>
      <c r="AY91" s="178">
        <f t="shared" si="54"/>
        <v>0</v>
      </c>
      <c r="AZ91" s="179">
        <f t="shared" si="54"/>
        <v>0</v>
      </c>
      <c r="BA91" s="184">
        <f t="shared" si="26"/>
        <v>0</v>
      </c>
      <c r="BB91" s="178">
        <f t="shared" si="26"/>
        <v>0</v>
      </c>
      <c r="BC91" s="184">
        <f t="shared" si="26"/>
        <v>0</v>
      </c>
      <c r="BD91" s="178">
        <f t="shared" si="26"/>
        <v>0</v>
      </c>
      <c r="BE91" s="244">
        <f t="shared" si="66"/>
        <v>0</v>
      </c>
      <c r="BF91" s="245">
        <f t="shared" si="63"/>
        <v>0</v>
      </c>
      <c r="BH91" s="255">
        <f t="shared" si="55"/>
        <v>0</v>
      </c>
      <c r="BI91" s="255">
        <f t="shared" si="56"/>
        <v>0</v>
      </c>
      <c r="BJ91" s="255">
        <f t="shared" si="57"/>
        <v>0</v>
      </c>
      <c r="BK91" s="256">
        <f t="shared" si="58"/>
        <v>0</v>
      </c>
      <c r="BL91" s="262">
        <f t="shared" si="59"/>
        <v>0</v>
      </c>
      <c r="BM91" s="257">
        <f t="shared" si="64"/>
        <v>0</v>
      </c>
      <c r="BO91" s="714" t="str">
        <f t="shared" si="65"/>
        <v/>
      </c>
    </row>
    <row r="92" spans="2:67" ht="15" customHeight="1" x14ac:dyDescent="0.25">
      <c r="B92" s="19">
        <f t="shared" si="60"/>
        <v>20</v>
      </c>
      <c r="C92" s="785"/>
      <c r="D92" s="772"/>
      <c r="E92" s="836"/>
      <c r="G92" s="482"/>
      <c r="H92" s="479"/>
      <c r="I92" s="461"/>
      <c r="J92" s="461"/>
      <c r="K92" s="462"/>
      <c r="L92" s="461"/>
      <c r="M92" s="461"/>
      <c r="N92" s="461"/>
      <c r="O92" s="462"/>
      <c r="P92" s="461"/>
      <c r="Q92" s="461"/>
      <c r="R92" s="462"/>
      <c r="S92" s="479"/>
      <c r="T92" s="461"/>
      <c r="U92" s="479"/>
      <c r="V92" s="462"/>
      <c r="X92" s="183">
        <f>'Q (t)'!G92</f>
        <v>0</v>
      </c>
      <c r="Y92" s="184">
        <f>'Q (t)'!H92</f>
        <v>0</v>
      </c>
      <c r="Z92" s="178">
        <f>'Q (t)'!I92</f>
        <v>0</v>
      </c>
      <c r="AA92" s="178">
        <f>'Q (t)'!J92</f>
        <v>0</v>
      </c>
      <c r="AB92" s="179">
        <f>'Q (t)'!K92</f>
        <v>0</v>
      </c>
      <c r="AC92" s="178">
        <f>'Q (t)'!L92</f>
        <v>0</v>
      </c>
      <c r="AD92" s="178">
        <f>'Q (t)'!M92</f>
        <v>0</v>
      </c>
      <c r="AE92" s="178">
        <f>'Q (t)'!N92</f>
        <v>0</v>
      </c>
      <c r="AF92" s="179">
        <f>'Q (t)'!O92</f>
        <v>0</v>
      </c>
      <c r="AG92" s="178">
        <f>'Q (t)'!P92</f>
        <v>0</v>
      </c>
      <c r="AH92" s="178">
        <f>'Q (t)'!Q92</f>
        <v>0</v>
      </c>
      <c r="AI92" s="179">
        <f>'Q (t)'!R92</f>
        <v>0</v>
      </c>
      <c r="AJ92" s="184">
        <f>'Q (t)'!S92</f>
        <v>0</v>
      </c>
      <c r="AK92" s="178">
        <f>'Q (t)'!T92</f>
        <v>0</v>
      </c>
      <c r="AL92" s="184">
        <f>'Q (t)'!U92</f>
        <v>0</v>
      </c>
      <c r="AM92" s="179">
        <f>'Q (t)'!V92</f>
        <v>0</v>
      </c>
      <c r="AO92" s="183">
        <f t="shared" si="61"/>
        <v>0</v>
      </c>
      <c r="AP92" s="184">
        <f t="shared" si="62"/>
        <v>0</v>
      </c>
      <c r="AQ92" s="178">
        <f t="shared" si="62"/>
        <v>0</v>
      </c>
      <c r="AR92" s="178">
        <f t="shared" si="62"/>
        <v>0</v>
      </c>
      <c r="AS92" s="179">
        <f t="shared" si="62"/>
        <v>0</v>
      </c>
      <c r="AT92" s="178">
        <f t="shared" si="62"/>
        <v>0</v>
      </c>
      <c r="AU92" s="178">
        <f t="shared" si="62"/>
        <v>0</v>
      </c>
      <c r="AV92" s="178">
        <f t="shared" si="62"/>
        <v>0</v>
      </c>
      <c r="AW92" s="179">
        <f t="shared" si="62"/>
        <v>0</v>
      </c>
      <c r="AX92" s="178">
        <f t="shared" si="54"/>
        <v>0</v>
      </c>
      <c r="AY92" s="178">
        <f t="shared" si="54"/>
        <v>0</v>
      </c>
      <c r="AZ92" s="179">
        <f t="shared" si="54"/>
        <v>0</v>
      </c>
      <c r="BA92" s="184">
        <f t="shared" si="26"/>
        <v>0</v>
      </c>
      <c r="BB92" s="178">
        <f t="shared" si="26"/>
        <v>0</v>
      </c>
      <c r="BC92" s="184">
        <f t="shared" si="26"/>
        <v>0</v>
      </c>
      <c r="BD92" s="178">
        <f t="shared" si="26"/>
        <v>0</v>
      </c>
      <c r="BE92" s="244">
        <f t="shared" si="66"/>
        <v>0</v>
      </c>
      <c r="BF92" s="245">
        <f t="shared" si="63"/>
        <v>0</v>
      </c>
      <c r="BH92" s="255">
        <f t="shared" si="55"/>
        <v>0</v>
      </c>
      <c r="BI92" s="255">
        <f t="shared" si="56"/>
        <v>0</v>
      </c>
      <c r="BJ92" s="255">
        <f t="shared" si="57"/>
        <v>0</v>
      </c>
      <c r="BK92" s="256">
        <f t="shared" si="58"/>
        <v>0</v>
      </c>
      <c r="BL92" s="262">
        <f t="shared" si="59"/>
        <v>0</v>
      </c>
      <c r="BM92" s="257">
        <f t="shared" si="64"/>
        <v>0</v>
      </c>
      <c r="BO92" s="714" t="str">
        <f t="shared" si="65"/>
        <v/>
      </c>
    </row>
    <row r="93" spans="2:67" ht="15" customHeight="1" x14ac:dyDescent="0.25">
      <c r="B93" s="26">
        <f t="shared" si="60"/>
        <v>21</v>
      </c>
      <c r="C93" s="837"/>
      <c r="D93" s="778"/>
      <c r="E93" s="838"/>
      <c r="G93" s="498"/>
      <c r="H93" s="491"/>
      <c r="I93" s="487"/>
      <c r="J93" s="487"/>
      <c r="K93" s="488"/>
      <c r="L93" s="487"/>
      <c r="M93" s="487"/>
      <c r="N93" s="487"/>
      <c r="O93" s="488"/>
      <c r="P93" s="487"/>
      <c r="Q93" s="487"/>
      <c r="R93" s="488"/>
      <c r="S93" s="491"/>
      <c r="T93" s="487"/>
      <c r="U93" s="491"/>
      <c r="V93" s="488"/>
      <c r="X93" s="190">
        <f>'Q (t)'!G93</f>
        <v>0</v>
      </c>
      <c r="Y93" s="197">
        <f>'Q (t)'!H93</f>
        <v>0</v>
      </c>
      <c r="Z93" s="192">
        <f>'Q (t)'!I93</f>
        <v>0</v>
      </c>
      <c r="AA93" s="192">
        <f>'Q (t)'!J93</f>
        <v>0</v>
      </c>
      <c r="AB93" s="193">
        <f>'Q (t)'!K93</f>
        <v>0</v>
      </c>
      <c r="AC93" s="192">
        <f>'Q (t)'!L93</f>
        <v>0</v>
      </c>
      <c r="AD93" s="192">
        <f>'Q (t)'!M93</f>
        <v>0</v>
      </c>
      <c r="AE93" s="192">
        <f>'Q (t)'!N93</f>
        <v>0</v>
      </c>
      <c r="AF93" s="193">
        <f>'Q (t)'!O93</f>
        <v>0</v>
      </c>
      <c r="AG93" s="192">
        <f>'Q (t)'!P93</f>
        <v>0</v>
      </c>
      <c r="AH93" s="192">
        <f>'Q (t)'!Q93</f>
        <v>0</v>
      </c>
      <c r="AI93" s="193">
        <f>'Q (t)'!R93</f>
        <v>0</v>
      </c>
      <c r="AJ93" s="197">
        <f>'Q (t)'!S93</f>
        <v>0</v>
      </c>
      <c r="AK93" s="192">
        <f>'Q (t)'!T93</f>
        <v>0</v>
      </c>
      <c r="AL93" s="197">
        <f>'Q (t)'!U93</f>
        <v>0</v>
      </c>
      <c r="AM93" s="193">
        <f>'Q (t)'!V93</f>
        <v>0</v>
      </c>
      <c r="AO93" s="190">
        <f t="shared" si="61"/>
        <v>0</v>
      </c>
      <c r="AP93" s="197">
        <f t="shared" si="62"/>
        <v>0</v>
      </c>
      <c r="AQ93" s="192">
        <f t="shared" si="62"/>
        <v>0</v>
      </c>
      <c r="AR93" s="192">
        <f t="shared" si="62"/>
        <v>0</v>
      </c>
      <c r="AS93" s="193">
        <f t="shared" si="62"/>
        <v>0</v>
      </c>
      <c r="AT93" s="192">
        <f t="shared" si="62"/>
        <v>0</v>
      </c>
      <c r="AU93" s="192">
        <f t="shared" si="62"/>
        <v>0</v>
      </c>
      <c r="AV93" s="192">
        <f t="shared" si="62"/>
        <v>0</v>
      </c>
      <c r="AW93" s="193">
        <f t="shared" si="62"/>
        <v>0</v>
      </c>
      <c r="AX93" s="192">
        <f t="shared" si="54"/>
        <v>0</v>
      </c>
      <c r="AY93" s="192">
        <f t="shared" si="54"/>
        <v>0</v>
      </c>
      <c r="AZ93" s="193">
        <f t="shared" si="54"/>
        <v>0</v>
      </c>
      <c r="BA93" s="197">
        <f t="shared" si="26"/>
        <v>0</v>
      </c>
      <c r="BB93" s="192">
        <f t="shared" si="26"/>
        <v>0</v>
      </c>
      <c r="BC93" s="197">
        <f t="shared" si="26"/>
        <v>0</v>
      </c>
      <c r="BD93" s="192">
        <f t="shared" si="26"/>
        <v>0</v>
      </c>
      <c r="BE93" s="246">
        <f t="shared" si="66"/>
        <v>0</v>
      </c>
      <c r="BF93" s="247">
        <f t="shared" si="63"/>
        <v>0</v>
      </c>
      <c r="BH93" s="255">
        <f>SUM(AO93)</f>
        <v>0</v>
      </c>
      <c r="BI93" s="255">
        <f>SUM(AP93:AS93)</f>
        <v>0</v>
      </c>
      <c r="BJ93" s="255">
        <f>SUM(AT93:AW93)</f>
        <v>0</v>
      </c>
      <c r="BK93" s="256">
        <f>SUM(AX93:BB93)</f>
        <v>0</v>
      </c>
      <c r="BL93" s="262">
        <f>SUM(BC93:BD93)</f>
        <v>0</v>
      </c>
      <c r="BM93" s="257">
        <f t="shared" si="64"/>
        <v>0</v>
      </c>
      <c r="BO93" s="714" t="str">
        <f t="shared" si="65"/>
        <v/>
      </c>
    </row>
    <row r="94" spans="2:67" ht="15" customHeight="1" x14ac:dyDescent="0.25">
      <c r="B94" s="35" t="s">
        <v>112</v>
      </c>
      <c r="C94" s="36" t="s">
        <v>113</v>
      </c>
      <c r="D94" s="36"/>
      <c r="E94" s="107"/>
      <c r="G94" s="482"/>
      <c r="H94" s="479"/>
      <c r="I94" s="461"/>
      <c r="J94" s="461"/>
      <c r="K94" s="462"/>
      <c r="L94" s="461"/>
      <c r="M94" s="461"/>
      <c r="N94" s="461"/>
      <c r="O94" s="462"/>
      <c r="P94" s="461"/>
      <c r="Q94" s="461"/>
      <c r="R94" s="462"/>
      <c r="S94" s="479"/>
      <c r="T94" s="461"/>
      <c r="U94" s="479"/>
      <c r="V94" s="462"/>
      <c r="X94" s="183">
        <f>'Q (t)'!G94</f>
        <v>0</v>
      </c>
      <c r="Y94" s="184">
        <f>'Q (t)'!H94</f>
        <v>0</v>
      </c>
      <c r="Z94" s="178">
        <f>'Q (t)'!I94</f>
        <v>0</v>
      </c>
      <c r="AA94" s="178">
        <f>'Q (t)'!J94</f>
        <v>0</v>
      </c>
      <c r="AB94" s="179">
        <f>'Q (t)'!K94</f>
        <v>0</v>
      </c>
      <c r="AC94" s="178">
        <f>'Q (t)'!L94</f>
        <v>0</v>
      </c>
      <c r="AD94" s="178">
        <f>'Q (t)'!M94</f>
        <v>0</v>
      </c>
      <c r="AE94" s="178">
        <f>'Q (t)'!N94</f>
        <v>0</v>
      </c>
      <c r="AF94" s="179">
        <f>'Q (t)'!O94</f>
        <v>0</v>
      </c>
      <c r="AG94" s="178">
        <f>'Q (t)'!P94</f>
        <v>0</v>
      </c>
      <c r="AH94" s="178">
        <f>'Q (t)'!Q94</f>
        <v>0</v>
      </c>
      <c r="AI94" s="179">
        <f>'Q (t)'!R94</f>
        <v>0</v>
      </c>
      <c r="AJ94" s="184">
        <f>'Q (t)'!S94</f>
        <v>0</v>
      </c>
      <c r="AK94" s="178">
        <f>'Q (t)'!T94</f>
        <v>0</v>
      </c>
      <c r="AL94" s="184">
        <f>'Q (t)'!U94</f>
        <v>0</v>
      </c>
      <c r="AM94" s="179">
        <f>'Q (t)'!V94</f>
        <v>0</v>
      </c>
      <c r="AO94" s="183">
        <f t="shared" si="61"/>
        <v>0</v>
      </c>
      <c r="AP94" s="184">
        <f t="shared" si="62"/>
        <v>0</v>
      </c>
      <c r="AQ94" s="178">
        <f t="shared" si="62"/>
        <v>0</v>
      </c>
      <c r="AR94" s="178">
        <f t="shared" si="62"/>
        <v>0</v>
      </c>
      <c r="AS94" s="179">
        <f t="shared" si="62"/>
        <v>0</v>
      </c>
      <c r="AT94" s="178">
        <f t="shared" si="62"/>
        <v>0</v>
      </c>
      <c r="AU94" s="178">
        <f t="shared" si="62"/>
        <v>0</v>
      </c>
      <c r="AV94" s="178">
        <f t="shared" si="62"/>
        <v>0</v>
      </c>
      <c r="AW94" s="179">
        <f t="shared" si="62"/>
        <v>0</v>
      </c>
      <c r="AX94" s="178">
        <f t="shared" si="54"/>
        <v>0</v>
      </c>
      <c r="AY94" s="178">
        <f t="shared" si="54"/>
        <v>0</v>
      </c>
      <c r="AZ94" s="179">
        <f t="shared" si="54"/>
        <v>0</v>
      </c>
      <c r="BA94" s="184">
        <f t="shared" si="26"/>
        <v>0</v>
      </c>
      <c r="BB94" s="178">
        <f t="shared" si="26"/>
        <v>0</v>
      </c>
      <c r="BC94" s="184">
        <f t="shared" si="26"/>
        <v>0</v>
      </c>
      <c r="BD94" s="178">
        <f t="shared" si="26"/>
        <v>0</v>
      </c>
      <c r="BE94" s="244">
        <f t="shared" si="66"/>
        <v>0</v>
      </c>
      <c r="BF94" s="245">
        <f t="shared" si="63"/>
        <v>0</v>
      </c>
      <c r="BH94" s="253">
        <f>SUBTOTAL(9,BH95:BH129)</f>
        <v>0</v>
      </c>
      <c r="BI94" s="253">
        <f>SUBTOTAL(9,BI95:BI129)</f>
        <v>1063.4328</v>
      </c>
      <c r="BJ94" s="253">
        <f>SUBTOTAL(9,BJ95:BJ129)</f>
        <v>0</v>
      </c>
      <c r="BK94" s="253">
        <f>SUBTOTAL(9,BK95:BK129)</f>
        <v>0</v>
      </c>
      <c r="BL94" s="253">
        <f>SUBTOTAL(9,BL95:BL129)</f>
        <v>0</v>
      </c>
      <c r="BM94" s="257">
        <f t="shared" si="64"/>
        <v>1063.4328</v>
      </c>
      <c r="BO94" s="714" t="str">
        <f t="shared" si="65"/>
        <v/>
      </c>
    </row>
    <row r="95" spans="2:67" ht="15" customHeight="1" x14ac:dyDescent="0.25">
      <c r="B95" s="19"/>
      <c r="C95" s="36" t="s">
        <v>114</v>
      </c>
      <c r="D95" s="85"/>
      <c r="E95" s="85"/>
      <c r="G95" s="482"/>
      <c r="H95" s="479"/>
      <c r="I95" s="461"/>
      <c r="J95" s="461"/>
      <c r="K95" s="462"/>
      <c r="L95" s="461"/>
      <c r="M95" s="461"/>
      <c r="N95" s="461"/>
      <c r="O95" s="462"/>
      <c r="P95" s="461"/>
      <c r="Q95" s="461"/>
      <c r="R95" s="462"/>
      <c r="S95" s="479"/>
      <c r="T95" s="461"/>
      <c r="U95" s="479"/>
      <c r="V95" s="462"/>
      <c r="X95" s="183">
        <f>'Q (t)'!G95</f>
        <v>0</v>
      </c>
      <c r="Y95" s="184">
        <f>'Q (t)'!H95</f>
        <v>0</v>
      </c>
      <c r="Z95" s="178">
        <f>'Q (t)'!I95</f>
        <v>0</v>
      </c>
      <c r="AA95" s="178">
        <f>'Q (t)'!J95</f>
        <v>0</v>
      </c>
      <c r="AB95" s="179">
        <f>'Q (t)'!K95</f>
        <v>0</v>
      </c>
      <c r="AC95" s="178">
        <f>'Q (t)'!L95</f>
        <v>0</v>
      </c>
      <c r="AD95" s="178">
        <f>'Q (t)'!M95</f>
        <v>0</v>
      </c>
      <c r="AE95" s="178">
        <f>'Q (t)'!N95</f>
        <v>0</v>
      </c>
      <c r="AF95" s="179">
        <f>'Q (t)'!O95</f>
        <v>0</v>
      </c>
      <c r="AG95" s="178">
        <f>'Q (t)'!P95</f>
        <v>0</v>
      </c>
      <c r="AH95" s="178">
        <f>'Q (t)'!Q95</f>
        <v>0</v>
      </c>
      <c r="AI95" s="179">
        <f>'Q (t)'!R95</f>
        <v>0</v>
      </c>
      <c r="AJ95" s="184">
        <f>'Q (t)'!S95</f>
        <v>0</v>
      </c>
      <c r="AK95" s="178">
        <f>'Q (t)'!T95</f>
        <v>0</v>
      </c>
      <c r="AL95" s="184">
        <f>'Q (t)'!U95</f>
        <v>0</v>
      </c>
      <c r="AM95" s="179">
        <f>'Q (t)'!V95</f>
        <v>0</v>
      </c>
      <c r="AO95" s="183">
        <f t="shared" si="61"/>
        <v>0</v>
      </c>
      <c r="AP95" s="184">
        <f t="shared" si="62"/>
        <v>0</v>
      </c>
      <c r="AQ95" s="178">
        <f t="shared" si="62"/>
        <v>0</v>
      </c>
      <c r="AR95" s="178">
        <f t="shared" si="62"/>
        <v>0</v>
      </c>
      <c r="AS95" s="179">
        <f t="shared" si="62"/>
        <v>0</v>
      </c>
      <c r="AT95" s="178">
        <f t="shared" si="62"/>
        <v>0</v>
      </c>
      <c r="AU95" s="178">
        <f t="shared" si="62"/>
        <v>0</v>
      </c>
      <c r="AV95" s="178">
        <f t="shared" si="62"/>
        <v>0</v>
      </c>
      <c r="AW95" s="179">
        <f t="shared" si="62"/>
        <v>0</v>
      </c>
      <c r="AX95" s="178">
        <f t="shared" si="54"/>
        <v>0</v>
      </c>
      <c r="AY95" s="178">
        <f t="shared" si="54"/>
        <v>0</v>
      </c>
      <c r="AZ95" s="179">
        <f t="shared" si="54"/>
        <v>0</v>
      </c>
      <c r="BA95" s="184">
        <f t="shared" si="26"/>
        <v>0</v>
      </c>
      <c r="BB95" s="178">
        <f t="shared" si="26"/>
        <v>0</v>
      </c>
      <c r="BC95" s="184">
        <f t="shared" si="26"/>
        <v>0</v>
      </c>
      <c r="BD95" s="178">
        <f t="shared" si="26"/>
        <v>0</v>
      </c>
      <c r="BE95" s="244">
        <f t="shared" si="66"/>
        <v>0</v>
      </c>
      <c r="BF95" s="245">
        <f t="shared" si="63"/>
        <v>0</v>
      </c>
      <c r="BH95" s="252">
        <f>SUBTOTAL(9,BH96:BH103)</f>
        <v>0</v>
      </c>
      <c r="BI95" s="252">
        <f>SUBTOTAL(9,BI96:BI103)</f>
        <v>105.6978</v>
      </c>
      <c r="BJ95" s="252">
        <f>SUBTOTAL(9,BJ96:BJ103)</f>
        <v>0</v>
      </c>
      <c r="BK95" s="252">
        <f>SUBTOTAL(9,BK96:BK103)</f>
        <v>0</v>
      </c>
      <c r="BL95" s="252">
        <f>SUBTOTAL(9,BL96:BL103)</f>
        <v>0</v>
      </c>
      <c r="BM95" s="257">
        <f t="shared" si="64"/>
        <v>105.6978</v>
      </c>
      <c r="BO95" s="714" t="str">
        <f t="shared" si="65"/>
        <v/>
      </c>
    </row>
    <row r="96" spans="2:67" ht="15" customHeight="1" x14ac:dyDescent="0.25">
      <c r="B96" s="19">
        <v>1</v>
      </c>
      <c r="C96" s="44" t="s">
        <v>115</v>
      </c>
      <c r="D96" s="45"/>
      <c r="E96" s="105" t="s">
        <v>116</v>
      </c>
      <c r="G96" s="477">
        <f>ROUND('[15]JSO (t)'!G94*$BT$135,4)</f>
        <v>0</v>
      </c>
      <c r="H96" s="478">
        <f>ROUND('[15]JSO (t)'!H94*$BT$135,4)</f>
        <v>8.9999999999999998E-4</v>
      </c>
      <c r="I96" s="461"/>
      <c r="J96" s="461"/>
      <c r="K96" s="462"/>
      <c r="L96" s="461"/>
      <c r="M96" s="461"/>
      <c r="N96" s="461"/>
      <c r="O96" s="462"/>
      <c r="P96" s="461"/>
      <c r="Q96" s="461"/>
      <c r="R96" s="462"/>
      <c r="S96" s="478">
        <f>ROUND('[15]JSO (t)'!S94*$BT$135,4)</f>
        <v>0</v>
      </c>
      <c r="T96" s="483">
        <f>ROUND('[15]JSO (t)'!T94*$BT$135,4)</f>
        <v>0</v>
      </c>
      <c r="U96" s="480"/>
      <c r="V96" s="481"/>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61"/>
        <v>0</v>
      </c>
      <c r="AP96" s="184">
        <f t="shared" si="62"/>
        <v>0</v>
      </c>
      <c r="AQ96" s="178">
        <f t="shared" si="62"/>
        <v>0</v>
      </c>
      <c r="AR96" s="178">
        <f t="shared" si="62"/>
        <v>0</v>
      </c>
      <c r="AS96" s="179">
        <f t="shared" si="62"/>
        <v>0</v>
      </c>
      <c r="AT96" s="178">
        <f t="shared" si="62"/>
        <v>0</v>
      </c>
      <c r="AU96" s="178">
        <f t="shared" si="62"/>
        <v>0</v>
      </c>
      <c r="AV96" s="178">
        <f t="shared" si="62"/>
        <v>0</v>
      </c>
      <c r="AW96" s="179">
        <f t="shared" si="62"/>
        <v>0</v>
      </c>
      <c r="AX96" s="178">
        <f t="shared" si="54"/>
        <v>0</v>
      </c>
      <c r="AY96" s="178">
        <f t="shared" si="54"/>
        <v>0</v>
      </c>
      <c r="AZ96" s="179">
        <f t="shared" si="54"/>
        <v>0</v>
      </c>
      <c r="BA96" s="184">
        <f t="shared" si="26"/>
        <v>0</v>
      </c>
      <c r="BB96" s="178">
        <f t="shared" si="26"/>
        <v>0</v>
      </c>
      <c r="BC96" s="184">
        <f t="shared" si="26"/>
        <v>0</v>
      </c>
      <c r="BD96" s="178">
        <f t="shared" si="26"/>
        <v>0</v>
      </c>
      <c r="BE96" s="244">
        <f t="shared" si="66"/>
        <v>0</v>
      </c>
      <c r="BF96" s="245">
        <f t="shared" si="63"/>
        <v>0</v>
      </c>
      <c r="BH96" s="255">
        <f t="shared" ref="BH96:BH103" si="69">SUM(AO96)</f>
        <v>0</v>
      </c>
      <c r="BI96" s="255">
        <f t="shared" ref="BI96:BI103" si="70">SUM(AP96:AS96)</f>
        <v>0</v>
      </c>
      <c r="BJ96" s="255">
        <f t="shared" ref="BJ96:BJ103" si="71">SUM(AT96:AW96)</f>
        <v>0</v>
      </c>
      <c r="BK96" s="256">
        <f t="shared" ref="BK96:BK103" si="72">SUM(AX96:BB96)</f>
        <v>0</v>
      </c>
      <c r="BL96" s="262">
        <f t="shared" ref="BL96:BL103" si="73">SUM(BC96:BD96)</f>
        <v>0</v>
      </c>
      <c r="BM96" s="257">
        <f t="shared" si="64"/>
        <v>0</v>
      </c>
      <c r="BO96" s="714" t="str">
        <f t="shared" si="65"/>
        <v/>
      </c>
    </row>
    <row r="97" spans="2:67" ht="15" customHeight="1" x14ac:dyDescent="0.25">
      <c r="B97" s="19">
        <f>1+B96</f>
        <v>2</v>
      </c>
      <c r="C97" s="44" t="s">
        <v>117</v>
      </c>
      <c r="D97" s="45"/>
      <c r="E97" s="105" t="s">
        <v>118</v>
      </c>
      <c r="G97" s="864">
        <f>'Cust Specific'!T210</f>
        <v>0</v>
      </c>
      <c r="H97" s="865">
        <f>'Cust Specific'!T213</f>
        <v>8.9999999999999998E-4</v>
      </c>
      <c r="I97" s="461"/>
      <c r="J97" s="461"/>
      <c r="K97" s="462"/>
      <c r="L97" s="461"/>
      <c r="M97" s="461"/>
      <c r="N97" s="461"/>
      <c r="O97" s="462"/>
      <c r="P97" s="461"/>
      <c r="Q97" s="461"/>
      <c r="R97" s="462"/>
      <c r="S97" s="865">
        <f>'Cust Specific'!T211</f>
        <v>0</v>
      </c>
      <c r="T97" s="866">
        <f>'Cust Specific'!T212</f>
        <v>0</v>
      </c>
      <c r="U97" s="480"/>
      <c r="V97" s="481"/>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61"/>
        <v>0</v>
      </c>
      <c r="AP97" s="184">
        <f t="shared" ref="AP97:AW112" si="74">H97*Y97</f>
        <v>15.965999999999999</v>
      </c>
      <c r="AQ97" s="178">
        <f t="shared" si="74"/>
        <v>0</v>
      </c>
      <c r="AR97" s="178">
        <f t="shared" si="74"/>
        <v>0</v>
      </c>
      <c r="AS97" s="179">
        <f t="shared" si="74"/>
        <v>0</v>
      </c>
      <c r="AT97" s="178">
        <f t="shared" si="74"/>
        <v>0</v>
      </c>
      <c r="AU97" s="178">
        <f t="shared" si="74"/>
        <v>0</v>
      </c>
      <c r="AV97" s="178">
        <f t="shared" si="74"/>
        <v>0</v>
      </c>
      <c r="AW97" s="179">
        <f t="shared" si="74"/>
        <v>0</v>
      </c>
      <c r="AX97" s="178">
        <f t="shared" si="54"/>
        <v>0</v>
      </c>
      <c r="AY97" s="178">
        <f t="shared" si="54"/>
        <v>0</v>
      </c>
      <c r="AZ97" s="179">
        <f t="shared" si="54"/>
        <v>0</v>
      </c>
      <c r="BA97" s="184">
        <f t="shared" si="26"/>
        <v>0</v>
      </c>
      <c r="BB97" s="178">
        <f t="shared" si="26"/>
        <v>0</v>
      </c>
      <c r="BC97" s="184">
        <f t="shared" si="26"/>
        <v>0</v>
      </c>
      <c r="BD97" s="178">
        <f t="shared" si="26"/>
        <v>0</v>
      </c>
      <c r="BE97" s="244">
        <f t="shared" si="66"/>
        <v>1</v>
      </c>
      <c r="BF97" s="245">
        <f t="shared" si="63"/>
        <v>17740</v>
      </c>
      <c r="BH97" s="255">
        <f t="shared" si="69"/>
        <v>0</v>
      </c>
      <c r="BI97" s="255">
        <f t="shared" si="70"/>
        <v>15.965999999999999</v>
      </c>
      <c r="BJ97" s="255">
        <f t="shared" si="71"/>
        <v>0</v>
      </c>
      <c r="BK97" s="256">
        <f t="shared" si="72"/>
        <v>0</v>
      </c>
      <c r="BL97" s="262">
        <f t="shared" si="73"/>
        <v>0</v>
      </c>
      <c r="BM97" s="257">
        <f t="shared" si="64"/>
        <v>15.965999999999999</v>
      </c>
      <c r="BO97" s="714">
        <f t="shared" si="65"/>
        <v>0.9</v>
      </c>
    </row>
    <row r="98" spans="2:67" ht="15" customHeight="1" x14ac:dyDescent="0.25">
      <c r="B98" s="19">
        <f t="shared" ref="B98:B129" si="75">B97+1</f>
        <v>3</v>
      </c>
      <c r="C98" s="44" t="s">
        <v>122</v>
      </c>
      <c r="D98" s="45"/>
      <c r="E98" s="105" t="s">
        <v>118</v>
      </c>
      <c r="G98" s="864">
        <f>'Cust Specific'!T217</f>
        <v>0</v>
      </c>
      <c r="H98" s="865">
        <f>'Cust Specific'!T220</f>
        <v>8.9999999999999998E-4</v>
      </c>
      <c r="I98" s="461"/>
      <c r="J98" s="461"/>
      <c r="K98" s="462"/>
      <c r="L98" s="461"/>
      <c r="M98" s="461"/>
      <c r="N98" s="461"/>
      <c r="O98" s="462"/>
      <c r="P98" s="461"/>
      <c r="Q98" s="461"/>
      <c r="R98" s="462"/>
      <c r="S98" s="865">
        <f>'Cust Specific'!T218</f>
        <v>0</v>
      </c>
      <c r="T98" s="866">
        <f>'Cust Specific'!T219</f>
        <v>0</v>
      </c>
      <c r="U98" s="480"/>
      <c r="V98" s="481"/>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61"/>
        <v>0</v>
      </c>
      <c r="AP98" s="184">
        <f t="shared" si="74"/>
        <v>21.995999999999999</v>
      </c>
      <c r="AQ98" s="178">
        <f t="shared" si="74"/>
        <v>0</v>
      </c>
      <c r="AR98" s="178">
        <f t="shared" si="74"/>
        <v>0</v>
      </c>
      <c r="AS98" s="179">
        <f t="shared" si="74"/>
        <v>0</v>
      </c>
      <c r="AT98" s="178">
        <f t="shared" si="74"/>
        <v>0</v>
      </c>
      <c r="AU98" s="178">
        <f t="shared" si="74"/>
        <v>0</v>
      </c>
      <c r="AV98" s="178">
        <f t="shared" si="74"/>
        <v>0</v>
      </c>
      <c r="AW98" s="179">
        <f t="shared" si="74"/>
        <v>0</v>
      </c>
      <c r="AX98" s="178">
        <f t="shared" si="54"/>
        <v>0</v>
      </c>
      <c r="AY98" s="178">
        <f t="shared" si="54"/>
        <v>0</v>
      </c>
      <c r="AZ98" s="179">
        <f t="shared" si="54"/>
        <v>0</v>
      </c>
      <c r="BA98" s="184">
        <f t="shared" si="26"/>
        <v>0</v>
      </c>
      <c r="BB98" s="178">
        <f t="shared" si="26"/>
        <v>0</v>
      </c>
      <c r="BC98" s="184">
        <f t="shared" si="26"/>
        <v>0</v>
      </c>
      <c r="BD98" s="178">
        <f t="shared" si="26"/>
        <v>0</v>
      </c>
      <c r="BE98" s="244">
        <f>X98/$BE$7</f>
        <v>1</v>
      </c>
      <c r="BF98" s="245">
        <f t="shared" si="63"/>
        <v>24440</v>
      </c>
      <c r="BH98" s="255">
        <f t="shared" si="69"/>
        <v>0</v>
      </c>
      <c r="BI98" s="255">
        <f t="shared" si="70"/>
        <v>21.995999999999999</v>
      </c>
      <c r="BJ98" s="255">
        <f t="shared" si="71"/>
        <v>0</v>
      </c>
      <c r="BK98" s="256">
        <f t="shared" si="72"/>
        <v>0</v>
      </c>
      <c r="BL98" s="262">
        <f t="shared" si="73"/>
        <v>0</v>
      </c>
      <c r="BM98" s="257">
        <f>SUM(BH98:BL98)</f>
        <v>21.995999999999999</v>
      </c>
      <c r="BO98" s="714">
        <f t="shared" si="65"/>
        <v>0.9</v>
      </c>
    </row>
    <row r="99" spans="2:67" ht="15" customHeight="1" x14ac:dyDescent="0.25">
      <c r="B99" s="19">
        <f t="shared" si="75"/>
        <v>4</v>
      </c>
      <c r="C99" s="44" t="s">
        <v>123</v>
      </c>
      <c r="D99" s="45"/>
      <c r="E99" s="105" t="s">
        <v>118</v>
      </c>
      <c r="G99" s="864">
        <f>'Cust Specific'!T224</f>
        <v>0</v>
      </c>
      <c r="H99" s="865">
        <f>'Cust Specific'!T227</f>
        <v>8.9999999999999998E-4</v>
      </c>
      <c r="I99" s="461"/>
      <c r="J99" s="461"/>
      <c r="K99" s="462"/>
      <c r="L99" s="461"/>
      <c r="M99" s="461"/>
      <c r="N99" s="461"/>
      <c r="O99" s="462"/>
      <c r="P99" s="461"/>
      <c r="Q99" s="461"/>
      <c r="R99" s="462"/>
      <c r="S99" s="865">
        <f>'Cust Specific'!T225</f>
        <v>0</v>
      </c>
      <c r="T99" s="866">
        <f>'Cust Specific'!T226</f>
        <v>0</v>
      </c>
      <c r="U99" s="480"/>
      <c r="V99" s="481"/>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61"/>
        <v>0</v>
      </c>
      <c r="AP99" s="184">
        <f t="shared" si="74"/>
        <v>10.241999999999999</v>
      </c>
      <c r="AQ99" s="178">
        <f t="shared" si="74"/>
        <v>0</v>
      </c>
      <c r="AR99" s="178">
        <f t="shared" si="74"/>
        <v>0</v>
      </c>
      <c r="AS99" s="179">
        <f t="shared" si="74"/>
        <v>0</v>
      </c>
      <c r="AT99" s="178">
        <f t="shared" si="74"/>
        <v>0</v>
      </c>
      <c r="AU99" s="178">
        <f t="shared" si="74"/>
        <v>0</v>
      </c>
      <c r="AV99" s="178">
        <f t="shared" si="74"/>
        <v>0</v>
      </c>
      <c r="AW99" s="179">
        <f t="shared" si="74"/>
        <v>0</v>
      </c>
      <c r="AX99" s="178">
        <f t="shared" si="54"/>
        <v>0</v>
      </c>
      <c r="AY99" s="178">
        <f t="shared" si="54"/>
        <v>0</v>
      </c>
      <c r="AZ99" s="179">
        <f t="shared" si="54"/>
        <v>0</v>
      </c>
      <c r="BA99" s="184">
        <f t="shared" si="26"/>
        <v>0</v>
      </c>
      <c r="BB99" s="178">
        <f t="shared" si="26"/>
        <v>0</v>
      </c>
      <c r="BC99" s="184">
        <f t="shared" si="26"/>
        <v>0</v>
      </c>
      <c r="BD99" s="178">
        <f t="shared" si="26"/>
        <v>0</v>
      </c>
      <c r="BE99" s="244">
        <f>X99/$BE$7</f>
        <v>1</v>
      </c>
      <c r="BF99" s="245">
        <f t="shared" si="63"/>
        <v>11380</v>
      </c>
      <c r="BH99" s="255">
        <f t="shared" si="69"/>
        <v>0</v>
      </c>
      <c r="BI99" s="255">
        <f t="shared" si="70"/>
        <v>10.241999999999999</v>
      </c>
      <c r="BJ99" s="255">
        <f t="shared" si="71"/>
        <v>0</v>
      </c>
      <c r="BK99" s="256">
        <f t="shared" si="72"/>
        <v>0</v>
      </c>
      <c r="BL99" s="262">
        <f t="shared" si="73"/>
        <v>0</v>
      </c>
      <c r="BM99" s="257">
        <f>SUM(BH99:BL99)</f>
        <v>10.241999999999999</v>
      </c>
      <c r="BO99" s="714">
        <f t="shared" si="65"/>
        <v>0.9</v>
      </c>
    </row>
    <row r="100" spans="2:67" ht="15" customHeight="1" x14ac:dyDescent="0.25">
      <c r="B100" s="19">
        <f t="shared" si="75"/>
        <v>5</v>
      </c>
      <c r="C100" s="44" t="s">
        <v>119</v>
      </c>
      <c r="D100" s="45"/>
      <c r="E100" s="105" t="s">
        <v>118</v>
      </c>
      <c r="G100" s="864">
        <f>'Cust Specific'!T231</f>
        <v>0</v>
      </c>
      <c r="H100" s="865">
        <f>'Cust Specific'!T234</f>
        <v>8.9999999999999998E-4</v>
      </c>
      <c r="I100" s="461"/>
      <c r="J100" s="461"/>
      <c r="K100" s="462"/>
      <c r="L100" s="461"/>
      <c r="M100" s="461"/>
      <c r="N100" s="461"/>
      <c r="O100" s="462"/>
      <c r="P100" s="461"/>
      <c r="Q100" s="461"/>
      <c r="R100" s="462"/>
      <c r="S100" s="865">
        <f>'Cust Specific'!T232</f>
        <v>0</v>
      </c>
      <c r="T100" s="866">
        <f>'Cust Specific'!T233</f>
        <v>0</v>
      </c>
      <c r="U100" s="480"/>
      <c r="V100" s="481"/>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61"/>
        <v>0</v>
      </c>
      <c r="AP100" s="184">
        <f t="shared" si="74"/>
        <v>22.527000000000001</v>
      </c>
      <c r="AQ100" s="178">
        <f t="shared" si="74"/>
        <v>0</v>
      </c>
      <c r="AR100" s="178">
        <f t="shared" si="74"/>
        <v>0</v>
      </c>
      <c r="AS100" s="179">
        <f t="shared" si="74"/>
        <v>0</v>
      </c>
      <c r="AT100" s="178">
        <f t="shared" si="74"/>
        <v>0</v>
      </c>
      <c r="AU100" s="178">
        <f t="shared" si="74"/>
        <v>0</v>
      </c>
      <c r="AV100" s="178">
        <f t="shared" si="74"/>
        <v>0</v>
      </c>
      <c r="AW100" s="179">
        <f t="shared" si="74"/>
        <v>0</v>
      </c>
      <c r="AX100" s="178">
        <f t="shared" si="54"/>
        <v>0</v>
      </c>
      <c r="AY100" s="178">
        <f t="shared" si="54"/>
        <v>0</v>
      </c>
      <c r="AZ100" s="179">
        <f t="shared" si="54"/>
        <v>0</v>
      </c>
      <c r="BA100" s="184">
        <f t="shared" si="26"/>
        <v>0</v>
      </c>
      <c r="BB100" s="178">
        <f t="shared" si="26"/>
        <v>0</v>
      </c>
      <c r="BC100" s="184">
        <f t="shared" si="26"/>
        <v>0</v>
      </c>
      <c r="BD100" s="178">
        <f t="shared" si="26"/>
        <v>0</v>
      </c>
      <c r="BE100" s="244">
        <f t="shared" si="66"/>
        <v>1</v>
      </c>
      <c r="BF100" s="245">
        <f t="shared" si="63"/>
        <v>25030</v>
      </c>
      <c r="BH100" s="255">
        <f t="shared" si="69"/>
        <v>0</v>
      </c>
      <c r="BI100" s="255">
        <f t="shared" si="70"/>
        <v>22.527000000000001</v>
      </c>
      <c r="BJ100" s="255">
        <f t="shared" si="71"/>
        <v>0</v>
      </c>
      <c r="BK100" s="256">
        <f t="shared" si="72"/>
        <v>0</v>
      </c>
      <c r="BL100" s="262">
        <f t="shared" si="73"/>
        <v>0</v>
      </c>
      <c r="BM100" s="257">
        <f t="shared" si="64"/>
        <v>22.527000000000001</v>
      </c>
      <c r="BO100" s="714">
        <f t="shared" si="65"/>
        <v>0.9</v>
      </c>
    </row>
    <row r="101" spans="2:67" ht="15" customHeight="1" x14ac:dyDescent="0.25">
      <c r="B101" s="19">
        <f t="shared" si="75"/>
        <v>6</v>
      </c>
      <c r="C101" s="44" t="s">
        <v>708</v>
      </c>
      <c r="D101" s="45"/>
      <c r="E101" s="105" t="s">
        <v>118</v>
      </c>
      <c r="G101" s="864">
        <f>'Cust Specific'!T238</f>
        <v>0</v>
      </c>
      <c r="H101" s="865">
        <f>'Cust Specific'!T241</f>
        <v>8.9999999999999998E-4</v>
      </c>
      <c r="I101" s="461"/>
      <c r="J101" s="461"/>
      <c r="K101" s="462"/>
      <c r="L101" s="461"/>
      <c r="M101" s="461"/>
      <c r="N101" s="461"/>
      <c r="O101" s="462"/>
      <c r="P101" s="461"/>
      <c r="Q101" s="461"/>
      <c r="R101" s="462"/>
      <c r="S101" s="865">
        <f>'Cust Specific'!T239</f>
        <v>0</v>
      </c>
      <c r="T101" s="866">
        <f>'Cust Specific'!T240</f>
        <v>0</v>
      </c>
      <c r="U101" s="480"/>
      <c r="V101" s="481"/>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G101*X101/1000</f>
        <v>0</v>
      </c>
      <c r="AP101" s="184">
        <f t="shared" ref="AP101:AW101" si="76">H101*Y101</f>
        <v>10.4328</v>
      </c>
      <c r="AQ101" s="178">
        <f t="shared" si="76"/>
        <v>0</v>
      </c>
      <c r="AR101" s="178">
        <f t="shared" si="76"/>
        <v>0</v>
      </c>
      <c r="AS101" s="179">
        <f t="shared" si="76"/>
        <v>0</v>
      </c>
      <c r="AT101" s="178">
        <f t="shared" si="76"/>
        <v>0</v>
      </c>
      <c r="AU101" s="178">
        <f t="shared" si="76"/>
        <v>0</v>
      </c>
      <c r="AV101" s="178">
        <f t="shared" si="76"/>
        <v>0</v>
      </c>
      <c r="AW101" s="179">
        <f t="shared" si="76"/>
        <v>0</v>
      </c>
      <c r="AX101" s="178">
        <f t="shared" ref="AX101:BD101" si="77">P101*AG101/1000</f>
        <v>0</v>
      </c>
      <c r="AY101" s="178">
        <f t="shared" si="77"/>
        <v>0</v>
      </c>
      <c r="AZ101" s="179">
        <f t="shared" si="77"/>
        <v>0</v>
      </c>
      <c r="BA101" s="184">
        <f t="shared" si="77"/>
        <v>0</v>
      </c>
      <c r="BB101" s="178">
        <f t="shared" si="77"/>
        <v>0</v>
      </c>
      <c r="BC101" s="184">
        <f t="shared" si="77"/>
        <v>0</v>
      </c>
      <c r="BD101" s="178">
        <f t="shared" si="77"/>
        <v>0</v>
      </c>
      <c r="BE101" s="244">
        <f>X101/$BE$7</f>
        <v>1</v>
      </c>
      <c r="BF101" s="245">
        <f>SUM(Y101:AF101)</f>
        <v>11592</v>
      </c>
      <c r="BH101" s="255">
        <f>SUM(AO101)</f>
        <v>0</v>
      </c>
      <c r="BI101" s="255">
        <f>SUM(AP101:AS101)</f>
        <v>10.4328</v>
      </c>
      <c r="BJ101" s="255">
        <f>SUM(AT101:AW101)</f>
        <v>0</v>
      </c>
      <c r="BK101" s="256">
        <f>SUM(AX101:BB101)</f>
        <v>0</v>
      </c>
      <c r="BL101" s="262">
        <f>SUM(BC101:BD101)</f>
        <v>0</v>
      </c>
      <c r="BM101" s="257">
        <f>SUM(BH101:BL101)</f>
        <v>10.4328</v>
      </c>
      <c r="BO101" s="714">
        <f>IF(BF101=0,"",BM101*1000/BF101)</f>
        <v>0.90000000000000013</v>
      </c>
    </row>
    <row r="102" spans="2:67" ht="15" customHeight="1" x14ac:dyDescent="0.25">
      <c r="B102" s="19">
        <f t="shared" si="75"/>
        <v>7</v>
      </c>
      <c r="C102" s="44" t="s">
        <v>120</v>
      </c>
      <c r="D102" s="45"/>
      <c r="E102" s="105" t="s">
        <v>118</v>
      </c>
      <c r="G102" s="864">
        <f>'Cust Specific'!T245</f>
        <v>0</v>
      </c>
      <c r="H102" s="865">
        <f>'Cust Specific'!T248</f>
        <v>8.9999999999999998E-4</v>
      </c>
      <c r="I102" s="461"/>
      <c r="J102" s="461"/>
      <c r="K102" s="462"/>
      <c r="L102" s="461"/>
      <c r="M102" s="461"/>
      <c r="N102" s="461"/>
      <c r="O102" s="462"/>
      <c r="P102" s="461"/>
      <c r="Q102" s="461"/>
      <c r="R102" s="462"/>
      <c r="S102" s="865">
        <f>'Cust Specific'!T246</f>
        <v>0</v>
      </c>
      <c r="T102" s="866">
        <f>'Cust Specific'!T247</f>
        <v>0</v>
      </c>
      <c r="U102" s="480"/>
      <c r="V102" s="481"/>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61"/>
        <v>0</v>
      </c>
      <c r="AP102" s="184">
        <f t="shared" si="74"/>
        <v>2.6640000000000001</v>
      </c>
      <c r="AQ102" s="178">
        <f t="shared" si="74"/>
        <v>0</v>
      </c>
      <c r="AR102" s="178">
        <f t="shared" si="74"/>
        <v>0</v>
      </c>
      <c r="AS102" s="179">
        <f t="shared" si="74"/>
        <v>0</v>
      </c>
      <c r="AT102" s="178">
        <f t="shared" si="74"/>
        <v>0</v>
      </c>
      <c r="AU102" s="178">
        <f t="shared" si="74"/>
        <v>0</v>
      </c>
      <c r="AV102" s="178">
        <f t="shared" si="74"/>
        <v>0</v>
      </c>
      <c r="AW102" s="179">
        <f t="shared" si="74"/>
        <v>0</v>
      </c>
      <c r="AX102" s="178">
        <f t="shared" si="54"/>
        <v>0</v>
      </c>
      <c r="AY102" s="178">
        <f t="shared" si="54"/>
        <v>0</v>
      </c>
      <c r="AZ102" s="179">
        <f t="shared" si="54"/>
        <v>0</v>
      </c>
      <c r="BA102" s="184">
        <f t="shared" si="26"/>
        <v>0</v>
      </c>
      <c r="BB102" s="178">
        <f t="shared" si="26"/>
        <v>0</v>
      </c>
      <c r="BC102" s="184">
        <f t="shared" si="26"/>
        <v>0</v>
      </c>
      <c r="BD102" s="178">
        <f t="shared" si="26"/>
        <v>0</v>
      </c>
      <c r="BE102" s="244">
        <f t="shared" si="66"/>
        <v>1</v>
      </c>
      <c r="BF102" s="245">
        <f t="shared" si="63"/>
        <v>2960</v>
      </c>
      <c r="BH102" s="255">
        <f t="shared" si="69"/>
        <v>0</v>
      </c>
      <c r="BI102" s="255">
        <f t="shared" si="70"/>
        <v>2.6640000000000001</v>
      </c>
      <c r="BJ102" s="255">
        <f t="shared" si="71"/>
        <v>0</v>
      </c>
      <c r="BK102" s="256">
        <f t="shared" si="72"/>
        <v>0</v>
      </c>
      <c r="BL102" s="262">
        <f t="shared" si="73"/>
        <v>0</v>
      </c>
      <c r="BM102" s="257">
        <f t="shared" si="64"/>
        <v>2.6640000000000001</v>
      </c>
      <c r="BO102" s="714">
        <f t="shared" si="65"/>
        <v>0.9</v>
      </c>
    </row>
    <row r="103" spans="2:67" ht="15" customHeight="1" x14ac:dyDescent="0.25">
      <c r="B103" s="19">
        <f t="shared" si="75"/>
        <v>8</v>
      </c>
      <c r="C103" s="44" t="s">
        <v>121</v>
      </c>
      <c r="D103" s="45"/>
      <c r="E103" s="105" t="s">
        <v>118</v>
      </c>
      <c r="G103" s="864">
        <f>'Cust Specific'!T252</f>
        <v>0</v>
      </c>
      <c r="H103" s="865">
        <f>'Cust Specific'!T255</f>
        <v>8.9999999999999998E-4</v>
      </c>
      <c r="I103" s="461"/>
      <c r="J103" s="461"/>
      <c r="K103" s="462"/>
      <c r="L103" s="461"/>
      <c r="M103" s="461"/>
      <c r="N103" s="461"/>
      <c r="O103" s="462"/>
      <c r="P103" s="461"/>
      <c r="Q103" s="461"/>
      <c r="R103" s="462"/>
      <c r="S103" s="865">
        <f>'Cust Specific'!T253</f>
        <v>0</v>
      </c>
      <c r="T103" s="866">
        <f>'Cust Specific'!T254</f>
        <v>0</v>
      </c>
      <c r="U103" s="480"/>
      <c r="V103" s="481"/>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61"/>
        <v>0</v>
      </c>
      <c r="AP103" s="184">
        <f t="shared" si="74"/>
        <v>21.87</v>
      </c>
      <c r="AQ103" s="178">
        <f t="shared" si="74"/>
        <v>0</v>
      </c>
      <c r="AR103" s="178">
        <f t="shared" si="74"/>
        <v>0</v>
      </c>
      <c r="AS103" s="179">
        <f t="shared" si="74"/>
        <v>0</v>
      </c>
      <c r="AT103" s="178">
        <f t="shared" si="74"/>
        <v>0</v>
      </c>
      <c r="AU103" s="178">
        <f t="shared" si="74"/>
        <v>0</v>
      </c>
      <c r="AV103" s="178">
        <f t="shared" si="74"/>
        <v>0</v>
      </c>
      <c r="AW103" s="179">
        <f t="shared" si="74"/>
        <v>0</v>
      </c>
      <c r="AX103" s="178">
        <f t="shared" si="54"/>
        <v>0</v>
      </c>
      <c r="AY103" s="178">
        <f t="shared" si="54"/>
        <v>0</v>
      </c>
      <c r="AZ103" s="179">
        <f t="shared" si="54"/>
        <v>0</v>
      </c>
      <c r="BA103" s="184">
        <f t="shared" si="26"/>
        <v>0</v>
      </c>
      <c r="BB103" s="178">
        <f t="shared" si="26"/>
        <v>0</v>
      </c>
      <c r="BC103" s="184">
        <f t="shared" si="26"/>
        <v>0</v>
      </c>
      <c r="BD103" s="178">
        <f t="shared" si="26"/>
        <v>0</v>
      </c>
      <c r="BE103" s="244">
        <f t="shared" si="66"/>
        <v>1</v>
      </c>
      <c r="BF103" s="245">
        <f t="shared" si="63"/>
        <v>24300</v>
      </c>
      <c r="BH103" s="255">
        <f t="shared" si="69"/>
        <v>0</v>
      </c>
      <c r="BI103" s="255">
        <f t="shared" si="70"/>
        <v>21.87</v>
      </c>
      <c r="BJ103" s="255">
        <f t="shared" si="71"/>
        <v>0</v>
      </c>
      <c r="BK103" s="256">
        <f t="shared" si="72"/>
        <v>0</v>
      </c>
      <c r="BL103" s="262">
        <f t="shared" si="73"/>
        <v>0</v>
      </c>
      <c r="BM103" s="257">
        <f t="shared" si="64"/>
        <v>21.87</v>
      </c>
      <c r="BO103" s="714">
        <f t="shared" si="65"/>
        <v>0.9</v>
      </c>
    </row>
    <row r="104" spans="2:67" ht="15" customHeight="1" x14ac:dyDescent="0.25">
      <c r="B104" s="19"/>
      <c r="C104" s="36" t="s">
        <v>124</v>
      </c>
      <c r="D104" s="85"/>
      <c r="E104" s="85"/>
      <c r="G104" s="482"/>
      <c r="H104" s="479"/>
      <c r="I104" s="461"/>
      <c r="J104" s="461"/>
      <c r="K104" s="462"/>
      <c r="L104" s="461"/>
      <c r="M104" s="461"/>
      <c r="N104" s="461"/>
      <c r="O104" s="462"/>
      <c r="P104" s="461"/>
      <c r="Q104" s="461"/>
      <c r="R104" s="462"/>
      <c r="S104" s="479"/>
      <c r="T104" s="461"/>
      <c r="U104" s="479"/>
      <c r="V104" s="462"/>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61"/>
        <v>0</v>
      </c>
      <c r="AP104" s="184">
        <f t="shared" si="74"/>
        <v>0</v>
      </c>
      <c r="AQ104" s="178">
        <f t="shared" si="74"/>
        <v>0</v>
      </c>
      <c r="AR104" s="178">
        <f t="shared" si="74"/>
        <v>0</v>
      </c>
      <c r="AS104" s="179">
        <f t="shared" si="74"/>
        <v>0</v>
      </c>
      <c r="AT104" s="178">
        <f t="shared" si="74"/>
        <v>0</v>
      </c>
      <c r="AU104" s="178">
        <f t="shared" si="74"/>
        <v>0</v>
      </c>
      <c r="AV104" s="178">
        <f t="shared" si="74"/>
        <v>0</v>
      </c>
      <c r="AW104" s="179">
        <f t="shared" si="74"/>
        <v>0</v>
      </c>
      <c r="AX104" s="178">
        <f t="shared" si="54"/>
        <v>0</v>
      </c>
      <c r="AY104" s="178">
        <f t="shared" si="54"/>
        <v>0</v>
      </c>
      <c r="AZ104" s="179">
        <f t="shared" si="54"/>
        <v>0</v>
      </c>
      <c r="BA104" s="184">
        <f t="shared" si="26"/>
        <v>0</v>
      </c>
      <c r="BB104" s="178">
        <f t="shared" si="26"/>
        <v>0</v>
      </c>
      <c r="BC104" s="184">
        <f t="shared" si="26"/>
        <v>0</v>
      </c>
      <c r="BD104" s="178">
        <f t="shared" si="26"/>
        <v>0</v>
      </c>
      <c r="BE104" s="244">
        <f t="shared" si="66"/>
        <v>0</v>
      </c>
      <c r="BF104" s="245">
        <f t="shared" si="63"/>
        <v>0</v>
      </c>
      <c r="BH104" s="252">
        <f>SUBTOTAL(9,BH105:BH114)</f>
        <v>0</v>
      </c>
      <c r="BI104" s="252">
        <f>SUBTOTAL(9,BI105:BI114)</f>
        <v>358.35299999999995</v>
      </c>
      <c r="BJ104" s="252">
        <f>SUBTOTAL(9,BJ105:BJ114)</f>
        <v>0</v>
      </c>
      <c r="BK104" s="252">
        <f>SUBTOTAL(9,BK105:BK114)</f>
        <v>0</v>
      </c>
      <c r="BL104" s="252">
        <f>SUBTOTAL(9,BL105:BL114)</f>
        <v>0</v>
      </c>
      <c r="BM104" s="257">
        <f t="shared" si="64"/>
        <v>358.35299999999995</v>
      </c>
      <c r="BO104" s="714" t="str">
        <f t="shared" si="65"/>
        <v/>
      </c>
    </row>
    <row r="105" spans="2:67" ht="15" customHeight="1" x14ac:dyDescent="0.25">
      <c r="B105" s="19">
        <f>B103+1</f>
        <v>9</v>
      </c>
      <c r="C105" s="44" t="s">
        <v>125</v>
      </c>
      <c r="D105" s="45"/>
      <c r="E105" s="105" t="s">
        <v>126</v>
      </c>
      <c r="G105" s="864">
        <f>'Cust Specific'!T263</f>
        <v>0</v>
      </c>
      <c r="H105" s="865">
        <f>'Cust Specific'!T266</f>
        <v>8.9999999999999998E-4</v>
      </c>
      <c r="I105" s="461"/>
      <c r="J105" s="461"/>
      <c r="K105" s="462"/>
      <c r="L105" s="461"/>
      <c r="M105" s="461"/>
      <c r="N105" s="461"/>
      <c r="O105" s="462"/>
      <c r="P105" s="461"/>
      <c r="Q105" s="461"/>
      <c r="R105" s="462"/>
      <c r="S105" s="865">
        <f>'Cust Specific'!T264</f>
        <v>0</v>
      </c>
      <c r="T105" s="866">
        <f>'Cust Specific'!T265</f>
        <v>0</v>
      </c>
      <c r="U105" s="480"/>
      <c r="V105" s="481"/>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61"/>
        <v>0</v>
      </c>
      <c r="AP105" s="184">
        <f t="shared" si="74"/>
        <v>63.449999999999996</v>
      </c>
      <c r="AQ105" s="178">
        <f t="shared" si="74"/>
        <v>0</v>
      </c>
      <c r="AR105" s="178">
        <f t="shared" si="74"/>
        <v>0</v>
      </c>
      <c r="AS105" s="179">
        <f t="shared" si="74"/>
        <v>0</v>
      </c>
      <c r="AT105" s="178">
        <f t="shared" si="74"/>
        <v>0</v>
      </c>
      <c r="AU105" s="178">
        <f t="shared" si="74"/>
        <v>0</v>
      </c>
      <c r="AV105" s="178">
        <f t="shared" si="74"/>
        <v>0</v>
      </c>
      <c r="AW105" s="179">
        <f t="shared" si="74"/>
        <v>0</v>
      </c>
      <c r="AX105" s="178">
        <f t="shared" si="54"/>
        <v>0</v>
      </c>
      <c r="AY105" s="178">
        <f t="shared" si="54"/>
        <v>0</v>
      </c>
      <c r="AZ105" s="179">
        <f t="shared" si="54"/>
        <v>0</v>
      </c>
      <c r="BA105" s="184">
        <f t="shared" si="26"/>
        <v>0</v>
      </c>
      <c r="BB105" s="178">
        <f t="shared" si="26"/>
        <v>0</v>
      </c>
      <c r="BC105" s="184">
        <f t="shared" si="26"/>
        <v>0</v>
      </c>
      <c r="BD105" s="178">
        <f t="shared" si="26"/>
        <v>0</v>
      </c>
      <c r="BE105" s="244">
        <f t="shared" si="66"/>
        <v>1</v>
      </c>
      <c r="BF105" s="245">
        <f t="shared" si="63"/>
        <v>70500</v>
      </c>
      <c r="BH105" s="255">
        <f t="shared" ref="BH105:BH114" si="78">SUM(AO105)</f>
        <v>0</v>
      </c>
      <c r="BI105" s="255">
        <f t="shared" ref="BI105:BI114" si="79">SUM(AP105:AS105)</f>
        <v>63.449999999999996</v>
      </c>
      <c r="BJ105" s="255">
        <f t="shared" ref="BJ105:BJ114" si="80">SUM(AT105:AW105)</f>
        <v>0</v>
      </c>
      <c r="BK105" s="256">
        <f t="shared" ref="BK105:BK114" si="81">SUM(AX105:BB105)</f>
        <v>0</v>
      </c>
      <c r="BL105" s="262">
        <f t="shared" ref="BL105:BL114" si="82">SUM(BC105:BD105)</f>
        <v>0</v>
      </c>
      <c r="BM105" s="257">
        <f t="shared" si="64"/>
        <v>63.449999999999996</v>
      </c>
      <c r="BO105" s="714">
        <f t="shared" si="65"/>
        <v>0.89999999999999991</v>
      </c>
    </row>
    <row r="106" spans="2:67" ht="15" customHeight="1" x14ac:dyDescent="0.25">
      <c r="B106" s="19">
        <f t="shared" si="75"/>
        <v>10</v>
      </c>
      <c r="C106" s="44" t="s">
        <v>127</v>
      </c>
      <c r="D106" s="45"/>
      <c r="E106" s="105" t="s">
        <v>126</v>
      </c>
      <c r="G106" s="864">
        <f>'Cust Specific'!T270</f>
        <v>0</v>
      </c>
      <c r="H106" s="865">
        <f>'Cust Specific'!T273</f>
        <v>8.9999999999999998E-4</v>
      </c>
      <c r="I106" s="461"/>
      <c r="J106" s="461"/>
      <c r="K106" s="462"/>
      <c r="L106" s="461"/>
      <c r="M106" s="461"/>
      <c r="N106" s="461"/>
      <c r="O106" s="462"/>
      <c r="P106" s="461"/>
      <c r="Q106" s="461"/>
      <c r="R106" s="462"/>
      <c r="S106" s="865">
        <f>'Cust Specific'!T271</f>
        <v>0</v>
      </c>
      <c r="T106" s="866">
        <f>'Cust Specific'!T272</f>
        <v>0</v>
      </c>
      <c r="U106" s="480"/>
      <c r="V106" s="481"/>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61"/>
        <v>0</v>
      </c>
      <c r="AP106" s="184">
        <f t="shared" si="74"/>
        <v>153.44999999999999</v>
      </c>
      <c r="AQ106" s="178">
        <f t="shared" si="74"/>
        <v>0</v>
      </c>
      <c r="AR106" s="178">
        <f t="shared" si="74"/>
        <v>0</v>
      </c>
      <c r="AS106" s="179">
        <f t="shared" si="74"/>
        <v>0</v>
      </c>
      <c r="AT106" s="178">
        <f t="shared" si="74"/>
        <v>0</v>
      </c>
      <c r="AU106" s="178">
        <f t="shared" si="74"/>
        <v>0</v>
      </c>
      <c r="AV106" s="178">
        <f t="shared" si="74"/>
        <v>0</v>
      </c>
      <c r="AW106" s="179">
        <f t="shared" si="74"/>
        <v>0</v>
      </c>
      <c r="AX106" s="178">
        <f t="shared" si="54"/>
        <v>0</v>
      </c>
      <c r="AY106" s="178">
        <f t="shared" si="54"/>
        <v>0</v>
      </c>
      <c r="AZ106" s="179">
        <f t="shared" si="54"/>
        <v>0</v>
      </c>
      <c r="BA106" s="184">
        <f t="shared" si="26"/>
        <v>0</v>
      </c>
      <c r="BB106" s="178">
        <f t="shared" si="26"/>
        <v>0</v>
      </c>
      <c r="BC106" s="184">
        <f t="shared" si="26"/>
        <v>0</v>
      </c>
      <c r="BD106" s="178">
        <f t="shared" si="26"/>
        <v>0</v>
      </c>
      <c r="BE106" s="244">
        <f t="shared" si="66"/>
        <v>1</v>
      </c>
      <c r="BF106" s="245">
        <f t="shared" si="63"/>
        <v>170500</v>
      </c>
      <c r="BH106" s="255">
        <f t="shared" si="78"/>
        <v>0</v>
      </c>
      <c r="BI106" s="255">
        <f t="shared" si="79"/>
        <v>153.44999999999999</v>
      </c>
      <c r="BJ106" s="255">
        <f t="shared" si="80"/>
        <v>0</v>
      </c>
      <c r="BK106" s="256">
        <f t="shared" si="81"/>
        <v>0</v>
      </c>
      <c r="BL106" s="262">
        <f t="shared" si="82"/>
        <v>0</v>
      </c>
      <c r="BM106" s="257">
        <f t="shared" si="64"/>
        <v>153.44999999999999</v>
      </c>
      <c r="BO106" s="714">
        <f t="shared" si="65"/>
        <v>0.9</v>
      </c>
    </row>
    <row r="107" spans="2:67" ht="15" customHeight="1" x14ac:dyDescent="0.25">
      <c r="B107" s="19">
        <f t="shared" si="75"/>
        <v>11</v>
      </c>
      <c r="C107" s="44" t="s">
        <v>128</v>
      </c>
      <c r="D107" s="45"/>
      <c r="E107" s="105" t="s">
        <v>126</v>
      </c>
      <c r="G107" s="864">
        <f>'Cust Specific'!T277</f>
        <v>0</v>
      </c>
      <c r="H107" s="865">
        <f>'Cust Specific'!T280</f>
        <v>8.9999999999999998E-4</v>
      </c>
      <c r="I107" s="461"/>
      <c r="J107" s="461"/>
      <c r="K107" s="462"/>
      <c r="L107" s="461"/>
      <c r="M107" s="461"/>
      <c r="N107" s="461"/>
      <c r="O107" s="462"/>
      <c r="P107" s="461"/>
      <c r="Q107" s="461"/>
      <c r="R107" s="462"/>
      <c r="S107" s="865">
        <f>'Cust Specific'!T278</f>
        <v>0</v>
      </c>
      <c r="T107" s="866">
        <f>'Cust Specific'!T279</f>
        <v>0</v>
      </c>
      <c r="U107" s="480"/>
      <c r="V107" s="481"/>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61"/>
        <v>0</v>
      </c>
      <c r="AP107" s="184">
        <f t="shared" si="74"/>
        <v>22.41</v>
      </c>
      <c r="AQ107" s="178">
        <f t="shared" si="74"/>
        <v>0</v>
      </c>
      <c r="AR107" s="178">
        <f t="shared" si="74"/>
        <v>0</v>
      </c>
      <c r="AS107" s="179">
        <f t="shared" si="74"/>
        <v>0</v>
      </c>
      <c r="AT107" s="178">
        <f t="shared" si="74"/>
        <v>0</v>
      </c>
      <c r="AU107" s="178">
        <f t="shared" si="74"/>
        <v>0</v>
      </c>
      <c r="AV107" s="178">
        <f t="shared" si="74"/>
        <v>0</v>
      </c>
      <c r="AW107" s="179">
        <f t="shared" si="74"/>
        <v>0</v>
      </c>
      <c r="AX107" s="178">
        <f t="shared" si="54"/>
        <v>0</v>
      </c>
      <c r="AY107" s="178">
        <f t="shared" si="54"/>
        <v>0</v>
      </c>
      <c r="AZ107" s="179">
        <f t="shared" si="54"/>
        <v>0</v>
      </c>
      <c r="BA107" s="184">
        <f t="shared" si="26"/>
        <v>0</v>
      </c>
      <c r="BB107" s="178">
        <f t="shared" si="26"/>
        <v>0</v>
      </c>
      <c r="BC107" s="184">
        <f t="shared" si="26"/>
        <v>0</v>
      </c>
      <c r="BD107" s="178">
        <f t="shared" si="26"/>
        <v>0</v>
      </c>
      <c r="BE107" s="244">
        <f t="shared" si="66"/>
        <v>1</v>
      </c>
      <c r="BF107" s="245">
        <f t="shared" si="63"/>
        <v>24900</v>
      </c>
      <c r="BH107" s="255">
        <f t="shared" si="78"/>
        <v>0</v>
      </c>
      <c r="BI107" s="255">
        <f t="shared" si="79"/>
        <v>22.41</v>
      </c>
      <c r="BJ107" s="255">
        <f t="shared" si="80"/>
        <v>0</v>
      </c>
      <c r="BK107" s="256">
        <f t="shared" si="81"/>
        <v>0</v>
      </c>
      <c r="BL107" s="262">
        <f t="shared" si="82"/>
        <v>0</v>
      </c>
      <c r="BM107" s="257">
        <f t="shared" si="64"/>
        <v>22.41</v>
      </c>
      <c r="BO107" s="714">
        <f t="shared" si="65"/>
        <v>0.9</v>
      </c>
    </row>
    <row r="108" spans="2:67" ht="15" customHeight="1" x14ac:dyDescent="0.25">
      <c r="B108" s="19">
        <f t="shared" si="75"/>
        <v>12</v>
      </c>
      <c r="C108" s="44"/>
      <c r="D108" s="45" t="s">
        <v>129</v>
      </c>
      <c r="E108" s="105" t="s">
        <v>126</v>
      </c>
      <c r="G108" s="864">
        <f>'Cust Specific'!T284</f>
        <v>0</v>
      </c>
      <c r="H108" s="865">
        <f>'Cust Specific'!T287</f>
        <v>8.9999999999999998E-4</v>
      </c>
      <c r="I108" s="461"/>
      <c r="J108" s="461"/>
      <c r="K108" s="462"/>
      <c r="L108" s="461"/>
      <c r="M108" s="461"/>
      <c r="N108" s="461"/>
      <c r="O108" s="462"/>
      <c r="P108" s="461"/>
      <c r="Q108" s="461"/>
      <c r="R108" s="462"/>
      <c r="S108" s="865">
        <f>'Cust Specific'!T285</f>
        <v>0</v>
      </c>
      <c r="T108" s="866">
        <f>'Cust Specific'!T286</f>
        <v>0</v>
      </c>
      <c r="U108" s="480"/>
      <c r="V108" s="481"/>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61"/>
        <v>0</v>
      </c>
      <c r="AP108" s="184">
        <f t="shared" si="74"/>
        <v>22.86</v>
      </c>
      <c r="AQ108" s="178">
        <f t="shared" si="74"/>
        <v>0</v>
      </c>
      <c r="AR108" s="178">
        <f t="shared" si="74"/>
        <v>0</v>
      </c>
      <c r="AS108" s="179">
        <f t="shared" si="74"/>
        <v>0</v>
      </c>
      <c r="AT108" s="178">
        <f t="shared" si="74"/>
        <v>0</v>
      </c>
      <c r="AU108" s="178">
        <f t="shared" si="74"/>
        <v>0</v>
      </c>
      <c r="AV108" s="178">
        <f t="shared" si="74"/>
        <v>0</v>
      </c>
      <c r="AW108" s="179">
        <f t="shared" si="74"/>
        <v>0</v>
      </c>
      <c r="AX108" s="178">
        <f t="shared" si="54"/>
        <v>0</v>
      </c>
      <c r="AY108" s="178">
        <f t="shared" si="54"/>
        <v>0</v>
      </c>
      <c r="AZ108" s="179">
        <f t="shared" si="54"/>
        <v>0</v>
      </c>
      <c r="BA108" s="184">
        <f t="shared" si="26"/>
        <v>0</v>
      </c>
      <c r="BB108" s="178">
        <f t="shared" si="26"/>
        <v>0</v>
      </c>
      <c r="BC108" s="184">
        <f t="shared" si="26"/>
        <v>0</v>
      </c>
      <c r="BD108" s="178">
        <f t="shared" si="26"/>
        <v>0</v>
      </c>
      <c r="BE108" s="244">
        <f t="shared" ref="BE108:BE114" si="83">X108/$BE$7</f>
        <v>1</v>
      </c>
      <c r="BF108" s="245">
        <f t="shared" si="63"/>
        <v>25400</v>
      </c>
      <c r="BH108" s="255">
        <f t="shared" si="78"/>
        <v>0</v>
      </c>
      <c r="BI108" s="255">
        <f t="shared" si="79"/>
        <v>22.86</v>
      </c>
      <c r="BJ108" s="255">
        <f t="shared" si="80"/>
        <v>0</v>
      </c>
      <c r="BK108" s="256">
        <f t="shared" si="81"/>
        <v>0</v>
      </c>
      <c r="BL108" s="262">
        <f t="shared" si="82"/>
        <v>0</v>
      </c>
      <c r="BM108" s="257">
        <f t="shared" si="64"/>
        <v>22.86</v>
      </c>
      <c r="BO108" s="714">
        <f t="shared" si="65"/>
        <v>0.9</v>
      </c>
    </row>
    <row r="109" spans="2:67" ht="15" customHeight="1" x14ac:dyDescent="0.25">
      <c r="B109" s="19">
        <f t="shared" si="75"/>
        <v>13</v>
      </c>
      <c r="C109" s="44" t="s">
        <v>564</v>
      </c>
      <c r="D109" s="45"/>
      <c r="E109" s="105" t="s">
        <v>126</v>
      </c>
      <c r="G109" s="864">
        <f>'Cust Specific'!T291</f>
        <v>0</v>
      </c>
      <c r="H109" s="865">
        <f>'Cust Specific'!T294</f>
        <v>8.9999999999999998E-4</v>
      </c>
      <c r="I109" s="461"/>
      <c r="J109" s="461"/>
      <c r="K109" s="462"/>
      <c r="L109" s="461"/>
      <c r="M109" s="461"/>
      <c r="N109" s="461"/>
      <c r="O109" s="462"/>
      <c r="P109" s="461"/>
      <c r="Q109" s="461"/>
      <c r="R109" s="462"/>
      <c r="S109" s="865">
        <f>'Cust Specific'!T292</f>
        <v>0</v>
      </c>
      <c r="T109" s="866">
        <f>'Cust Specific'!T293</f>
        <v>0</v>
      </c>
      <c r="U109" s="480"/>
      <c r="V109" s="481"/>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61"/>
        <v>0</v>
      </c>
      <c r="AP109" s="184">
        <f t="shared" si="74"/>
        <v>10.035</v>
      </c>
      <c r="AQ109" s="178">
        <f t="shared" si="74"/>
        <v>0</v>
      </c>
      <c r="AR109" s="178">
        <f t="shared" si="74"/>
        <v>0</v>
      </c>
      <c r="AS109" s="179">
        <f t="shared" si="74"/>
        <v>0</v>
      </c>
      <c r="AT109" s="178">
        <f t="shared" si="74"/>
        <v>0</v>
      </c>
      <c r="AU109" s="178">
        <f t="shared" si="74"/>
        <v>0</v>
      </c>
      <c r="AV109" s="178">
        <f t="shared" si="74"/>
        <v>0</v>
      </c>
      <c r="AW109" s="179">
        <f t="shared" si="74"/>
        <v>0</v>
      </c>
      <c r="AX109" s="178">
        <f t="shared" si="54"/>
        <v>0</v>
      </c>
      <c r="AY109" s="178">
        <f t="shared" si="54"/>
        <v>0</v>
      </c>
      <c r="AZ109" s="179">
        <f t="shared" si="54"/>
        <v>0</v>
      </c>
      <c r="BA109" s="184">
        <f t="shared" si="26"/>
        <v>0</v>
      </c>
      <c r="BB109" s="178">
        <f t="shared" si="26"/>
        <v>0</v>
      </c>
      <c r="BC109" s="184">
        <f t="shared" si="26"/>
        <v>0</v>
      </c>
      <c r="BD109" s="178">
        <f t="shared" si="26"/>
        <v>0</v>
      </c>
      <c r="BE109" s="244">
        <f t="shared" si="83"/>
        <v>1</v>
      </c>
      <c r="BF109" s="245">
        <f t="shared" si="63"/>
        <v>11150</v>
      </c>
      <c r="BH109" s="255">
        <f t="shared" si="78"/>
        <v>0</v>
      </c>
      <c r="BI109" s="255">
        <f t="shared" si="79"/>
        <v>10.035</v>
      </c>
      <c r="BJ109" s="255">
        <f t="shared" si="80"/>
        <v>0</v>
      </c>
      <c r="BK109" s="256">
        <f t="shared" si="81"/>
        <v>0</v>
      </c>
      <c r="BL109" s="262">
        <f t="shared" si="82"/>
        <v>0</v>
      </c>
      <c r="BM109" s="257">
        <f t="shared" si="64"/>
        <v>10.035</v>
      </c>
      <c r="BO109" s="714">
        <f t="shared" si="65"/>
        <v>0.9</v>
      </c>
    </row>
    <row r="110" spans="2:67" ht="15" customHeight="1" x14ac:dyDescent="0.25">
      <c r="B110" s="19">
        <f t="shared" si="75"/>
        <v>14</v>
      </c>
      <c r="C110" s="44" t="s">
        <v>565</v>
      </c>
      <c r="D110" s="45"/>
      <c r="E110" s="105" t="s">
        <v>126</v>
      </c>
      <c r="G110" s="864">
        <f>'Cust Specific'!T298</f>
        <v>0</v>
      </c>
      <c r="H110" s="865">
        <f>'Cust Specific'!T301</f>
        <v>8.9999999999999998E-4</v>
      </c>
      <c r="I110" s="461"/>
      <c r="J110" s="461"/>
      <c r="K110" s="462"/>
      <c r="L110" s="461"/>
      <c r="M110" s="461"/>
      <c r="N110" s="461"/>
      <c r="O110" s="462"/>
      <c r="P110" s="461"/>
      <c r="Q110" s="461"/>
      <c r="R110" s="462"/>
      <c r="S110" s="865">
        <f>'Cust Specific'!T299</f>
        <v>0</v>
      </c>
      <c r="T110" s="866">
        <f>'Cust Specific'!T300</f>
        <v>0</v>
      </c>
      <c r="U110" s="480"/>
      <c r="V110" s="481"/>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61"/>
        <v>0</v>
      </c>
      <c r="AP110" s="184">
        <f t="shared" si="74"/>
        <v>9.5670000000000002</v>
      </c>
      <c r="AQ110" s="178">
        <f t="shared" si="74"/>
        <v>0</v>
      </c>
      <c r="AR110" s="178">
        <f t="shared" si="74"/>
        <v>0</v>
      </c>
      <c r="AS110" s="179">
        <f t="shared" si="74"/>
        <v>0</v>
      </c>
      <c r="AT110" s="178">
        <f t="shared" si="74"/>
        <v>0</v>
      </c>
      <c r="AU110" s="178">
        <f t="shared" si="74"/>
        <v>0</v>
      </c>
      <c r="AV110" s="178">
        <f t="shared" si="74"/>
        <v>0</v>
      </c>
      <c r="AW110" s="179">
        <f t="shared" si="74"/>
        <v>0</v>
      </c>
      <c r="AX110" s="178">
        <f t="shared" si="54"/>
        <v>0</v>
      </c>
      <c r="AY110" s="178">
        <f t="shared" si="54"/>
        <v>0</v>
      </c>
      <c r="AZ110" s="179">
        <f t="shared" si="54"/>
        <v>0</v>
      </c>
      <c r="BA110" s="184">
        <f t="shared" si="26"/>
        <v>0</v>
      </c>
      <c r="BB110" s="178">
        <f t="shared" si="26"/>
        <v>0</v>
      </c>
      <c r="BC110" s="184">
        <f t="shared" si="26"/>
        <v>0</v>
      </c>
      <c r="BD110" s="178">
        <f t="shared" si="26"/>
        <v>0</v>
      </c>
      <c r="BE110" s="244">
        <f t="shared" si="83"/>
        <v>1</v>
      </c>
      <c r="BF110" s="245">
        <f t="shared" si="63"/>
        <v>10630</v>
      </c>
      <c r="BH110" s="255">
        <f t="shared" si="78"/>
        <v>0</v>
      </c>
      <c r="BI110" s="255">
        <f t="shared" si="79"/>
        <v>9.5670000000000002</v>
      </c>
      <c r="BJ110" s="255">
        <f t="shared" si="80"/>
        <v>0</v>
      </c>
      <c r="BK110" s="256">
        <f t="shared" si="81"/>
        <v>0</v>
      </c>
      <c r="BL110" s="262">
        <f t="shared" si="82"/>
        <v>0</v>
      </c>
      <c r="BM110" s="257">
        <f t="shared" si="64"/>
        <v>9.5670000000000002</v>
      </c>
      <c r="BO110" s="714">
        <f t="shared" si="65"/>
        <v>0.9</v>
      </c>
    </row>
    <row r="111" spans="2:67" ht="15" customHeight="1" x14ac:dyDescent="0.25">
      <c r="B111" s="19">
        <f t="shared" si="75"/>
        <v>15</v>
      </c>
      <c r="C111" s="44" t="s">
        <v>560</v>
      </c>
      <c r="D111" s="45"/>
      <c r="E111" s="105" t="s">
        <v>126</v>
      </c>
      <c r="G111" s="864">
        <f>'Cust Specific'!T305</f>
        <v>0</v>
      </c>
      <c r="H111" s="865">
        <f>'Cust Specific'!T308</f>
        <v>8.9999999999999998E-4</v>
      </c>
      <c r="I111" s="461"/>
      <c r="J111" s="461"/>
      <c r="K111" s="462"/>
      <c r="L111" s="461"/>
      <c r="M111" s="461"/>
      <c r="N111" s="461"/>
      <c r="O111" s="462"/>
      <c r="P111" s="461"/>
      <c r="Q111" s="461"/>
      <c r="R111" s="462"/>
      <c r="S111" s="865">
        <f>'Cust Specific'!T306</f>
        <v>0</v>
      </c>
      <c r="T111" s="866">
        <f>'Cust Specific'!T307</f>
        <v>0</v>
      </c>
      <c r="U111" s="480"/>
      <c r="V111" s="481"/>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61"/>
        <v>0</v>
      </c>
      <c r="AP111" s="184">
        <f t="shared" si="74"/>
        <v>3.7170000000000001</v>
      </c>
      <c r="AQ111" s="178">
        <f t="shared" si="74"/>
        <v>0</v>
      </c>
      <c r="AR111" s="178">
        <f t="shared" si="74"/>
        <v>0</v>
      </c>
      <c r="AS111" s="179">
        <f t="shared" si="74"/>
        <v>0</v>
      </c>
      <c r="AT111" s="178">
        <f t="shared" si="74"/>
        <v>0</v>
      </c>
      <c r="AU111" s="178">
        <f t="shared" si="74"/>
        <v>0</v>
      </c>
      <c r="AV111" s="178">
        <f t="shared" si="74"/>
        <v>0</v>
      </c>
      <c r="AW111" s="179">
        <f t="shared" si="74"/>
        <v>0</v>
      </c>
      <c r="AX111" s="178">
        <f t="shared" si="54"/>
        <v>0</v>
      </c>
      <c r="AY111" s="178">
        <f t="shared" si="54"/>
        <v>0</v>
      </c>
      <c r="AZ111" s="179">
        <f t="shared" si="54"/>
        <v>0</v>
      </c>
      <c r="BA111" s="184">
        <f t="shared" si="26"/>
        <v>0</v>
      </c>
      <c r="BB111" s="178">
        <f t="shared" si="26"/>
        <v>0</v>
      </c>
      <c r="BC111" s="184">
        <f t="shared" si="26"/>
        <v>0</v>
      </c>
      <c r="BD111" s="178">
        <f t="shared" si="26"/>
        <v>0</v>
      </c>
      <c r="BE111" s="244">
        <f t="shared" si="83"/>
        <v>1</v>
      </c>
      <c r="BF111" s="245">
        <f t="shared" si="63"/>
        <v>4130</v>
      </c>
      <c r="BH111" s="255">
        <f t="shared" si="78"/>
        <v>0</v>
      </c>
      <c r="BI111" s="255">
        <f t="shared" si="79"/>
        <v>3.7170000000000001</v>
      </c>
      <c r="BJ111" s="255">
        <f t="shared" si="80"/>
        <v>0</v>
      </c>
      <c r="BK111" s="256">
        <f t="shared" si="81"/>
        <v>0</v>
      </c>
      <c r="BL111" s="262">
        <f t="shared" si="82"/>
        <v>0</v>
      </c>
      <c r="BM111" s="257">
        <f t="shared" si="64"/>
        <v>3.7170000000000001</v>
      </c>
      <c r="BO111" s="714">
        <f t="shared" si="65"/>
        <v>0.9</v>
      </c>
    </row>
    <row r="112" spans="2:67" ht="15" customHeight="1" x14ac:dyDescent="0.25">
      <c r="B112" s="19">
        <f t="shared" si="75"/>
        <v>16</v>
      </c>
      <c r="C112" s="44" t="s">
        <v>130</v>
      </c>
      <c r="D112" s="45"/>
      <c r="E112" s="105" t="s">
        <v>126</v>
      </c>
      <c r="G112" s="864">
        <f>'Cust Specific'!T312</f>
        <v>0</v>
      </c>
      <c r="H112" s="865">
        <f>'Cust Specific'!T315</f>
        <v>8.9999999999999998E-4</v>
      </c>
      <c r="I112" s="461"/>
      <c r="J112" s="461"/>
      <c r="K112" s="462"/>
      <c r="L112" s="461"/>
      <c r="M112" s="461"/>
      <c r="N112" s="461"/>
      <c r="O112" s="462"/>
      <c r="P112" s="461"/>
      <c r="Q112" s="461"/>
      <c r="R112" s="462"/>
      <c r="S112" s="865">
        <f>'Cust Specific'!T313</f>
        <v>0</v>
      </c>
      <c r="T112" s="866">
        <f>'Cust Specific'!T314</f>
        <v>0</v>
      </c>
      <c r="U112" s="480"/>
      <c r="V112" s="481"/>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61"/>
        <v>0</v>
      </c>
      <c r="AP112" s="184">
        <f t="shared" si="74"/>
        <v>27.27</v>
      </c>
      <c r="AQ112" s="178">
        <f t="shared" si="74"/>
        <v>0</v>
      </c>
      <c r="AR112" s="178">
        <f t="shared" si="74"/>
        <v>0</v>
      </c>
      <c r="AS112" s="179">
        <f t="shared" si="74"/>
        <v>0</v>
      </c>
      <c r="AT112" s="178">
        <f t="shared" si="74"/>
        <v>0</v>
      </c>
      <c r="AU112" s="178">
        <f t="shared" si="74"/>
        <v>0</v>
      </c>
      <c r="AV112" s="178">
        <f t="shared" si="74"/>
        <v>0</v>
      </c>
      <c r="AW112" s="179">
        <f t="shared" si="74"/>
        <v>0</v>
      </c>
      <c r="AX112" s="178">
        <f t="shared" si="54"/>
        <v>0</v>
      </c>
      <c r="AY112" s="178">
        <f t="shared" si="54"/>
        <v>0</v>
      </c>
      <c r="AZ112" s="179">
        <f t="shared" si="54"/>
        <v>0</v>
      </c>
      <c r="BA112" s="184">
        <f t="shared" si="26"/>
        <v>0</v>
      </c>
      <c r="BB112" s="178">
        <f t="shared" si="26"/>
        <v>0</v>
      </c>
      <c r="BC112" s="184">
        <f t="shared" si="26"/>
        <v>0</v>
      </c>
      <c r="BD112" s="178">
        <f t="shared" si="26"/>
        <v>0</v>
      </c>
      <c r="BE112" s="244">
        <f t="shared" si="83"/>
        <v>1</v>
      </c>
      <c r="BF112" s="245">
        <f t="shared" ref="BF112:BF129" si="84">SUM(Y112:AF112)</f>
        <v>30300</v>
      </c>
      <c r="BH112" s="255">
        <f t="shared" si="78"/>
        <v>0</v>
      </c>
      <c r="BI112" s="255">
        <f t="shared" si="79"/>
        <v>27.27</v>
      </c>
      <c r="BJ112" s="255">
        <f t="shared" si="80"/>
        <v>0</v>
      </c>
      <c r="BK112" s="256">
        <f t="shared" si="81"/>
        <v>0</v>
      </c>
      <c r="BL112" s="262">
        <f t="shared" si="82"/>
        <v>0</v>
      </c>
      <c r="BM112" s="257">
        <f t="shared" si="64"/>
        <v>27.27</v>
      </c>
      <c r="BO112" s="714">
        <f t="shared" si="65"/>
        <v>0.9</v>
      </c>
    </row>
    <row r="113" spans="2:67" ht="15" customHeight="1" x14ac:dyDescent="0.25">
      <c r="B113" s="19">
        <f t="shared" si="75"/>
        <v>17</v>
      </c>
      <c r="C113" s="44" t="s">
        <v>131</v>
      </c>
      <c r="D113" s="45"/>
      <c r="E113" s="105" t="s">
        <v>126</v>
      </c>
      <c r="G113" s="864">
        <f>'Cust Specific'!T319</f>
        <v>0</v>
      </c>
      <c r="H113" s="865">
        <f>'Cust Specific'!T322</f>
        <v>8.9999999999999998E-4</v>
      </c>
      <c r="I113" s="461"/>
      <c r="J113" s="461"/>
      <c r="K113" s="462"/>
      <c r="L113" s="461"/>
      <c r="M113" s="461"/>
      <c r="N113" s="461"/>
      <c r="O113" s="462"/>
      <c r="P113" s="461"/>
      <c r="Q113" s="461"/>
      <c r="R113" s="462"/>
      <c r="S113" s="865">
        <f>'Cust Specific'!T320</f>
        <v>0</v>
      </c>
      <c r="T113" s="866">
        <f>'Cust Specific'!T321</f>
        <v>0</v>
      </c>
      <c r="U113" s="480"/>
      <c r="V113" s="481"/>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61"/>
        <v>0</v>
      </c>
      <c r="AP113" s="184">
        <f t="shared" ref="AP113:AW127" si="85">H113*Y113</f>
        <v>43.019999999999996</v>
      </c>
      <c r="AQ113" s="178">
        <f t="shared" si="85"/>
        <v>0</v>
      </c>
      <c r="AR113" s="178">
        <f t="shared" si="85"/>
        <v>0</v>
      </c>
      <c r="AS113" s="179">
        <f t="shared" si="85"/>
        <v>0</v>
      </c>
      <c r="AT113" s="178">
        <f t="shared" si="85"/>
        <v>0</v>
      </c>
      <c r="AU113" s="178">
        <f t="shared" si="85"/>
        <v>0</v>
      </c>
      <c r="AV113" s="178">
        <f t="shared" si="85"/>
        <v>0</v>
      </c>
      <c r="AW113" s="179">
        <f t="shared" si="85"/>
        <v>0</v>
      </c>
      <c r="AX113" s="178">
        <f t="shared" si="54"/>
        <v>0</v>
      </c>
      <c r="AY113" s="178">
        <f t="shared" si="54"/>
        <v>0</v>
      </c>
      <c r="AZ113" s="179">
        <f t="shared" si="54"/>
        <v>0</v>
      </c>
      <c r="BA113" s="184">
        <f t="shared" si="26"/>
        <v>0</v>
      </c>
      <c r="BB113" s="178">
        <f t="shared" si="26"/>
        <v>0</v>
      </c>
      <c r="BC113" s="184">
        <f t="shared" si="26"/>
        <v>0</v>
      </c>
      <c r="BD113" s="178">
        <f t="shared" si="26"/>
        <v>0</v>
      </c>
      <c r="BE113" s="244">
        <f t="shared" si="83"/>
        <v>1</v>
      </c>
      <c r="BF113" s="245">
        <f t="shared" si="84"/>
        <v>47800</v>
      </c>
      <c r="BH113" s="255">
        <f t="shared" si="78"/>
        <v>0</v>
      </c>
      <c r="BI113" s="255">
        <f t="shared" si="79"/>
        <v>43.019999999999996</v>
      </c>
      <c r="BJ113" s="255">
        <f t="shared" si="80"/>
        <v>0</v>
      </c>
      <c r="BK113" s="256">
        <f t="shared" si="81"/>
        <v>0</v>
      </c>
      <c r="BL113" s="262">
        <f t="shared" si="82"/>
        <v>0</v>
      </c>
      <c r="BM113" s="257">
        <f t="shared" si="64"/>
        <v>43.019999999999996</v>
      </c>
      <c r="BO113" s="714">
        <f t="shared" si="65"/>
        <v>0.8999999999999998</v>
      </c>
    </row>
    <row r="114" spans="2:67" ht="15" customHeight="1" x14ac:dyDescent="0.25">
      <c r="B114" s="19">
        <f t="shared" si="75"/>
        <v>18</v>
      </c>
      <c r="C114" s="44" t="s">
        <v>561</v>
      </c>
      <c r="D114" s="45"/>
      <c r="E114" s="105" t="s">
        <v>126</v>
      </c>
      <c r="G114" s="864">
        <f>'Cust Specific'!T326</f>
        <v>0</v>
      </c>
      <c r="H114" s="865">
        <f>'Cust Specific'!T329</f>
        <v>8.9999999999999998E-4</v>
      </c>
      <c r="I114" s="461"/>
      <c r="J114" s="461"/>
      <c r="K114" s="462"/>
      <c r="L114" s="461"/>
      <c r="M114" s="461"/>
      <c r="N114" s="461"/>
      <c r="O114" s="462"/>
      <c r="P114" s="461"/>
      <c r="Q114" s="461"/>
      <c r="R114" s="462"/>
      <c r="S114" s="865">
        <f>'Cust Specific'!T327</f>
        <v>0</v>
      </c>
      <c r="T114" s="866">
        <f>'Cust Specific'!T328</f>
        <v>0</v>
      </c>
      <c r="U114" s="480"/>
      <c r="V114" s="481"/>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61"/>
        <v>0</v>
      </c>
      <c r="AP114" s="184">
        <f t="shared" si="85"/>
        <v>2.5739999999999998</v>
      </c>
      <c r="AQ114" s="178">
        <f t="shared" si="85"/>
        <v>0</v>
      </c>
      <c r="AR114" s="178">
        <f t="shared" si="85"/>
        <v>0</v>
      </c>
      <c r="AS114" s="179">
        <f t="shared" si="85"/>
        <v>0</v>
      </c>
      <c r="AT114" s="178">
        <f t="shared" si="85"/>
        <v>0</v>
      </c>
      <c r="AU114" s="178">
        <f t="shared" si="85"/>
        <v>0</v>
      </c>
      <c r="AV114" s="178">
        <f t="shared" si="85"/>
        <v>0</v>
      </c>
      <c r="AW114" s="179">
        <f t="shared" si="85"/>
        <v>0</v>
      </c>
      <c r="AX114" s="178">
        <f t="shared" si="54"/>
        <v>0</v>
      </c>
      <c r="AY114" s="178">
        <f t="shared" si="54"/>
        <v>0</v>
      </c>
      <c r="AZ114" s="179">
        <f t="shared" si="54"/>
        <v>0</v>
      </c>
      <c r="BA114" s="184">
        <f t="shared" si="26"/>
        <v>0</v>
      </c>
      <c r="BB114" s="178">
        <f t="shared" si="26"/>
        <v>0</v>
      </c>
      <c r="BC114" s="184">
        <f t="shared" si="26"/>
        <v>0</v>
      </c>
      <c r="BD114" s="178">
        <f t="shared" ref="BD114:BD129" si="86">V114*AM114/1000</f>
        <v>0</v>
      </c>
      <c r="BE114" s="244">
        <f t="shared" si="83"/>
        <v>1</v>
      </c>
      <c r="BF114" s="245">
        <f t="shared" si="84"/>
        <v>2860</v>
      </c>
      <c r="BH114" s="255">
        <f t="shared" si="78"/>
        <v>0</v>
      </c>
      <c r="BI114" s="255">
        <f t="shared" si="79"/>
        <v>2.5739999999999998</v>
      </c>
      <c r="BJ114" s="255">
        <f t="shared" si="80"/>
        <v>0</v>
      </c>
      <c r="BK114" s="256">
        <f t="shared" si="81"/>
        <v>0</v>
      </c>
      <c r="BL114" s="262">
        <f t="shared" si="82"/>
        <v>0</v>
      </c>
      <c r="BM114" s="257">
        <f t="shared" si="64"/>
        <v>2.5739999999999998</v>
      </c>
      <c r="BO114" s="714">
        <f t="shared" si="65"/>
        <v>0.9</v>
      </c>
    </row>
    <row r="115" spans="2:67" ht="15" customHeight="1" x14ac:dyDescent="0.25">
      <c r="B115" s="19"/>
      <c r="C115" s="36" t="s">
        <v>132</v>
      </c>
      <c r="D115" s="85"/>
      <c r="E115" s="85"/>
      <c r="G115" s="482"/>
      <c r="H115" s="479"/>
      <c r="I115" s="461"/>
      <c r="J115" s="461"/>
      <c r="K115" s="462"/>
      <c r="L115" s="461"/>
      <c r="M115" s="461"/>
      <c r="N115" s="461"/>
      <c r="O115" s="462"/>
      <c r="P115" s="461"/>
      <c r="Q115" s="461"/>
      <c r="R115" s="462"/>
      <c r="S115" s="479"/>
      <c r="T115" s="461"/>
      <c r="U115" s="479"/>
      <c r="V115" s="462"/>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61"/>
        <v>0</v>
      </c>
      <c r="AP115" s="184">
        <f t="shared" si="85"/>
        <v>0</v>
      </c>
      <c r="AQ115" s="178">
        <f t="shared" si="85"/>
        <v>0</v>
      </c>
      <c r="AR115" s="178">
        <f t="shared" si="85"/>
        <v>0</v>
      </c>
      <c r="AS115" s="179">
        <f t="shared" si="85"/>
        <v>0</v>
      </c>
      <c r="AT115" s="178">
        <f t="shared" si="85"/>
        <v>0</v>
      </c>
      <c r="AU115" s="178">
        <f t="shared" si="85"/>
        <v>0</v>
      </c>
      <c r="AV115" s="178">
        <f t="shared" si="85"/>
        <v>0</v>
      </c>
      <c r="AW115" s="179">
        <f t="shared" si="85"/>
        <v>0</v>
      </c>
      <c r="AX115" s="178">
        <f t="shared" si="54"/>
        <v>0</v>
      </c>
      <c r="AY115" s="178">
        <f t="shared" si="54"/>
        <v>0</v>
      </c>
      <c r="AZ115" s="179">
        <f t="shared" si="54"/>
        <v>0</v>
      </c>
      <c r="BA115" s="184">
        <f t="shared" si="54"/>
        <v>0</v>
      </c>
      <c r="BB115" s="178">
        <f t="shared" si="54"/>
        <v>0</v>
      </c>
      <c r="BC115" s="184">
        <f t="shared" si="54"/>
        <v>0</v>
      </c>
      <c r="BD115" s="178">
        <f t="shared" si="86"/>
        <v>0</v>
      </c>
      <c r="BE115" s="244">
        <f t="shared" si="66"/>
        <v>0</v>
      </c>
      <c r="BF115" s="245">
        <f t="shared" si="84"/>
        <v>0</v>
      </c>
      <c r="BH115" s="252">
        <f>SUBTOTAL(9,BH116:BH119)</f>
        <v>0</v>
      </c>
      <c r="BI115" s="252">
        <f>SUBTOTAL(9,BI116:BI119)</f>
        <v>16.091999999999999</v>
      </c>
      <c r="BJ115" s="252">
        <f>SUBTOTAL(9,BJ116:BJ119)</f>
        <v>0</v>
      </c>
      <c r="BK115" s="252">
        <f>SUBTOTAL(9,BK116:BK119)</f>
        <v>0</v>
      </c>
      <c r="BL115" s="252">
        <f>SUBTOTAL(9,BL116:BL119)</f>
        <v>0</v>
      </c>
      <c r="BM115" s="257">
        <f t="shared" si="64"/>
        <v>16.091999999999999</v>
      </c>
      <c r="BO115" s="714" t="str">
        <f t="shared" si="65"/>
        <v/>
      </c>
    </row>
    <row r="116" spans="2:67" ht="15" customHeight="1" x14ac:dyDescent="0.25">
      <c r="B116" s="19">
        <f>B114+1</f>
        <v>19</v>
      </c>
      <c r="C116" s="44" t="s">
        <v>133</v>
      </c>
      <c r="D116" s="45"/>
      <c r="E116" s="105" t="s">
        <v>134</v>
      </c>
      <c r="G116" s="477">
        <f>ROUND('[15]JSO (t)'!G113*$BT$135,4)</f>
        <v>0</v>
      </c>
      <c r="H116" s="478">
        <f>ROUND('[15]JSO (t)'!H113*$BT$135,4)</f>
        <v>8.9999999999999998E-4</v>
      </c>
      <c r="I116" s="461"/>
      <c r="J116" s="461"/>
      <c r="K116" s="462"/>
      <c r="L116" s="461"/>
      <c r="M116" s="461"/>
      <c r="N116" s="461"/>
      <c r="O116" s="462"/>
      <c r="P116" s="461"/>
      <c r="Q116" s="461"/>
      <c r="R116" s="462"/>
      <c r="S116" s="478">
        <f>ROUND('[15]JSO (t)'!S113*$BT$135,4)</f>
        <v>0</v>
      </c>
      <c r="T116" s="483">
        <f>ROUND('[15]JSO (t)'!T113*$BT$135,4)</f>
        <v>0</v>
      </c>
      <c r="U116" s="480"/>
      <c r="V116" s="481"/>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61"/>
        <v>0</v>
      </c>
      <c r="AP116" s="184">
        <f t="shared" si="85"/>
        <v>0</v>
      </c>
      <c r="AQ116" s="178">
        <f t="shared" si="85"/>
        <v>0</v>
      </c>
      <c r="AR116" s="178">
        <f t="shared" si="85"/>
        <v>0</v>
      </c>
      <c r="AS116" s="179">
        <f t="shared" si="85"/>
        <v>0</v>
      </c>
      <c r="AT116" s="178">
        <f t="shared" si="85"/>
        <v>0</v>
      </c>
      <c r="AU116" s="178">
        <f t="shared" si="85"/>
        <v>0</v>
      </c>
      <c r="AV116" s="178">
        <f t="shared" si="85"/>
        <v>0</v>
      </c>
      <c r="AW116" s="179">
        <f t="shared" si="85"/>
        <v>0</v>
      </c>
      <c r="AX116" s="178">
        <f t="shared" ref="AX116:BC129" si="87">P116*AG116/1000</f>
        <v>0</v>
      </c>
      <c r="AY116" s="178">
        <f t="shared" si="87"/>
        <v>0</v>
      </c>
      <c r="AZ116" s="179">
        <f t="shared" si="87"/>
        <v>0</v>
      </c>
      <c r="BA116" s="184">
        <f t="shared" si="87"/>
        <v>0</v>
      </c>
      <c r="BB116" s="178">
        <f t="shared" si="87"/>
        <v>0</v>
      </c>
      <c r="BC116" s="184">
        <f t="shared" si="87"/>
        <v>0</v>
      </c>
      <c r="BD116" s="178">
        <f t="shared" si="86"/>
        <v>0</v>
      </c>
      <c r="BE116" s="244">
        <f t="shared" si="66"/>
        <v>0</v>
      </c>
      <c r="BF116" s="245">
        <f t="shared" si="84"/>
        <v>0</v>
      </c>
      <c r="BH116" s="255">
        <f>SUM(AO116)</f>
        <v>0</v>
      </c>
      <c r="BI116" s="255">
        <f>SUM(AP116:AS116)</f>
        <v>0</v>
      </c>
      <c r="BJ116" s="255">
        <f>SUM(AT116:AW116)</f>
        <v>0</v>
      </c>
      <c r="BK116" s="256">
        <f>SUM(AX116:BB116)</f>
        <v>0</v>
      </c>
      <c r="BL116" s="262">
        <f>SUM(BC116:BD116)</f>
        <v>0</v>
      </c>
      <c r="BM116" s="257">
        <f t="shared" si="64"/>
        <v>0</v>
      </c>
      <c r="BO116" s="714" t="str">
        <f t="shared" si="65"/>
        <v/>
      </c>
    </row>
    <row r="117" spans="2:67" ht="15" customHeight="1" x14ac:dyDescent="0.25">
      <c r="B117" s="19">
        <f>B116+1</f>
        <v>20</v>
      </c>
      <c r="C117" s="44" t="s">
        <v>135</v>
      </c>
      <c r="D117" s="45"/>
      <c r="E117" s="105" t="s">
        <v>136</v>
      </c>
      <c r="G117" s="864">
        <f>'Cust Specific'!T337</f>
        <v>0</v>
      </c>
      <c r="H117" s="865">
        <f>'Cust Specific'!T340</f>
        <v>8.9999999999999998E-4</v>
      </c>
      <c r="I117" s="461"/>
      <c r="J117" s="461"/>
      <c r="K117" s="462"/>
      <c r="L117" s="461"/>
      <c r="M117" s="461"/>
      <c r="N117" s="461"/>
      <c r="O117" s="462"/>
      <c r="P117" s="461"/>
      <c r="Q117" s="461"/>
      <c r="R117" s="462"/>
      <c r="S117" s="865">
        <f>'Cust Specific'!T338</f>
        <v>0</v>
      </c>
      <c r="T117" s="866">
        <f>'Cust Specific'!T339</f>
        <v>0</v>
      </c>
      <c r="U117" s="480"/>
      <c r="V117" s="481"/>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61"/>
        <v>0</v>
      </c>
      <c r="AP117" s="184">
        <f t="shared" si="85"/>
        <v>6.75</v>
      </c>
      <c r="AQ117" s="178">
        <f t="shared" si="85"/>
        <v>0</v>
      </c>
      <c r="AR117" s="178">
        <f t="shared" si="85"/>
        <v>0</v>
      </c>
      <c r="AS117" s="179">
        <f t="shared" si="85"/>
        <v>0</v>
      </c>
      <c r="AT117" s="178">
        <f t="shared" si="85"/>
        <v>0</v>
      </c>
      <c r="AU117" s="178">
        <f t="shared" si="85"/>
        <v>0</v>
      </c>
      <c r="AV117" s="178">
        <f t="shared" si="85"/>
        <v>0</v>
      </c>
      <c r="AW117" s="179">
        <f t="shared" si="85"/>
        <v>0</v>
      </c>
      <c r="AX117" s="178">
        <f t="shared" si="87"/>
        <v>0</v>
      </c>
      <c r="AY117" s="178">
        <f t="shared" si="87"/>
        <v>0</v>
      </c>
      <c r="AZ117" s="179">
        <f t="shared" si="87"/>
        <v>0</v>
      </c>
      <c r="BA117" s="184">
        <f t="shared" si="87"/>
        <v>0</v>
      </c>
      <c r="BB117" s="178">
        <f t="shared" si="87"/>
        <v>0</v>
      </c>
      <c r="BC117" s="184">
        <f t="shared" si="87"/>
        <v>0</v>
      </c>
      <c r="BD117" s="178">
        <f t="shared" si="86"/>
        <v>0</v>
      </c>
      <c r="BE117" s="244">
        <f t="shared" si="66"/>
        <v>1</v>
      </c>
      <c r="BF117" s="245">
        <f t="shared" si="84"/>
        <v>7500</v>
      </c>
      <c r="BH117" s="255">
        <f>SUM(AO117)</f>
        <v>0</v>
      </c>
      <c r="BI117" s="255">
        <f>SUM(AP117:AS117)</f>
        <v>6.75</v>
      </c>
      <c r="BJ117" s="255">
        <f>SUM(AT117:AW117)</f>
        <v>0</v>
      </c>
      <c r="BK117" s="256">
        <f>SUM(AX117:BB117)</f>
        <v>0</v>
      </c>
      <c r="BL117" s="262">
        <f>SUM(BC117:BD117)</f>
        <v>0</v>
      </c>
      <c r="BM117" s="257">
        <f t="shared" si="64"/>
        <v>6.75</v>
      </c>
      <c r="BO117" s="714">
        <f t="shared" si="65"/>
        <v>0.9</v>
      </c>
    </row>
    <row r="118" spans="2:67" ht="15" customHeight="1" x14ac:dyDescent="0.25">
      <c r="B118" s="19">
        <f t="shared" si="75"/>
        <v>21</v>
      </c>
      <c r="C118" s="44" t="s">
        <v>137</v>
      </c>
      <c r="D118" s="45"/>
      <c r="E118" s="105" t="s">
        <v>136</v>
      </c>
      <c r="G118" s="864">
        <f>'Cust Specific'!T344</f>
        <v>0</v>
      </c>
      <c r="H118" s="865">
        <f>'Cust Specific'!T347</f>
        <v>8.9999999999999998E-4</v>
      </c>
      <c r="I118" s="461"/>
      <c r="J118" s="461"/>
      <c r="K118" s="462"/>
      <c r="L118" s="461"/>
      <c r="M118" s="461"/>
      <c r="N118" s="461"/>
      <c r="O118" s="462"/>
      <c r="P118" s="461"/>
      <c r="Q118" s="461"/>
      <c r="R118" s="462"/>
      <c r="S118" s="865">
        <f>'Cust Specific'!T345</f>
        <v>0</v>
      </c>
      <c r="T118" s="866">
        <f>'Cust Specific'!T346</f>
        <v>0</v>
      </c>
      <c r="U118" s="480"/>
      <c r="V118" s="481"/>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61"/>
        <v>0</v>
      </c>
      <c r="AP118" s="184">
        <f t="shared" si="85"/>
        <v>1.98</v>
      </c>
      <c r="AQ118" s="178">
        <f t="shared" si="85"/>
        <v>0</v>
      </c>
      <c r="AR118" s="178">
        <f t="shared" si="85"/>
        <v>0</v>
      </c>
      <c r="AS118" s="179">
        <f t="shared" si="85"/>
        <v>0</v>
      </c>
      <c r="AT118" s="178">
        <f t="shared" si="85"/>
        <v>0</v>
      </c>
      <c r="AU118" s="178">
        <f t="shared" si="85"/>
        <v>0</v>
      </c>
      <c r="AV118" s="178">
        <f t="shared" si="85"/>
        <v>0</v>
      </c>
      <c r="AW118" s="179">
        <f t="shared" si="85"/>
        <v>0</v>
      </c>
      <c r="AX118" s="178">
        <f t="shared" si="87"/>
        <v>0</v>
      </c>
      <c r="AY118" s="178">
        <f t="shared" si="87"/>
        <v>0</v>
      </c>
      <c r="AZ118" s="179">
        <f t="shared" si="87"/>
        <v>0</v>
      </c>
      <c r="BA118" s="184">
        <f t="shared" si="87"/>
        <v>0</v>
      </c>
      <c r="BB118" s="178">
        <f t="shared" si="87"/>
        <v>0</v>
      </c>
      <c r="BC118" s="184">
        <f t="shared" si="87"/>
        <v>0</v>
      </c>
      <c r="BD118" s="178">
        <f t="shared" si="86"/>
        <v>0</v>
      </c>
      <c r="BE118" s="244">
        <f t="shared" si="66"/>
        <v>1</v>
      </c>
      <c r="BF118" s="245">
        <f t="shared" si="84"/>
        <v>2200</v>
      </c>
      <c r="BH118" s="255">
        <f>SUM(AO118)</f>
        <v>0</v>
      </c>
      <c r="BI118" s="255">
        <f>SUM(AP118:AS118)</f>
        <v>1.98</v>
      </c>
      <c r="BJ118" s="255">
        <f>SUM(AT118:AW118)</f>
        <v>0</v>
      </c>
      <c r="BK118" s="256">
        <f>SUM(AX118:BB118)</f>
        <v>0</v>
      </c>
      <c r="BL118" s="262">
        <f>SUM(BC118:BD118)</f>
        <v>0</v>
      </c>
      <c r="BM118" s="257">
        <f t="shared" si="64"/>
        <v>1.98</v>
      </c>
      <c r="BO118" s="714">
        <f t="shared" si="65"/>
        <v>0.9</v>
      </c>
    </row>
    <row r="119" spans="2:67" ht="15" customHeight="1" x14ac:dyDescent="0.25">
      <c r="B119" s="19">
        <f t="shared" si="75"/>
        <v>22</v>
      </c>
      <c r="C119" s="44" t="s">
        <v>138</v>
      </c>
      <c r="D119" s="45"/>
      <c r="E119" s="105" t="s">
        <v>136</v>
      </c>
      <c r="G119" s="864">
        <f>'Cust Specific'!T351</f>
        <v>0</v>
      </c>
      <c r="H119" s="865">
        <f>'Cust Specific'!T354</f>
        <v>8.9999999999999998E-4</v>
      </c>
      <c r="I119" s="461"/>
      <c r="J119" s="461"/>
      <c r="K119" s="462"/>
      <c r="L119" s="461"/>
      <c r="M119" s="461"/>
      <c r="N119" s="461"/>
      <c r="O119" s="462"/>
      <c r="P119" s="461"/>
      <c r="Q119" s="461"/>
      <c r="R119" s="462"/>
      <c r="S119" s="865">
        <f>'Cust Specific'!T352</f>
        <v>0</v>
      </c>
      <c r="T119" s="866">
        <f>'Cust Specific'!T353</f>
        <v>0</v>
      </c>
      <c r="U119" s="480"/>
      <c r="V119" s="481"/>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61"/>
        <v>0</v>
      </c>
      <c r="AP119" s="184">
        <f t="shared" si="85"/>
        <v>7.3620000000000001</v>
      </c>
      <c r="AQ119" s="178">
        <f t="shared" si="85"/>
        <v>0</v>
      </c>
      <c r="AR119" s="178">
        <f t="shared" si="85"/>
        <v>0</v>
      </c>
      <c r="AS119" s="179">
        <f t="shared" si="85"/>
        <v>0</v>
      </c>
      <c r="AT119" s="178">
        <f t="shared" si="85"/>
        <v>0</v>
      </c>
      <c r="AU119" s="178">
        <f t="shared" si="85"/>
        <v>0</v>
      </c>
      <c r="AV119" s="178">
        <f t="shared" si="85"/>
        <v>0</v>
      </c>
      <c r="AW119" s="179">
        <f t="shared" si="85"/>
        <v>0</v>
      </c>
      <c r="AX119" s="178">
        <f t="shared" si="87"/>
        <v>0</v>
      </c>
      <c r="AY119" s="178">
        <f t="shared" si="87"/>
        <v>0</v>
      </c>
      <c r="AZ119" s="179">
        <f t="shared" si="87"/>
        <v>0</v>
      </c>
      <c r="BA119" s="184">
        <f t="shared" si="87"/>
        <v>0</v>
      </c>
      <c r="BB119" s="178">
        <f t="shared" si="87"/>
        <v>0</v>
      </c>
      <c r="BC119" s="184">
        <f t="shared" si="87"/>
        <v>0</v>
      </c>
      <c r="BD119" s="178">
        <f t="shared" si="86"/>
        <v>0</v>
      </c>
      <c r="BE119" s="244">
        <f t="shared" si="66"/>
        <v>1</v>
      </c>
      <c r="BF119" s="245">
        <f t="shared" si="84"/>
        <v>8180</v>
      </c>
      <c r="BH119" s="255">
        <f>SUM(AO119)</f>
        <v>0</v>
      </c>
      <c r="BI119" s="255">
        <f>SUM(AP119:AS119)</f>
        <v>7.3620000000000001</v>
      </c>
      <c r="BJ119" s="255">
        <f>SUM(AT119:AW119)</f>
        <v>0</v>
      </c>
      <c r="BK119" s="256">
        <f>SUM(AX119:BB119)</f>
        <v>0</v>
      </c>
      <c r="BL119" s="262">
        <f>SUM(BC119:BD119)</f>
        <v>0</v>
      </c>
      <c r="BM119" s="257">
        <f t="shared" si="64"/>
        <v>7.3620000000000001</v>
      </c>
      <c r="BO119" s="714">
        <f t="shared" si="65"/>
        <v>0.9</v>
      </c>
    </row>
    <row r="120" spans="2:67" ht="15" customHeight="1" x14ac:dyDescent="0.25">
      <c r="B120" s="19"/>
      <c r="C120" s="36" t="s">
        <v>139</v>
      </c>
      <c r="D120" s="85"/>
      <c r="E120" s="85"/>
      <c r="G120" s="482"/>
      <c r="H120" s="479"/>
      <c r="I120" s="461"/>
      <c r="J120" s="461"/>
      <c r="K120" s="462"/>
      <c r="L120" s="461"/>
      <c r="M120" s="461"/>
      <c r="N120" s="461"/>
      <c r="O120" s="462"/>
      <c r="P120" s="461"/>
      <c r="Q120" s="461"/>
      <c r="R120" s="462"/>
      <c r="S120" s="479"/>
      <c r="T120" s="461"/>
      <c r="U120" s="479"/>
      <c r="V120" s="462"/>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61"/>
        <v>0</v>
      </c>
      <c r="AP120" s="184">
        <f t="shared" si="85"/>
        <v>0</v>
      </c>
      <c r="AQ120" s="178">
        <f t="shared" si="85"/>
        <v>0</v>
      </c>
      <c r="AR120" s="178">
        <f t="shared" si="85"/>
        <v>0</v>
      </c>
      <c r="AS120" s="179">
        <f t="shared" si="85"/>
        <v>0</v>
      </c>
      <c r="AT120" s="178">
        <f t="shared" si="85"/>
        <v>0</v>
      </c>
      <c r="AU120" s="178">
        <f t="shared" si="85"/>
        <v>0</v>
      </c>
      <c r="AV120" s="178">
        <f t="shared" si="85"/>
        <v>0</v>
      </c>
      <c r="AW120" s="179">
        <f t="shared" si="85"/>
        <v>0</v>
      </c>
      <c r="AX120" s="178">
        <f t="shared" si="87"/>
        <v>0</v>
      </c>
      <c r="AY120" s="178">
        <f t="shared" si="87"/>
        <v>0</v>
      </c>
      <c r="AZ120" s="179">
        <f t="shared" si="87"/>
        <v>0</v>
      </c>
      <c r="BA120" s="184">
        <f t="shared" si="87"/>
        <v>0</v>
      </c>
      <c r="BB120" s="178">
        <f t="shared" si="87"/>
        <v>0</v>
      </c>
      <c r="BC120" s="184">
        <f t="shared" si="87"/>
        <v>0</v>
      </c>
      <c r="BD120" s="178">
        <f t="shared" si="86"/>
        <v>0</v>
      </c>
      <c r="BE120" s="244">
        <f t="shared" si="66"/>
        <v>0</v>
      </c>
      <c r="BF120" s="245">
        <f t="shared" si="84"/>
        <v>0</v>
      </c>
      <c r="BH120" s="252">
        <f>SUBTOTAL(9,BH121:BH129)</f>
        <v>0</v>
      </c>
      <c r="BI120" s="252">
        <f>SUBTOTAL(9,BI121:BI129)</f>
        <v>583.29</v>
      </c>
      <c r="BJ120" s="252">
        <f>SUBTOTAL(9,BJ121:BJ129)</f>
        <v>0</v>
      </c>
      <c r="BK120" s="252">
        <f>SUBTOTAL(9,BK121:BK129)</f>
        <v>0</v>
      </c>
      <c r="BL120" s="252">
        <f>SUBTOTAL(9,BL121:BL129)</f>
        <v>0</v>
      </c>
      <c r="BM120" s="257">
        <f t="shared" si="64"/>
        <v>583.29</v>
      </c>
      <c r="BO120" s="714" t="str">
        <f t="shared" si="65"/>
        <v/>
      </c>
    </row>
    <row r="121" spans="2:67" ht="15" customHeight="1" x14ac:dyDescent="0.25">
      <c r="B121" s="19">
        <f>B119+1</f>
        <v>23</v>
      </c>
      <c r="C121" s="44" t="s">
        <v>140</v>
      </c>
      <c r="D121" s="45"/>
      <c r="E121" s="105" t="s">
        <v>141</v>
      </c>
      <c r="G121" s="864">
        <f>'Cust Specific'!T362</f>
        <v>0</v>
      </c>
      <c r="H121" s="865">
        <f>'Cust Specific'!T365</f>
        <v>8.9999999999999998E-4</v>
      </c>
      <c r="I121" s="461"/>
      <c r="J121" s="461"/>
      <c r="K121" s="462"/>
      <c r="L121" s="461"/>
      <c r="M121" s="461"/>
      <c r="N121" s="461"/>
      <c r="O121" s="462"/>
      <c r="P121" s="461"/>
      <c r="Q121" s="461"/>
      <c r="R121" s="462"/>
      <c r="S121" s="865">
        <f>'Cust Specific'!T363</f>
        <v>0</v>
      </c>
      <c r="T121" s="866">
        <f>'Cust Specific'!T364</f>
        <v>0</v>
      </c>
      <c r="U121" s="480"/>
      <c r="V121" s="481"/>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61"/>
        <v>0</v>
      </c>
      <c r="AP121" s="184">
        <f t="shared" si="85"/>
        <v>127.35</v>
      </c>
      <c r="AQ121" s="178">
        <f t="shared" si="85"/>
        <v>0</v>
      </c>
      <c r="AR121" s="178">
        <f t="shared" si="85"/>
        <v>0</v>
      </c>
      <c r="AS121" s="179">
        <f t="shared" si="85"/>
        <v>0</v>
      </c>
      <c r="AT121" s="178">
        <f t="shared" si="85"/>
        <v>0</v>
      </c>
      <c r="AU121" s="178">
        <f t="shared" si="85"/>
        <v>0</v>
      </c>
      <c r="AV121" s="178">
        <f t="shared" si="85"/>
        <v>0</v>
      </c>
      <c r="AW121" s="179">
        <f t="shared" si="85"/>
        <v>0</v>
      </c>
      <c r="AX121" s="178">
        <f t="shared" si="87"/>
        <v>0</v>
      </c>
      <c r="AY121" s="178">
        <f t="shared" si="87"/>
        <v>0</v>
      </c>
      <c r="AZ121" s="179">
        <f t="shared" si="87"/>
        <v>0</v>
      </c>
      <c r="BA121" s="184">
        <f t="shared" si="87"/>
        <v>0</v>
      </c>
      <c r="BB121" s="178">
        <f t="shared" si="87"/>
        <v>0</v>
      </c>
      <c r="BC121" s="184">
        <f t="shared" si="87"/>
        <v>0</v>
      </c>
      <c r="BD121" s="178">
        <f t="shared" si="86"/>
        <v>0</v>
      </c>
      <c r="BE121" s="244">
        <f t="shared" si="66"/>
        <v>1</v>
      </c>
      <c r="BF121" s="245">
        <f t="shared" si="84"/>
        <v>141500</v>
      </c>
      <c r="BH121" s="255">
        <f t="shared" ref="BH121:BH129" si="88">SUM(AO121)</f>
        <v>0</v>
      </c>
      <c r="BI121" s="255">
        <f t="shared" ref="BI121:BI129" si="89">SUM(AP121:AS121)</f>
        <v>127.35</v>
      </c>
      <c r="BJ121" s="255">
        <f t="shared" ref="BJ121:BJ129" si="90">SUM(AT121:AW121)</f>
        <v>0</v>
      </c>
      <c r="BK121" s="256">
        <f t="shared" ref="BK121:BK129" si="91">SUM(AX121:BB121)</f>
        <v>0</v>
      </c>
      <c r="BL121" s="262">
        <f t="shared" ref="BL121:BL129" si="92">SUM(BC121:BD121)</f>
        <v>0</v>
      </c>
      <c r="BM121" s="257">
        <f t="shared" si="64"/>
        <v>127.35</v>
      </c>
      <c r="BO121" s="714">
        <f t="shared" si="65"/>
        <v>0.9</v>
      </c>
    </row>
    <row r="122" spans="2:67" ht="15" customHeight="1" x14ac:dyDescent="0.25">
      <c r="B122" s="19">
        <f t="shared" si="75"/>
        <v>24</v>
      </c>
      <c r="C122" s="44" t="s">
        <v>142</v>
      </c>
      <c r="D122" s="45"/>
      <c r="E122" s="105" t="s">
        <v>141</v>
      </c>
      <c r="G122" s="864">
        <f>'Cust Specific'!T369</f>
        <v>0</v>
      </c>
      <c r="H122" s="865">
        <f>'Cust Specific'!T372</f>
        <v>8.9999999999999998E-4</v>
      </c>
      <c r="I122" s="461"/>
      <c r="J122" s="461"/>
      <c r="K122" s="462"/>
      <c r="L122" s="461"/>
      <c r="M122" s="461"/>
      <c r="N122" s="461"/>
      <c r="O122" s="462"/>
      <c r="P122" s="461"/>
      <c r="Q122" s="461"/>
      <c r="R122" s="462"/>
      <c r="S122" s="865">
        <f>'Cust Specific'!T370</f>
        <v>0</v>
      </c>
      <c r="T122" s="866">
        <f>'Cust Specific'!T371</f>
        <v>0</v>
      </c>
      <c r="U122" s="480"/>
      <c r="V122" s="481"/>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61"/>
        <v>0</v>
      </c>
      <c r="AP122" s="184">
        <f t="shared" si="85"/>
        <v>243.09</v>
      </c>
      <c r="AQ122" s="178">
        <f t="shared" si="85"/>
        <v>0</v>
      </c>
      <c r="AR122" s="178">
        <f t="shared" si="85"/>
        <v>0</v>
      </c>
      <c r="AS122" s="179">
        <f t="shared" si="85"/>
        <v>0</v>
      </c>
      <c r="AT122" s="178">
        <f t="shared" si="85"/>
        <v>0</v>
      </c>
      <c r="AU122" s="178">
        <f t="shared" si="85"/>
        <v>0</v>
      </c>
      <c r="AV122" s="178">
        <f t="shared" si="85"/>
        <v>0</v>
      </c>
      <c r="AW122" s="179">
        <f t="shared" si="85"/>
        <v>0</v>
      </c>
      <c r="AX122" s="178">
        <f t="shared" si="87"/>
        <v>0</v>
      </c>
      <c r="AY122" s="178">
        <f t="shared" si="87"/>
        <v>0</v>
      </c>
      <c r="AZ122" s="179">
        <f t="shared" si="87"/>
        <v>0</v>
      </c>
      <c r="BA122" s="184">
        <f t="shared" si="87"/>
        <v>0</v>
      </c>
      <c r="BB122" s="178">
        <f t="shared" si="87"/>
        <v>0</v>
      </c>
      <c r="BC122" s="184">
        <f t="shared" si="87"/>
        <v>0</v>
      </c>
      <c r="BD122" s="178">
        <f t="shared" si="86"/>
        <v>0</v>
      </c>
      <c r="BE122" s="244">
        <f t="shared" si="66"/>
        <v>1</v>
      </c>
      <c r="BF122" s="245">
        <f t="shared" si="84"/>
        <v>270100</v>
      </c>
      <c r="BH122" s="255">
        <f t="shared" si="88"/>
        <v>0</v>
      </c>
      <c r="BI122" s="255">
        <f t="shared" si="89"/>
        <v>243.09</v>
      </c>
      <c r="BJ122" s="255">
        <f t="shared" si="90"/>
        <v>0</v>
      </c>
      <c r="BK122" s="256">
        <f t="shared" si="91"/>
        <v>0</v>
      </c>
      <c r="BL122" s="262">
        <f t="shared" si="92"/>
        <v>0</v>
      </c>
      <c r="BM122" s="257">
        <f t="shared" si="64"/>
        <v>243.09</v>
      </c>
      <c r="BO122" s="714">
        <f t="shared" si="65"/>
        <v>0.9</v>
      </c>
    </row>
    <row r="123" spans="2:67" ht="15" customHeight="1" x14ac:dyDescent="0.25">
      <c r="B123" s="19">
        <f t="shared" si="75"/>
        <v>25</v>
      </c>
      <c r="C123" s="44" t="s">
        <v>143</v>
      </c>
      <c r="D123" s="45"/>
      <c r="E123" s="105" t="s">
        <v>141</v>
      </c>
      <c r="G123" s="864">
        <f>'Cust Specific'!T376</f>
        <v>0</v>
      </c>
      <c r="H123" s="865">
        <f>'Cust Specific'!T379</f>
        <v>8.9999999999999998E-4</v>
      </c>
      <c r="I123" s="461"/>
      <c r="J123" s="461"/>
      <c r="K123" s="462"/>
      <c r="L123" s="461"/>
      <c r="M123" s="461"/>
      <c r="N123" s="461"/>
      <c r="O123" s="462"/>
      <c r="P123" s="461"/>
      <c r="Q123" s="461"/>
      <c r="R123" s="462"/>
      <c r="S123" s="865">
        <f>'Cust Specific'!T377</f>
        <v>0</v>
      </c>
      <c r="T123" s="866">
        <f>'Cust Specific'!T378</f>
        <v>0</v>
      </c>
      <c r="U123" s="480"/>
      <c r="V123" s="481"/>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61"/>
        <v>0</v>
      </c>
      <c r="AP123" s="184">
        <f t="shared" si="85"/>
        <v>18.899999999999999</v>
      </c>
      <c r="AQ123" s="178">
        <f t="shared" si="85"/>
        <v>0</v>
      </c>
      <c r="AR123" s="178">
        <f t="shared" si="85"/>
        <v>0</v>
      </c>
      <c r="AS123" s="179">
        <f t="shared" si="85"/>
        <v>0</v>
      </c>
      <c r="AT123" s="178">
        <f t="shared" si="85"/>
        <v>0</v>
      </c>
      <c r="AU123" s="178">
        <f t="shared" si="85"/>
        <v>0</v>
      </c>
      <c r="AV123" s="178">
        <f t="shared" si="85"/>
        <v>0</v>
      </c>
      <c r="AW123" s="179">
        <f t="shared" si="85"/>
        <v>0</v>
      </c>
      <c r="AX123" s="178">
        <f t="shared" si="87"/>
        <v>0</v>
      </c>
      <c r="AY123" s="178">
        <f t="shared" si="87"/>
        <v>0</v>
      </c>
      <c r="AZ123" s="179">
        <f t="shared" si="87"/>
        <v>0</v>
      </c>
      <c r="BA123" s="184">
        <f t="shared" si="87"/>
        <v>0</v>
      </c>
      <c r="BB123" s="178">
        <f t="shared" si="87"/>
        <v>0</v>
      </c>
      <c r="BC123" s="184">
        <f t="shared" si="87"/>
        <v>0</v>
      </c>
      <c r="BD123" s="178">
        <f t="shared" si="86"/>
        <v>0</v>
      </c>
      <c r="BE123" s="244">
        <f t="shared" si="66"/>
        <v>1</v>
      </c>
      <c r="BF123" s="245">
        <f t="shared" si="84"/>
        <v>21000</v>
      </c>
      <c r="BH123" s="255">
        <f t="shared" si="88"/>
        <v>0</v>
      </c>
      <c r="BI123" s="255">
        <f t="shared" si="89"/>
        <v>18.899999999999999</v>
      </c>
      <c r="BJ123" s="255">
        <f t="shared" si="90"/>
        <v>0</v>
      </c>
      <c r="BK123" s="256">
        <f t="shared" si="91"/>
        <v>0</v>
      </c>
      <c r="BL123" s="262">
        <f t="shared" si="92"/>
        <v>0</v>
      </c>
      <c r="BM123" s="257">
        <f t="shared" si="64"/>
        <v>18.899999999999999</v>
      </c>
      <c r="BO123" s="714">
        <f t="shared" si="65"/>
        <v>0.9</v>
      </c>
    </row>
    <row r="124" spans="2:67" ht="15" customHeight="1" x14ac:dyDescent="0.25">
      <c r="B124" s="19">
        <f t="shared" si="75"/>
        <v>26</v>
      </c>
      <c r="C124" s="44" t="s">
        <v>144</v>
      </c>
      <c r="D124" s="45"/>
      <c r="E124" s="105" t="s">
        <v>141</v>
      </c>
      <c r="G124" s="864">
        <f>'Cust Specific'!T383</f>
        <v>0</v>
      </c>
      <c r="H124" s="865">
        <f>'Cust Specific'!T386</f>
        <v>8.9999999999999998E-4</v>
      </c>
      <c r="I124" s="461"/>
      <c r="J124" s="461"/>
      <c r="K124" s="462"/>
      <c r="L124" s="461"/>
      <c r="M124" s="461"/>
      <c r="N124" s="461"/>
      <c r="O124" s="462"/>
      <c r="P124" s="461"/>
      <c r="Q124" s="461"/>
      <c r="R124" s="462"/>
      <c r="S124" s="865">
        <f>'Cust Specific'!T384</f>
        <v>0</v>
      </c>
      <c r="T124" s="866">
        <f>'Cust Specific'!T385</f>
        <v>0</v>
      </c>
      <c r="U124" s="480"/>
      <c r="V124" s="481"/>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61"/>
        <v>0</v>
      </c>
      <c r="AP124" s="184">
        <f t="shared" si="85"/>
        <v>13.68</v>
      </c>
      <c r="AQ124" s="178">
        <f t="shared" si="85"/>
        <v>0</v>
      </c>
      <c r="AR124" s="178">
        <f t="shared" si="85"/>
        <v>0</v>
      </c>
      <c r="AS124" s="179">
        <f t="shared" si="85"/>
        <v>0</v>
      </c>
      <c r="AT124" s="178">
        <f t="shared" si="85"/>
        <v>0</v>
      </c>
      <c r="AU124" s="178">
        <f t="shared" si="85"/>
        <v>0</v>
      </c>
      <c r="AV124" s="178">
        <f t="shared" si="85"/>
        <v>0</v>
      </c>
      <c r="AW124" s="179">
        <f t="shared" si="85"/>
        <v>0</v>
      </c>
      <c r="AX124" s="178">
        <f t="shared" si="87"/>
        <v>0</v>
      </c>
      <c r="AY124" s="178">
        <f t="shared" si="87"/>
        <v>0</v>
      </c>
      <c r="AZ124" s="179">
        <f t="shared" si="87"/>
        <v>0</v>
      </c>
      <c r="BA124" s="184">
        <f t="shared" si="87"/>
        <v>0</v>
      </c>
      <c r="BB124" s="178">
        <f t="shared" si="87"/>
        <v>0</v>
      </c>
      <c r="BC124" s="184">
        <f t="shared" si="87"/>
        <v>0</v>
      </c>
      <c r="BD124" s="178">
        <f t="shared" si="86"/>
        <v>0</v>
      </c>
      <c r="BE124" s="244">
        <f t="shared" si="66"/>
        <v>1</v>
      </c>
      <c r="BF124" s="245">
        <f t="shared" si="84"/>
        <v>15200</v>
      </c>
      <c r="BH124" s="255">
        <f t="shared" si="88"/>
        <v>0</v>
      </c>
      <c r="BI124" s="255">
        <f t="shared" si="89"/>
        <v>13.68</v>
      </c>
      <c r="BJ124" s="255">
        <f t="shared" si="90"/>
        <v>0</v>
      </c>
      <c r="BK124" s="256">
        <f t="shared" si="91"/>
        <v>0</v>
      </c>
      <c r="BL124" s="262">
        <f t="shared" si="92"/>
        <v>0</v>
      </c>
      <c r="BM124" s="257">
        <f t="shared" si="64"/>
        <v>13.68</v>
      </c>
      <c r="BO124" s="714">
        <f t="shared" si="65"/>
        <v>0.9</v>
      </c>
    </row>
    <row r="125" spans="2:67" ht="15" customHeight="1" x14ac:dyDescent="0.25">
      <c r="B125" s="19">
        <f t="shared" si="75"/>
        <v>27</v>
      </c>
      <c r="C125" s="44" t="s">
        <v>145</v>
      </c>
      <c r="D125" s="45"/>
      <c r="E125" s="105" t="s">
        <v>141</v>
      </c>
      <c r="G125" s="864">
        <f>'Cust Specific'!T390</f>
        <v>0</v>
      </c>
      <c r="H125" s="865">
        <f>'Cust Specific'!T393</f>
        <v>8.9999999999999998E-4</v>
      </c>
      <c r="I125" s="461"/>
      <c r="J125" s="461"/>
      <c r="K125" s="462"/>
      <c r="L125" s="461"/>
      <c r="M125" s="461"/>
      <c r="N125" s="461"/>
      <c r="O125" s="462"/>
      <c r="P125" s="461"/>
      <c r="Q125" s="461"/>
      <c r="R125" s="462"/>
      <c r="S125" s="865">
        <f>'Cust Specific'!T391</f>
        <v>0</v>
      </c>
      <c r="T125" s="866">
        <f>'Cust Specific'!T392</f>
        <v>0</v>
      </c>
      <c r="U125" s="480"/>
      <c r="V125" s="481"/>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61"/>
        <v>0</v>
      </c>
      <c r="AP125" s="184">
        <f t="shared" si="85"/>
        <v>77.399999999999991</v>
      </c>
      <c r="AQ125" s="178">
        <f t="shared" si="85"/>
        <v>0</v>
      </c>
      <c r="AR125" s="178">
        <f t="shared" si="85"/>
        <v>0</v>
      </c>
      <c r="AS125" s="179">
        <f t="shared" si="85"/>
        <v>0</v>
      </c>
      <c r="AT125" s="178">
        <f t="shared" si="85"/>
        <v>0</v>
      </c>
      <c r="AU125" s="178">
        <f t="shared" si="85"/>
        <v>0</v>
      </c>
      <c r="AV125" s="178">
        <f t="shared" si="85"/>
        <v>0</v>
      </c>
      <c r="AW125" s="179">
        <f t="shared" si="85"/>
        <v>0</v>
      </c>
      <c r="AX125" s="178">
        <f t="shared" si="87"/>
        <v>0</v>
      </c>
      <c r="AY125" s="178">
        <f t="shared" si="87"/>
        <v>0</v>
      </c>
      <c r="AZ125" s="179">
        <f t="shared" si="87"/>
        <v>0</v>
      </c>
      <c r="BA125" s="184">
        <f t="shared" si="87"/>
        <v>0</v>
      </c>
      <c r="BB125" s="178">
        <f t="shared" si="87"/>
        <v>0</v>
      </c>
      <c r="BC125" s="184">
        <f t="shared" si="87"/>
        <v>0</v>
      </c>
      <c r="BD125" s="178">
        <f t="shared" si="86"/>
        <v>0</v>
      </c>
      <c r="BE125" s="244">
        <f t="shared" si="66"/>
        <v>1</v>
      </c>
      <c r="BF125" s="245">
        <f t="shared" si="84"/>
        <v>86000</v>
      </c>
      <c r="BH125" s="255">
        <f t="shared" si="88"/>
        <v>0</v>
      </c>
      <c r="BI125" s="255">
        <f t="shared" si="89"/>
        <v>77.399999999999991</v>
      </c>
      <c r="BJ125" s="255">
        <f t="shared" si="90"/>
        <v>0</v>
      </c>
      <c r="BK125" s="256">
        <f t="shared" si="91"/>
        <v>0</v>
      </c>
      <c r="BL125" s="262">
        <f t="shared" si="92"/>
        <v>0</v>
      </c>
      <c r="BM125" s="257">
        <f t="shared" si="64"/>
        <v>77.399999999999991</v>
      </c>
      <c r="BO125" s="714">
        <f t="shared" si="65"/>
        <v>0.8999999999999998</v>
      </c>
    </row>
    <row r="126" spans="2:67" ht="15" customHeight="1" x14ac:dyDescent="0.25">
      <c r="B126" s="19">
        <f t="shared" si="75"/>
        <v>28</v>
      </c>
      <c r="C126" s="44" t="s">
        <v>146</v>
      </c>
      <c r="D126" s="45"/>
      <c r="E126" s="105" t="s">
        <v>141</v>
      </c>
      <c r="G126" s="864">
        <f>'Cust Specific'!T397</f>
        <v>0</v>
      </c>
      <c r="H126" s="865">
        <f>'Cust Specific'!T400</f>
        <v>8.9999999999999998E-4</v>
      </c>
      <c r="I126" s="461"/>
      <c r="J126" s="461"/>
      <c r="K126" s="462"/>
      <c r="L126" s="461"/>
      <c r="M126" s="461"/>
      <c r="N126" s="461"/>
      <c r="O126" s="462"/>
      <c r="P126" s="461"/>
      <c r="Q126" s="461"/>
      <c r="R126" s="462"/>
      <c r="S126" s="865">
        <f>'Cust Specific'!T398</f>
        <v>0</v>
      </c>
      <c r="T126" s="866">
        <f>'Cust Specific'!T399</f>
        <v>0</v>
      </c>
      <c r="U126" s="480"/>
      <c r="V126" s="481"/>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61"/>
        <v>0</v>
      </c>
      <c r="AP126" s="184">
        <f t="shared" si="85"/>
        <v>25.11</v>
      </c>
      <c r="AQ126" s="178">
        <f t="shared" si="85"/>
        <v>0</v>
      </c>
      <c r="AR126" s="178">
        <f t="shared" si="85"/>
        <v>0</v>
      </c>
      <c r="AS126" s="179">
        <f t="shared" si="85"/>
        <v>0</v>
      </c>
      <c r="AT126" s="178">
        <f t="shared" si="85"/>
        <v>0</v>
      </c>
      <c r="AU126" s="178">
        <f t="shared" si="85"/>
        <v>0</v>
      </c>
      <c r="AV126" s="178">
        <f t="shared" si="85"/>
        <v>0</v>
      </c>
      <c r="AW126" s="179">
        <f t="shared" si="85"/>
        <v>0</v>
      </c>
      <c r="AX126" s="178">
        <f t="shared" si="87"/>
        <v>0</v>
      </c>
      <c r="AY126" s="178">
        <f t="shared" si="87"/>
        <v>0</v>
      </c>
      <c r="AZ126" s="179">
        <f t="shared" si="87"/>
        <v>0</v>
      </c>
      <c r="BA126" s="184">
        <f t="shared" si="87"/>
        <v>0</v>
      </c>
      <c r="BB126" s="178">
        <f t="shared" si="87"/>
        <v>0</v>
      </c>
      <c r="BC126" s="184">
        <f t="shared" si="87"/>
        <v>0</v>
      </c>
      <c r="BD126" s="178">
        <f t="shared" si="86"/>
        <v>0</v>
      </c>
      <c r="BE126" s="244">
        <f t="shared" si="66"/>
        <v>1</v>
      </c>
      <c r="BF126" s="245">
        <f t="shared" si="84"/>
        <v>27900</v>
      </c>
      <c r="BH126" s="255">
        <f t="shared" si="88"/>
        <v>0</v>
      </c>
      <c r="BI126" s="255">
        <f t="shared" si="89"/>
        <v>25.11</v>
      </c>
      <c r="BJ126" s="255">
        <f t="shared" si="90"/>
        <v>0</v>
      </c>
      <c r="BK126" s="256">
        <f t="shared" si="91"/>
        <v>0</v>
      </c>
      <c r="BL126" s="262">
        <f t="shared" si="92"/>
        <v>0</v>
      </c>
      <c r="BM126" s="257">
        <f t="shared" si="64"/>
        <v>25.11</v>
      </c>
      <c r="BO126" s="714">
        <f t="shared" si="65"/>
        <v>0.9</v>
      </c>
    </row>
    <row r="127" spans="2:67" ht="15" customHeight="1" x14ac:dyDescent="0.25">
      <c r="B127" s="19">
        <f t="shared" si="75"/>
        <v>29</v>
      </c>
      <c r="C127" s="44" t="s">
        <v>147</v>
      </c>
      <c r="D127" s="45"/>
      <c r="E127" s="105" t="s">
        <v>141</v>
      </c>
      <c r="G127" s="864">
        <f>'Cust Specific'!T404</f>
        <v>0</v>
      </c>
      <c r="H127" s="865">
        <f>'Cust Specific'!T407</f>
        <v>8.9999999999999998E-4</v>
      </c>
      <c r="I127" s="461"/>
      <c r="J127" s="461"/>
      <c r="K127" s="462"/>
      <c r="L127" s="461"/>
      <c r="M127" s="461"/>
      <c r="N127" s="461"/>
      <c r="O127" s="462"/>
      <c r="P127" s="461"/>
      <c r="Q127" s="461"/>
      <c r="R127" s="462"/>
      <c r="S127" s="865">
        <f>'Cust Specific'!T405</f>
        <v>0</v>
      </c>
      <c r="T127" s="866">
        <f>'Cust Specific'!T406</f>
        <v>0</v>
      </c>
      <c r="U127" s="480"/>
      <c r="V127" s="481"/>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61"/>
        <v>0</v>
      </c>
      <c r="AP127" s="184">
        <f t="shared" si="85"/>
        <v>24.66</v>
      </c>
      <c r="AQ127" s="178">
        <f t="shared" si="85"/>
        <v>0</v>
      </c>
      <c r="AR127" s="178">
        <f t="shared" si="85"/>
        <v>0</v>
      </c>
      <c r="AS127" s="179">
        <f t="shared" si="85"/>
        <v>0</v>
      </c>
      <c r="AT127" s="178">
        <f t="shared" si="85"/>
        <v>0</v>
      </c>
      <c r="AU127" s="178">
        <f t="shared" si="85"/>
        <v>0</v>
      </c>
      <c r="AV127" s="178">
        <f t="shared" si="85"/>
        <v>0</v>
      </c>
      <c r="AW127" s="179">
        <f t="shared" si="85"/>
        <v>0</v>
      </c>
      <c r="AX127" s="178">
        <f t="shared" si="87"/>
        <v>0</v>
      </c>
      <c r="AY127" s="178">
        <f t="shared" si="87"/>
        <v>0</v>
      </c>
      <c r="AZ127" s="179">
        <f t="shared" si="87"/>
        <v>0</v>
      </c>
      <c r="BA127" s="184">
        <f t="shared" si="87"/>
        <v>0</v>
      </c>
      <c r="BB127" s="178">
        <f t="shared" si="87"/>
        <v>0</v>
      </c>
      <c r="BC127" s="184">
        <f t="shared" si="87"/>
        <v>0</v>
      </c>
      <c r="BD127" s="178">
        <f t="shared" si="86"/>
        <v>0</v>
      </c>
      <c r="BE127" s="244">
        <f t="shared" si="66"/>
        <v>1</v>
      </c>
      <c r="BF127" s="245">
        <f t="shared" si="84"/>
        <v>27400</v>
      </c>
      <c r="BH127" s="255">
        <f t="shared" si="88"/>
        <v>0</v>
      </c>
      <c r="BI127" s="255">
        <f t="shared" si="89"/>
        <v>24.66</v>
      </c>
      <c r="BJ127" s="255">
        <f t="shared" si="90"/>
        <v>0</v>
      </c>
      <c r="BK127" s="256">
        <f t="shared" si="91"/>
        <v>0</v>
      </c>
      <c r="BL127" s="262">
        <f t="shared" si="92"/>
        <v>0</v>
      </c>
      <c r="BM127" s="257">
        <f t="shared" si="64"/>
        <v>24.66</v>
      </c>
      <c r="BO127" s="714">
        <f t="shared" si="65"/>
        <v>0.9</v>
      </c>
    </row>
    <row r="128" spans="2:67" ht="15" customHeight="1" x14ac:dyDescent="0.25">
      <c r="B128" s="19">
        <f t="shared" si="75"/>
        <v>30</v>
      </c>
      <c r="C128" s="44" t="s">
        <v>148</v>
      </c>
      <c r="D128" s="45"/>
      <c r="E128" s="105" t="s">
        <v>141</v>
      </c>
      <c r="G128" s="864">
        <f>'Cust Specific'!T411</f>
        <v>0</v>
      </c>
      <c r="H128" s="865">
        <f>'Cust Specific'!T414</f>
        <v>8.9999999999999998E-4</v>
      </c>
      <c r="I128" s="461"/>
      <c r="J128" s="461"/>
      <c r="K128" s="462"/>
      <c r="L128" s="461"/>
      <c r="M128" s="461"/>
      <c r="N128" s="461"/>
      <c r="O128" s="462"/>
      <c r="P128" s="461"/>
      <c r="Q128" s="461"/>
      <c r="R128" s="462"/>
      <c r="S128" s="865">
        <f>'Cust Specific'!T412</f>
        <v>0</v>
      </c>
      <c r="T128" s="866">
        <f>'Cust Specific'!T413</f>
        <v>0</v>
      </c>
      <c r="U128" s="480"/>
      <c r="V128" s="481"/>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61"/>
        <v>0</v>
      </c>
      <c r="AP128" s="184">
        <f t="shared" ref="AP128:AW129" si="93">H128*Y128</f>
        <v>53.1</v>
      </c>
      <c r="AQ128" s="178">
        <f t="shared" si="93"/>
        <v>0</v>
      </c>
      <c r="AR128" s="178">
        <f t="shared" si="93"/>
        <v>0</v>
      </c>
      <c r="AS128" s="179">
        <f t="shared" si="93"/>
        <v>0</v>
      </c>
      <c r="AT128" s="178">
        <f t="shared" si="93"/>
        <v>0</v>
      </c>
      <c r="AU128" s="178">
        <f t="shared" si="93"/>
        <v>0</v>
      </c>
      <c r="AV128" s="178">
        <f t="shared" si="93"/>
        <v>0</v>
      </c>
      <c r="AW128" s="179">
        <f t="shared" si="93"/>
        <v>0</v>
      </c>
      <c r="AX128" s="178">
        <f t="shared" si="87"/>
        <v>0</v>
      </c>
      <c r="AY128" s="178">
        <f t="shared" si="87"/>
        <v>0</v>
      </c>
      <c r="AZ128" s="179">
        <f t="shared" si="87"/>
        <v>0</v>
      </c>
      <c r="BA128" s="184">
        <f t="shared" si="87"/>
        <v>0</v>
      </c>
      <c r="BB128" s="178">
        <f t="shared" si="87"/>
        <v>0</v>
      </c>
      <c r="BC128" s="184">
        <f t="shared" si="87"/>
        <v>0</v>
      </c>
      <c r="BD128" s="178">
        <f t="shared" si="86"/>
        <v>0</v>
      </c>
      <c r="BE128" s="244">
        <f t="shared" si="66"/>
        <v>1</v>
      </c>
      <c r="BF128" s="245">
        <f t="shared" si="84"/>
        <v>59000</v>
      </c>
      <c r="BH128" s="255">
        <f t="shared" si="88"/>
        <v>0</v>
      </c>
      <c r="BI128" s="255">
        <f t="shared" si="89"/>
        <v>53.1</v>
      </c>
      <c r="BJ128" s="255">
        <f t="shared" si="90"/>
        <v>0</v>
      </c>
      <c r="BK128" s="256">
        <f t="shared" si="91"/>
        <v>0</v>
      </c>
      <c r="BL128" s="262">
        <f t="shared" si="92"/>
        <v>0</v>
      </c>
      <c r="BM128" s="257">
        <f t="shared" si="64"/>
        <v>53.1</v>
      </c>
      <c r="BO128" s="714">
        <f t="shared" si="65"/>
        <v>0.9</v>
      </c>
    </row>
    <row r="129" spans="1:76" ht="15" customHeight="1" x14ac:dyDescent="0.25">
      <c r="A129" s="214"/>
      <c r="B129" s="26">
        <f t="shared" si="75"/>
        <v>31</v>
      </c>
      <c r="C129" s="839" t="s">
        <v>149</v>
      </c>
      <c r="D129" s="56"/>
      <c r="E129" s="840" t="s">
        <v>141</v>
      </c>
      <c r="G129" s="498"/>
      <c r="H129" s="491"/>
      <c r="I129" s="487"/>
      <c r="J129" s="487"/>
      <c r="K129" s="488"/>
      <c r="L129" s="487"/>
      <c r="M129" s="487"/>
      <c r="N129" s="487"/>
      <c r="O129" s="488"/>
      <c r="P129" s="487"/>
      <c r="Q129" s="487"/>
      <c r="R129" s="488"/>
      <c r="S129" s="491"/>
      <c r="T129" s="487"/>
      <c r="U129" s="492"/>
      <c r="V129" s="493"/>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61"/>
        <v>0</v>
      </c>
      <c r="AP129" s="197">
        <f t="shared" si="93"/>
        <v>0</v>
      </c>
      <c r="AQ129" s="192">
        <f t="shared" si="93"/>
        <v>0</v>
      </c>
      <c r="AR129" s="192">
        <f t="shared" si="93"/>
        <v>0</v>
      </c>
      <c r="AS129" s="193">
        <f t="shared" si="93"/>
        <v>0</v>
      </c>
      <c r="AT129" s="192">
        <f t="shared" si="93"/>
        <v>0</v>
      </c>
      <c r="AU129" s="192">
        <f t="shared" si="93"/>
        <v>0</v>
      </c>
      <c r="AV129" s="192">
        <f t="shared" si="93"/>
        <v>0</v>
      </c>
      <c r="AW129" s="193">
        <f t="shared" si="93"/>
        <v>0</v>
      </c>
      <c r="AX129" s="192">
        <f t="shared" si="87"/>
        <v>0</v>
      </c>
      <c r="AY129" s="192">
        <f t="shared" si="87"/>
        <v>0</v>
      </c>
      <c r="AZ129" s="193">
        <f t="shared" si="87"/>
        <v>0</v>
      </c>
      <c r="BA129" s="197">
        <f t="shared" si="87"/>
        <v>0</v>
      </c>
      <c r="BB129" s="192">
        <f t="shared" si="87"/>
        <v>0</v>
      </c>
      <c r="BC129" s="197">
        <f t="shared" si="87"/>
        <v>0</v>
      </c>
      <c r="BD129" s="193">
        <f t="shared" si="86"/>
        <v>0</v>
      </c>
      <c r="BE129" s="246">
        <f t="shared" si="66"/>
        <v>0</v>
      </c>
      <c r="BF129" s="247">
        <f t="shared" si="84"/>
        <v>0</v>
      </c>
      <c r="BH129" s="258">
        <f t="shared" si="88"/>
        <v>0</v>
      </c>
      <c r="BI129" s="258">
        <f t="shared" si="89"/>
        <v>0</v>
      </c>
      <c r="BJ129" s="258">
        <f t="shared" si="90"/>
        <v>0</v>
      </c>
      <c r="BK129" s="259">
        <f t="shared" si="91"/>
        <v>0</v>
      </c>
      <c r="BL129" s="263">
        <f t="shared" si="92"/>
        <v>0</v>
      </c>
      <c r="BM129" s="264">
        <f t="shared" si="64"/>
        <v>0</v>
      </c>
      <c r="BO129" s="714" t="str">
        <f t="shared" si="65"/>
        <v/>
      </c>
    </row>
    <row r="130" spans="1:76" x14ac:dyDescent="0.25">
      <c r="BE130" s="248"/>
      <c r="BF130" s="249"/>
    </row>
    <row r="131" spans="1:76"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94">SUM(X16:X25)</f>
        <v>293618410</v>
      </c>
      <c r="Y131" s="218">
        <f t="shared" si="94"/>
        <v>2400100</v>
      </c>
      <c r="Z131" s="218">
        <f t="shared" si="94"/>
        <v>570050</v>
      </c>
      <c r="AA131" s="218">
        <f t="shared" si="94"/>
        <v>114350</v>
      </c>
      <c r="AB131" s="218">
        <f t="shared" si="94"/>
        <v>126950</v>
      </c>
      <c r="AC131" s="218">
        <f t="shared" si="94"/>
        <v>361300</v>
      </c>
      <c r="AD131" s="218">
        <f t="shared" si="94"/>
        <v>0</v>
      </c>
      <c r="AE131" s="218">
        <f t="shared" si="94"/>
        <v>92600</v>
      </c>
      <c r="AF131" s="218">
        <f t="shared" si="94"/>
        <v>23100</v>
      </c>
      <c r="AG131" s="218">
        <f t="shared" si="94"/>
        <v>0</v>
      </c>
      <c r="AH131" s="218">
        <f t="shared" si="94"/>
        <v>0</v>
      </c>
      <c r="AI131" s="218">
        <f t="shared" si="94"/>
        <v>0</v>
      </c>
      <c r="AJ131" s="218">
        <f t="shared" si="94"/>
        <v>0</v>
      </c>
      <c r="AK131" s="218">
        <f t="shared" si="94"/>
        <v>0</v>
      </c>
      <c r="AL131" s="218">
        <f t="shared" si="94"/>
        <v>446395</v>
      </c>
      <c r="AM131" s="218">
        <f t="shared" si="94"/>
        <v>0</v>
      </c>
      <c r="AO131" s="218">
        <f t="shared" ref="AO131:BD131" si="95">SUM(AO16:AO25)</f>
        <v>12067.716650999999</v>
      </c>
      <c r="AP131" s="218">
        <f t="shared" si="95"/>
        <v>26641.11</v>
      </c>
      <c r="AQ131" s="218">
        <f t="shared" si="95"/>
        <v>7921.1749999999993</v>
      </c>
      <c r="AR131" s="218">
        <f t="shared" si="95"/>
        <v>639.32500000000005</v>
      </c>
      <c r="AS131" s="218">
        <f t="shared" si="95"/>
        <v>355.15999999999997</v>
      </c>
      <c r="AT131" s="218">
        <f t="shared" si="95"/>
        <v>2023.28</v>
      </c>
      <c r="AU131" s="218">
        <f t="shared" si="95"/>
        <v>0</v>
      </c>
      <c r="AV131" s="218">
        <f t="shared" si="95"/>
        <v>518.55999999999995</v>
      </c>
      <c r="AW131" s="218">
        <f t="shared" si="95"/>
        <v>64.679999999999993</v>
      </c>
      <c r="AX131" s="218">
        <f t="shared" si="95"/>
        <v>0</v>
      </c>
      <c r="AY131" s="218">
        <f t="shared" si="95"/>
        <v>0</v>
      </c>
      <c r="AZ131" s="218">
        <f t="shared" si="95"/>
        <v>0</v>
      </c>
      <c r="BA131" s="218">
        <f t="shared" si="95"/>
        <v>0</v>
      </c>
      <c r="BB131" s="218">
        <f t="shared" si="95"/>
        <v>0</v>
      </c>
      <c r="BC131" s="218">
        <f t="shared" si="95"/>
        <v>27.408653000000001</v>
      </c>
      <c r="BD131" s="218">
        <f t="shared" si="95"/>
        <v>0</v>
      </c>
      <c r="BE131" s="244">
        <f>SUM(BE17:BE25)</f>
        <v>804434</v>
      </c>
      <c r="BF131" s="245">
        <f>SUM(BF17:BF25)</f>
        <v>3688450</v>
      </c>
      <c r="BH131" s="218">
        <f t="shared" ref="BH131:BM131" si="96">BH16</f>
        <v>12083.0031795</v>
      </c>
      <c r="BI131" s="218">
        <f t="shared" si="96"/>
        <v>35569.494290000002</v>
      </c>
      <c r="BJ131" s="218">
        <f t="shared" si="96"/>
        <v>2606.52</v>
      </c>
      <c r="BK131" s="218">
        <f t="shared" si="96"/>
        <v>0</v>
      </c>
      <c r="BL131" s="218">
        <f t="shared" si="96"/>
        <v>27.408653000000001</v>
      </c>
      <c r="BM131" s="218">
        <f t="shared" si="96"/>
        <v>50286.426122499994</v>
      </c>
      <c r="BN131" s="794">
        <f t="shared" ref="BN131:BN136" si="97">BM131/$BM$136</f>
        <v>0.63534757805275233</v>
      </c>
      <c r="BO131" s="714">
        <f t="shared" ref="BO131:BO136" si="98">BM131*1000/BF131</f>
        <v>13.633484559232196</v>
      </c>
      <c r="BQ131" s="659">
        <f>'[15]JSO (t)'!BO128</f>
        <v>14.056876986878075</v>
      </c>
      <c r="BR131" s="718">
        <f>BO131/BQ131-1</f>
        <v>-3.01199496901845E-2</v>
      </c>
      <c r="BS131" s="128">
        <v>0.94899999999999995</v>
      </c>
      <c r="BT131" s="870">
        <f>$BT$136*BS131</f>
        <v>0.95697159999999992</v>
      </c>
    </row>
    <row r="132" spans="1:76"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99">SUM(X28:X41)</f>
        <v>34229335</v>
      </c>
      <c r="Y132" s="218">
        <f t="shared" si="99"/>
        <v>447400</v>
      </c>
      <c r="Z132" s="218">
        <f t="shared" si="99"/>
        <v>200600</v>
      </c>
      <c r="AA132" s="218">
        <f t="shared" si="99"/>
        <v>272300</v>
      </c>
      <c r="AB132" s="218">
        <f t="shared" si="99"/>
        <v>379200</v>
      </c>
      <c r="AC132" s="218">
        <f t="shared" si="99"/>
        <v>6000</v>
      </c>
      <c r="AD132" s="218">
        <f t="shared" si="99"/>
        <v>0</v>
      </c>
      <c r="AE132" s="218">
        <f t="shared" si="99"/>
        <v>0</v>
      </c>
      <c r="AF132" s="218">
        <f t="shared" si="99"/>
        <v>0</v>
      </c>
      <c r="AG132" s="218">
        <f t="shared" si="99"/>
        <v>0</v>
      </c>
      <c r="AH132" s="218">
        <f t="shared" si="99"/>
        <v>1070741</v>
      </c>
      <c r="AI132" s="218">
        <f t="shared" si="99"/>
        <v>2717425</v>
      </c>
      <c r="AJ132" s="218">
        <f t="shared" si="99"/>
        <v>0</v>
      </c>
      <c r="AK132" s="218">
        <f t="shared" si="99"/>
        <v>27963015</v>
      </c>
      <c r="AL132" s="218">
        <f t="shared" si="99"/>
        <v>0</v>
      </c>
      <c r="AM132" s="218">
        <f t="shared" si="99"/>
        <v>0</v>
      </c>
      <c r="AO132" s="218">
        <f t="shared" ref="AO132:BF132" si="100">SUM(AO28:AO41)</f>
        <v>1406.8256685000001</v>
      </c>
      <c r="AP132" s="218">
        <f t="shared" si="100"/>
        <v>3411.62</v>
      </c>
      <c r="AQ132" s="218">
        <f t="shared" si="100"/>
        <v>2029.02</v>
      </c>
      <c r="AR132" s="218">
        <f t="shared" si="100"/>
        <v>2350.0299999999997</v>
      </c>
      <c r="AS132" s="218">
        <f t="shared" si="100"/>
        <v>1757.4</v>
      </c>
      <c r="AT132" s="218">
        <f t="shared" si="100"/>
        <v>33.6</v>
      </c>
      <c r="AU132" s="218">
        <f t="shared" si="100"/>
        <v>0</v>
      </c>
      <c r="AV132" s="218">
        <f t="shared" si="100"/>
        <v>0</v>
      </c>
      <c r="AW132" s="218">
        <f t="shared" si="100"/>
        <v>0</v>
      </c>
      <c r="AX132" s="218">
        <f t="shared" si="100"/>
        <v>0</v>
      </c>
      <c r="AY132" s="218">
        <f t="shared" si="100"/>
        <v>0</v>
      </c>
      <c r="AZ132" s="218">
        <f t="shared" si="100"/>
        <v>0</v>
      </c>
      <c r="BA132" s="218">
        <f t="shared" si="100"/>
        <v>0</v>
      </c>
      <c r="BB132" s="218">
        <f t="shared" si="100"/>
        <v>0</v>
      </c>
      <c r="BC132" s="218">
        <f t="shared" si="100"/>
        <v>0</v>
      </c>
      <c r="BD132" s="218">
        <f t="shared" si="100"/>
        <v>0</v>
      </c>
      <c r="BE132" s="244">
        <f t="shared" si="100"/>
        <v>93779</v>
      </c>
      <c r="BF132" s="245">
        <f t="shared" si="100"/>
        <v>1305500</v>
      </c>
      <c r="BH132" s="218">
        <f t="shared" ref="BH132:BM132" si="101">BH28</f>
        <v>1406.8256685000001</v>
      </c>
      <c r="BI132" s="218">
        <f t="shared" si="101"/>
        <v>9548.0700000000015</v>
      </c>
      <c r="BJ132" s="218">
        <f t="shared" si="101"/>
        <v>33.6</v>
      </c>
      <c r="BK132" s="218">
        <f t="shared" si="101"/>
        <v>0</v>
      </c>
      <c r="BL132" s="218">
        <f t="shared" si="101"/>
        <v>0</v>
      </c>
      <c r="BM132" s="218">
        <f t="shared" si="101"/>
        <v>10988.495668500002</v>
      </c>
      <c r="BN132" s="718">
        <f t="shared" si="97"/>
        <v>0.13883496298618148</v>
      </c>
      <c r="BO132" s="714">
        <f t="shared" si="98"/>
        <v>8.4170782600536214</v>
      </c>
      <c r="BQ132" s="659">
        <f>'[15]JSO (t)'!BO129</f>
        <v>8.3445957914283593</v>
      </c>
      <c r="BR132" s="718">
        <f t="shared" ref="BR132:BR139" si="102">BO132/BQ132-1</f>
        <v>8.686156937609546E-3</v>
      </c>
      <c r="BS132" s="128">
        <v>1</v>
      </c>
      <c r="BT132" s="870">
        <f>$BT$136*BS132</f>
        <v>1.0084</v>
      </c>
      <c r="BU132" s="136">
        <f>'DUoS (t)'!BM132</f>
        <v>136892.33365639998</v>
      </c>
      <c r="BV132" s="794">
        <f>BM132/BU132</f>
        <v>8.0271081476930239E-2</v>
      </c>
      <c r="BW132" s="136">
        <f>(BV132-$BV$136)*BU132</f>
        <v>-93.363468382762136</v>
      </c>
      <c r="BX132" s="794">
        <f>BW132/BM132</f>
        <v>-8.4964740579004869E-3</v>
      </c>
    </row>
    <row r="133" spans="1:76"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103">SUM(X42:X69)</f>
        <v>1953845</v>
      </c>
      <c r="Y133" s="218">
        <f t="shared" si="103"/>
        <v>10000</v>
      </c>
      <c r="Z133" s="218">
        <f t="shared" si="103"/>
        <v>1383994</v>
      </c>
      <c r="AA133" s="218">
        <f t="shared" si="103"/>
        <v>0</v>
      </c>
      <c r="AB133" s="218">
        <f t="shared" si="103"/>
        <v>1232955</v>
      </c>
      <c r="AC133" s="218">
        <f t="shared" si="103"/>
        <v>0</v>
      </c>
      <c r="AD133" s="218">
        <f t="shared" si="103"/>
        <v>0</v>
      </c>
      <c r="AE133" s="218">
        <f t="shared" si="103"/>
        <v>0</v>
      </c>
      <c r="AF133" s="218">
        <f t="shared" si="103"/>
        <v>0</v>
      </c>
      <c r="AG133" s="218">
        <f t="shared" si="103"/>
        <v>3555144</v>
      </c>
      <c r="AH133" s="218">
        <f t="shared" si="103"/>
        <v>757869</v>
      </c>
      <c r="AI133" s="218">
        <f t="shared" si="103"/>
        <v>1631915</v>
      </c>
      <c r="AJ133" s="218">
        <f t="shared" si="103"/>
        <v>232218475</v>
      </c>
      <c r="AK133" s="218">
        <f t="shared" si="103"/>
        <v>345057495</v>
      </c>
      <c r="AL133" s="218">
        <f t="shared" si="103"/>
        <v>0</v>
      </c>
      <c r="AM133" s="218">
        <f t="shared" si="103"/>
        <v>0</v>
      </c>
      <c r="AO133" s="218">
        <f t="shared" ref="AO133:BF133" si="104">SUM(AO42:AO69)</f>
        <v>0</v>
      </c>
      <c r="AP133" s="218">
        <f t="shared" si="104"/>
        <v>52</v>
      </c>
      <c r="AQ133" s="218">
        <f t="shared" si="104"/>
        <v>9129.7404000000024</v>
      </c>
      <c r="AR133" s="218">
        <f t="shared" si="104"/>
        <v>0</v>
      </c>
      <c r="AS133" s="218">
        <f t="shared" si="104"/>
        <v>5052.6555000000017</v>
      </c>
      <c r="AT133" s="218">
        <f t="shared" si="104"/>
        <v>0</v>
      </c>
      <c r="AU133" s="218">
        <f t="shared" si="104"/>
        <v>0</v>
      </c>
      <c r="AV133" s="218">
        <f t="shared" si="104"/>
        <v>0</v>
      </c>
      <c r="AW133" s="218">
        <f t="shared" si="104"/>
        <v>0</v>
      </c>
      <c r="AX133" s="218">
        <f t="shared" si="104"/>
        <v>0</v>
      </c>
      <c r="AY133" s="218">
        <f t="shared" si="104"/>
        <v>0</v>
      </c>
      <c r="AZ133" s="218">
        <f t="shared" si="104"/>
        <v>0</v>
      </c>
      <c r="BA133" s="218">
        <f t="shared" si="104"/>
        <v>0</v>
      </c>
      <c r="BB133" s="218">
        <f t="shared" si="104"/>
        <v>0</v>
      </c>
      <c r="BC133" s="218">
        <f t="shared" si="104"/>
        <v>0</v>
      </c>
      <c r="BD133" s="218">
        <f t="shared" si="104"/>
        <v>0</v>
      </c>
      <c r="BE133" s="244">
        <f t="shared" si="104"/>
        <v>5353</v>
      </c>
      <c r="BF133" s="245">
        <f t="shared" si="104"/>
        <v>2626949</v>
      </c>
      <c r="BH133" s="218">
        <f t="shared" ref="BH133:BM133" si="105">BH42</f>
        <v>0</v>
      </c>
      <c r="BI133" s="218">
        <f t="shared" si="105"/>
        <v>14234.395899999998</v>
      </c>
      <c r="BJ133" s="218">
        <f t="shared" si="105"/>
        <v>0</v>
      </c>
      <c r="BK133" s="218">
        <f t="shared" si="105"/>
        <v>0</v>
      </c>
      <c r="BL133" s="218">
        <f t="shared" si="105"/>
        <v>0</v>
      </c>
      <c r="BM133" s="218">
        <f t="shared" si="105"/>
        <v>14234.395899999998</v>
      </c>
      <c r="BN133" s="718">
        <f t="shared" si="97"/>
        <v>0.17984553004578116</v>
      </c>
      <c r="BO133" s="714">
        <f t="shared" si="98"/>
        <v>5.4186038251979767</v>
      </c>
      <c r="BQ133" s="659">
        <f>'[15]JSO (t)'!BO130</f>
        <v>5.3294019120319867</v>
      </c>
      <c r="BR133" s="718">
        <f t="shared" si="102"/>
        <v>1.6737696769425936E-2</v>
      </c>
      <c r="BS133" s="128">
        <v>1</v>
      </c>
      <c r="BT133" s="870">
        <f>$BT$136*BS133</f>
        <v>1.0084</v>
      </c>
      <c r="BU133" s="136">
        <f>'DUoS (t)'!BM133</f>
        <v>175321.18972009997</v>
      </c>
      <c r="BV133" s="794">
        <f>BM133/BU133</f>
        <v>8.1190390749259642E-2</v>
      </c>
      <c r="BW133" s="136">
        <f>(BV133-$BV$136)*BU133</f>
        <v>41.601633920126041</v>
      </c>
      <c r="BX133" s="794">
        <f>BW133/BM133</f>
        <v>2.9226132399567477E-3</v>
      </c>
    </row>
    <row r="134" spans="1:76"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106">SUM(X70:X93)</f>
        <v>72635</v>
      </c>
      <c r="Y134" s="218">
        <f t="shared" si="106"/>
        <v>0</v>
      </c>
      <c r="Z134" s="218">
        <f t="shared" si="106"/>
        <v>364504</v>
      </c>
      <c r="AA134" s="218">
        <f t="shared" si="106"/>
        <v>0</v>
      </c>
      <c r="AB134" s="218">
        <f t="shared" si="106"/>
        <v>350404</v>
      </c>
      <c r="AC134" s="218">
        <f t="shared" si="106"/>
        <v>0</v>
      </c>
      <c r="AD134" s="218">
        <f t="shared" si="106"/>
        <v>0</v>
      </c>
      <c r="AE134" s="218">
        <f t="shared" si="106"/>
        <v>0</v>
      </c>
      <c r="AF134" s="218">
        <f t="shared" si="106"/>
        <v>0</v>
      </c>
      <c r="AG134" s="218">
        <f t="shared" si="106"/>
        <v>1488105</v>
      </c>
      <c r="AH134" s="218">
        <f t="shared" si="106"/>
        <v>0</v>
      </c>
      <c r="AI134" s="218">
        <f t="shared" si="106"/>
        <v>0</v>
      </c>
      <c r="AJ134" s="218">
        <f t="shared" si="106"/>
        <v>59423825</v>
      </c>
      <c r="AK134" s="218">
        <f t="shared" si="106"/>
        <v>87282815</v>
      </c>
      <c r="AL134" s="218">
        <f t="shared" si="106"/>
        <v>0</v>
      </c>
      <c r="AM134" s="218">
        <f t="shared" si="106"/>
        <v>0</v>
      </c>
      <c r="AO134" s="218">
        <f t="shared" ref="AO134:BF134" si="107">SUM(AO70:AO93)</f>
        <v>0</v>
      </c>
      <c r="AP134" s="218">
        <f t="shared" si="107"/>
        <v>0</v>
      </c>
      <c r="AQ134" s="218">
        <f t="shared" si="107"/>
        <v>1597.6576</v>
      </c>
      <c r="AR134" s="218">
        <f t="shared" si="107"/>
        <v>0</v>
      </c>
      <c r="AS134" s="218">
        <f t="shared" si="107"/>
        <v>977.49120000000005</v>
      </c>
      <c r="AT134" s="218">
        <f t="shared" si="107"/>
        <v>0</v>
      </c>
      <c r="AU134" s="218">
        <f t="shared" si="107"/>
        <v>0</v>
      </c>
      <c r="AV134" s="218">
        <f t="shared" si="107"/>
        <v>0</v>
      </c>
      <c r="AW134" s="218">
        <f t="shared" si="107"/>
        <v>0</v>
      </c>
      <c r="AX134" s="218">
        <f t="shared" si="107"/>
        <v>0</v>
      </c>
      <c r="AY134" s="218">
        <f t="shared" si="107"/>
        <v>0</v>
      </c>
      <c r="AZ134" s="218">
        <f t="shared" si="107"/>
        <v>0</v>
      </c>
      <c r="BA134" s="218">
        <f t="shared" si="107"/>
        <v>0</v>
      </c>
      <c r="BB134" s="218">
        <f t="shared" si="107"/>
        <v>0</v>
      </c>
      <c r="BC134" s="218">
        <f t="shared" si="107"/>
        <v>0</v>
      </c>
      <c r="BD134" s="218">
        <f t="shared" si="107"/>
        <v>0</v>
      </c>
      <c r="BE134" s="244">
        <f t="shared" si="107"/>
        <v>199</v>
      </c>
      <c r="BF134" s="245">
        <f t="shared" si="107"/>
        <v>714908</v>
      </c>
      <c r="BH134" s="218">
        <f t="shared" ref="BH134:BM134" si="108">BH70</f>
        <v>0</v>
      </c>
      <c r="BI134" s="218">
        <f t="shared" si="108"/>
        <v>2575.1488000000004</v>
      </c>
      <c r="BJ134" s="218">
        <f t="shared" si="108"/>
        <v>0</v>
      </c>
      <c r="BK134" s="218">
        <f t="shared" si="108"/>
        <v>0</v>
      </c>
      <c r="BL134" s="218">
        <f t="shared" si="108"/>
        <v>0</v>
      </c>
      <c r="BM134" s="218">
        <f t="shared" si="108"/>
        <v>2575.1488000000004</v>
      </c>
      <c r="BN134" s="718">
        <f t="shared" si="97"/>
        <v>3.2535908382508694E-2</v>
      </c>
      <c r="BO134" s="714">
        <f t="shared" si="98"/>
        <v>3.6020701964448576</v>
      </c>
      <c r="BQ134" s="659">
        <f>'[15]JSO (t)'!BO131</f>
        <v>3.5741831383622436</v>
      </c>
      <c r="BR134" s="718">
        <f t="shared" si="102"/>
        <v>7.8023584699111748E-3</v>
      </c>
      <c r="BS134" s="128">
        <v>1</v>
      </c>
      <c r="BT134" s="870">
        <f>$BT$136*BS134</f>
        <v>1.0084</v>
      </c>
      <c r="BU134" s="136">
        <f>'DUoS (t)'!BM134</f>
        <v>31838.141982000001</v>
      </c>
      <c r="BV134" s="794">
        <f>BM134/BU134</f>
        <v>8.088250883031696E-2</v>
      </c>
      <c r="BW134" s="136">
        <f>(BV134-$BV$136)*BU134</f>
        <v>-2.2475756815692995</v>
      </c>
      <c r="BX134" s="794">
        <f>BW134/BM134</f>
        <v>-8.7279448922303023E-4</v>
      </c>
    </row>
    <row r="135" spans="1:76"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09">SUM(X94:X129)</f>
        <v>10220</v>
      </c>
      <c r="Y135" s="218">
        <f t="shared" si="109"/>
        <v>1181592</v>
      </c>
      <c r="Z135" s="218">
        <f t="shared" si="109"/>
        <v>0</v>
      </c>
      <c r="AA135" s="218">
        <f t="shared" si="109"/>
        <v>0</v>
      </c>
      <c r="AB135" s="218">
        <f t="shared" si="109"/>
        <v>0</v>
      </c>
      <c r="AC135" s="218">
        <f t="shared" si="109"/>
        <v>0</v>
      </c>
      <c r="AD135" s="218">
        <f t="shared" si="109"/>
        <v>0</v>
      </c>
      <c r="AE135" s="218">
        <f t="shared" si="109"/>
        <v>0</v>
      </c>
      <c r="AF135" s="218">
        <f t="shared" si="109"/>
        <v>0</v>
      </c>
      <c r="AG135" s="218">
        <f t="shared" si="109"/>
        <v>0</v>
      </c>
      <c r="AH135" s="218">
        <f t="shared" si="109"/>
        <v>0</v>
      </c>
      <c r="AI135" s="218">
        <f t="shared" si="109"/>
        <v>0</v>
      </c>
      <c r="AJ135" s="218">
        <f t="shared" si="109"/>
        <v>82932745</v>
      </c>
      <c r="AK135" s="218">
        <f t="shared" si="109"/>
        <v>125423125</v>
      </c>
      <c r="AL135" s="218">
        <f t="shared" si="109"/>
        <v>0</v>
      </c>
      <c r="AM135" s="218">
        <f t="shared" si="109"/>
        <v>0</v>
      </c>
      <c r="AO135" s="218">
        <f t="shared" ref="AO135:BF135" si="110">SUM(AO94:AO129)</f>
        <v>0</v>
      </c>
      <c r="AP135" s="218">
        <f t="shared" si="110"/>
        <v>1063.4328</v>
      </c>
      <c r="AQ135" s="218">
        <f t="shared" si="110"/>
        <v>0</v>
      </c>
      <c r="AR135" s="218">
        <f t="shared" si="110"/>
        <v>0</v>
      </c>
      <c r="AS135" s="218">
        <f t="shared" si="110"/>
        <v>0</v>
      </c>
      <c r="AT135" s="218">
        <f t="shared" si="110"/>
        <v>0</v>
      </c>
      <c r="AU135" s="218">
        <f t="shared" si="110"/>
        <v>0</v>
      </c>
      <c r="AV135" s="218">
        <f t="shared" si="110"/>
        <v>0</v>
      </c>
      <c r="AW135" s="218">
        <f t="shared" si="110"/>
        <v>0</v>
      </c>
      <c r="AX135" s="218">
        <f t="shared" si="110"/>
        <v>0</v>
      </c>
      <c r="AY135" s="218">
        <f t="shared" si="110"/>
        <v>0</v>
      </c>
      <c r="AZ135" s="218">
        <f t="shared" si="110"/>
        <v>0</v>
      </c>
      <c r="BA135" s="218">
        <f t="shared" si="110"/>
        <v>0</v>
      </c>
      <c r="BB135" s="218">
        <f t="shared" si="110"/>
        <v>0</v>
      </c>
      <c r="BC135" s="218">
        <f t="shared" si="110"/>
        <v>0</v>
      </c>
      <c r="BD135" s="218">
        <f t="shared" si="110"/>
        <v>0</v>
      </c>
      <c r="BE135" s="244">
        <f t="shared" si="110"/>
        <v>28</v>
      </c>
      <c r="BF135" s="245">
        <f t="shared" si="110"/>
        <v>1181592</v>
      </c>
      <c r="BH135" s="218">
        <f t="shared" ref="BH135:BM135" si="111">BH94</f>
        <v>0</v>
      </c>
      <c r="BI135" s="218">
        <f t="shared" si="111"/>
        <v>1063.4328</v>
      </c>
      <c r="BJ135" s="218">
        <f t="shared" si="111"/>
        <v>0</v>
      </c>
      <c r="BK135" s="218">
        <f t="shared" si="111"/>
        <v>0</v>
      </c>
      <c r="BL135" s="218">
        <f t="shared" si="111"/>
        <v>0</v>
      </c>
      <c r="BM135" s="218">
        <f t="shared" si="111"/>
        <v>1063.4328</v>
      </c>
      <c r="BN135" s="718">
        <f t="shared" si="97"/>
        <v>1.3436020532776472E-2</v>
      </c>
      <c r="BO135" s="714">
        <f t="shared" si="98"/>
        <v>0.9</v>
      </c>
      <c r="BQ135" s="659">
        <f>'[15]JSO (t)'!BO132</f>
        <v>0.90000000000000013</v>
      </c>
      <c r="BR135" s="718">
        <f t="shared" si="102"/>
        <v>0</v>
      </c>
      <c r="BS135" s="128">
        <v>1</v>
      </c>
      <c r="BT135" s="870">
        <f>$BT$136*BS135</f>
        <v>1.0084</v>
      </c>
      <c r="BU135" s="136">
        <f>'DUoS (t)'!BM135</f>
        <v>12469.236594499998</v>
      </c>
      <c r="BV135" s="794">
        <f>BM135/BU135</f>
        <v>8.5284515370336711E-2</v>
      </c>
      <c r="BW135" s="136">
        <f>(BV135-$BV$136)*BU135</f>
        <v>54.009410144212907</v>
      </c>
      <c r="BX135" s="794">
        <f>BW135/BM135</f>
        <v>5.0787797916533046E-2</v>
      </c>
    </row>
    <row r="136" spans="1:76"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12">SUM(X131:X135)</f>
        <v>329884445</v>
      </c>
      <c r="Y136" s="221">
        <f t="shared" si="112"/>
        <v>4039092</v>
      </c>
      <c r="Z136" s="221">
        <f t="shared" si="112"/>
        <v>2519148</v>
      </c>
      <c r="AA136" s="221">
        <f t="shared" si="112"/>
        <v>386650</v>
      </c>
      <c r="AB136" s="221">
        <f t="shared" si="112"/>
        <v>2089509</v>
      </c>
      <c r="AC136" s="221">
        <f t="shared" si="112"/>
        <v>367300</v>
      </c>
      <c r="AD136" s="221">
        <f t="shared" si="112"/>
        <v>0</v>
      </c>
      <c r="AE136" s="221">
        <f t="shared" si="112"/>
        <v>92600</v>
      </c>
      <c r="AF136" s="221">
        <f t="shared" si="112"/>
        <v>23100</v>
      </c>
      <c r="AG136" s="221">
        <f t="shared" si="112"/>
        <v>5043249</v>
      </c>
      <c r="AH136" s="221">
        <f t="shared" si="112"/>
        <v>1828610</v>
      </c>
      <c r="AI136" s="221">
        <f t="shared" si="112"/>
        <v>4349340</v>
      </c>
      <c r="AJ136" s="221">
        <f t="shared" si="112"/>
        <v>374575045</v>
      </c>
      <c r="AK136" s="221">
        <f t="shared" si="112"/>
        <v>585726450</v>
      </c>
      <c r="AL136" s="221">
        <f t="shared" si="112"/>
        <v>446395</v>
      </c>
      <c r="AM136" s="221">
        <f>SUM(AM131:AM135)</f>
        <v>0</v>
      </c>
      <c r="AO136" s="221">
        <f>SUM(AO131:AO135)</f>
        <v>13474.542319499998</v>
      </c>
      <c r="AP136" s="221">
        <f t="shared" ref="AP136:BD136" si="113">SUM(AP131:AP135)</f>
        <v>31168.162799999998</v>
      </c>
      <c r="AQ136" s="221">
        <f t="shared" si="113"/>
        <v>20677.593000000001</v>
      </c>
      <c r="AR136" s="221">
        <f t="shared" si="113"/>
        <v>2989.3549999999996</v>
      </c>
      <c r="AS136" s="221">
        <f t="shared" si="113"/>
        <v>8142.7067000000025</v>
      </c>
      <c r="AT136" s="221">
        <f t="shared" si="113"/>
        <v>2056.88</v>
      </c>
      <c r="AU136" s="221">
        <f t="shared" si="113"/>
        <v>0</v>
      </c>
      <c r="AV136" s="221">
        <f t="shared" si="113"/>
        <v>518.55999999999995</v>
      </c>
      <c r="AW136" s="221">
        <f t="shared" si="113"/>
        <v>64.679999999999993</v>
      </c>
      <c r="AX136" s="221">
        <f t="shared" si="113"/>
        <v>0</v>
      </c>
      <c r="AY136" s="221">
        <f t="shared" si="113"/>
        <v>0</v>
      </c>
      <c r="AZ136" s="221">
        <f t="shared" si="113"/>
        <v>0</v>
      </c>
      <c r="BA136" s="221">
        <f t="shared" si="113"/>
        <v>0</v>
      </c>
      <c r="BB136" s="221">
        <f t="shared" si="113"/>
        <v>0</v>
      </c>
      <c r="BC136" s="221">
        <f t="shared" si="113"/>
        <v>27.408653000000001</v>
      </c>
      <c r="BD136" s="221">
        <f t="shared" si="113"/>
        <v>0</v>
      </c>
      <c r="BE136" s="238">
        <f>SUM(BE131:BE135)</f>
        <v>903793</v>
      </c>
      <c r="BF136" s="239">
        <f>SUM(BF131:BF135)</f>
        <v>9517399</v>
      </c>
      <c r="BH136" s="221">
        <f t="shared" ref="BH136:BM136" si="114">SUM(BH131:BH135)</f>
        <v>13489.828847999999</v>
      </c>
      <c r="BI136" s="221">
        <f t="shared" si="114"/>
        <v>62990.541790000003</v>
      </c>
      <c r="BJ136" s="221">
        <f t="shared" si="114"/>
        <v>2640.12</v>
      </c>
      <c r="BK136" s="221">
        <f t="shared" si="114"/>
        <v>0</v>
      </c>
      <c r="BL136" s="221">
        <f t="shared" si="114"/>
        <v>27.408653000000001</v>
      </c>
      <c r="BM136" s="221">
        <f t="shared" si="114"/>
        <v>79147.89929099998</v>
      </c>
      <c r="BN136" s="718">
        <f t="shared" si="97"/>
        <v>1</v>
      </c>
      <c r="BO136" s="715">
        <f t="shared" si="98"/>
        <v>8.3161270522545063</v>
      </c>
      <c r="BQ136" s="867">
        <f>'[15]JSO (t)'!BO133</f>
        <v>8.3613989649448257</v>
      </c>
      <c r="BR136" s="868">
        <f t="shared" si="102"/>
        <v>-5.4143945146167827E-3</v>
      </c>
      <c r="BT136" s="869">
        <v>1.0084</v>
      </c>
      <c r="BU136" s="136">
        <f>SUM(BU132:BU135)</f>
        <v>356520.90195299999</v>
      </c>
      <c r="BV136" s="805">
        <f>SUM(BM132:BM135)/BU136</f>
        <v>8.0953102638298594E-2</v>
      </c>
      <c r="BW136" s="136">
        <f>SUM(BW132:BW135)</f>
        <v>7.510436716984259E-12</v>
      </c>
      <c r="BX136" s="794">
        <f>BW136/BM136</f>
        <v>9.4891169371039535E-17</v>
      </c>
    </row>
    <row r="137" spans="1:76"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Q137" s="659"/>
      <c r="BR137" s="718"/>
      <c r="BT137" s="801">
        <f>JSO!F28</f>
        <v>-7.617698783139744</v>
      </c>
    </row>
    <row r="138" spans="1:76"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12083.0031795</v>
      </c>
      <c r="BI138" s="218">
        <f>BI131</f>
        <v>35569.494290000002</v>
      </c>
      <c r="BJ138" s="218"/>
      <c r="BK138" s="218">
        <f>BK131</f>
        <v>0</v>
      </c>
      <c r="BL138" s="218">
        <f>BL131</f>
        <v>27.408653000000001</v>
      </c>
      <c r="BM138" s="218">
        <f>SUM(BH138:BL138)</f>
        <v>47679.906122499997</v>
      </c>
      <c r="BN138" s="718">
        <f>BM138/$BM$136</f>
        <v>0.60241530791862408</v>
      </c>
      <c r="BO138" s="714">
        <f>BM138*1000/BF138</f>
        <v>14.846846789612167</v>
      </c>
      <c r="BQ138" s="659">
        <f>'[15]JSO (t)'!BO135</f>
        <v>15.297071232507058</v>
      </c>
      <c r="BR138" s="718">
        <f t="shared" si="102"/>
        <v>-2.9432068142439038E-2</v>
      </c>
    </row>
    <row r="139" spans="1:76"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2606.52</v>
      </c>
      <c r="BK139" s="218"/>
      <c r="BL139" s="218"/>
      <c r="BM139" s="218">
        <f>SUM(BH139:BL139)</f>
        <v>2606.52</v>
      </c>
      <c r="BN139" s="718">
        <f>BM139/$BM$136</f>
        <v>3.2932270134128389E-2</v>
      </c>
      <c r="BO139" s="714">
        <f>BM139*1000/BF139</f>
        <v>5.4644025157232701</v>
      </c>
      <c r="BQ139" s="659">
        <f>'[15]JSO (t)'!BO136</f>
        <v>5.6651592356687894</v>
      </c>
      <c r="BR139" s="718">
        <f t="shared" si="102"/>
        <v>-3.543708333589668E-2</v>
      </c>
    </row>
    <row r="140" spans="1:76"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128"/>
    </row>
    <row r="141" spans="1:76"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row>
    <row r="142" spans="1:76"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M142" s="718">
        <f>BM131/'NUoS (t)'!BM131</f>
        <v>8.2713474387728428E-2</v>
      </c>
    </row>
    <row r="143" spans="1:76"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c r="BM143" s="718">
        <f>BM132/'NUoS (t)'!BM132</f>
        <v>5.6794285210819917E-2</v>
      </c>
    </row>
    <row r="144" spans="1:76" x14ac:dyDescent="0.25">
      <c r="E144" s="224" t="s">
        <v>45</v>
      </c>
      <c r="F144" s="224"/>
      <c r="G144" s="225">
        <f>SUM(AO18:AO19,AX18:BD19)</f>
        <v>9533.753279999999</v>
      </c>
      <c r="H144" s="225">
        <f>SUM(AP18:AS19)</f>
        <v>26641.11</v>
      </c>
      <c r="I144" s="225">
        <f>SUM(G144:H144)</f>
        <v>36174.863279999998</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2518.6768425</v>
      </c>
      <c r="H145" s="225">
        <f>SUM(AP22:AS23)</f>
        <v>8910.0399999999991</v>
      </c>
      <c r="I145" s="225">
        <f t="shared" ref="I145:I164" si="115">SUM(G145:H145)</f>
        <v>11428.716842499998</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42.695181500000004</v>
      </c>
      <c r="H146" s="225">
        <f>SUM(AP24:AS25)</f>
        <v>5.62</v>
      </c>
      <c r="I146" s="225">
        <f t="shared" si="115"/>
        <v>48.315181500000001</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15.286528499999999</v>
      </c>
      <c r="H147" s="225">
        <f>SUM(AP26:AS27)</f>
        <v>12.72429</v>
      </c>
      <c r="I147" s="225">
        <f>SUM(G147:H147)</f>
        <v>28.010818499999999</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2056.8800000000006</v>
      </c>
      <c r="I148" s="225">
        <f t="shared" si="115"/>
        <v>2056.8800000000006</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583.2399999999999</v>
      </c>
      <c r="I149" s="225">
        <f t="shared" si="115"/>
        <v>583.2399999999999</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550.79999999999995</v>
      </c>
      <c r="I150" s="225">
        <f t="shared" si="115"/>
        <v>550.79999999999995</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1036.333623</v>
      </c>
      <c r="H151" s="225">
        <f>SUM(AP33:AS37,AP44:AS47)</f>
        <v>5000.1400000000003</v>
      </c>
      <c r="I151" s="225">
        <f t="shared" si="115"/>
        <v>6036.4736229999999</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336.81367799999998</v>
      </c>
      <c r="H152" s="225">
        <f>SUM(AP39:AS39)</f>
        <v>3432.51</v>
      </c>
      <c r="I152" s="225">
        <f t="shared" si="115"/>
        <v>3769.3236780000002</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23.357335499999998</v>
      </c>
      <c r="H153" s="225">
        <f>SUM(AP40:AS40)</f>
        <v>442.5</v>
      </c>
      <c r="I153" s="225">
        <f t="shared" si="115"/>
        <v>465.85733549999998</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10.321031999999999</v>
      </c>
      <c r="H154" s="225">
        <f>SUM(AP41:AS41)</f>
        <v>122.12</v>
      </c>
      <c r="I154" s="225">
        <f t="shared" si="115"/>
        <v>132.44103200000001</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SUM(AO49:AO49,AO55:AO68,AX49:BD49,AX55:BD68)</f>
        <v>0</v>
      </c>
      <c r="H155" s="225">
        <f>SUM(AP49:AS49,AP55:AS68)</f>
        <v>13476.305900000001</v>
      </c>
      <c r="I155" s="225">
        <f t="shared" si="115"/>
        <v>13476.305900000001</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SUM(AO50:AO51,AO69,AX50:BD51,AX69:BD69)</f>
        <v>0</v>
      </c>
      <c r="H156" s="225">
        <f>SUM(AP50:AS51,AP69:AS69)</f>
        <v>706.09</v>
      </c>
      <c r="I156" s="225">
        <f t="shared" si="115"/>
        <v>706.09</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0</v>
      </c>
      <c r="H157" s="225">
        <f>SUM(AP52:AS53)</f>
        <v>52</v>
      </c>
      <c r="I157" s="225">
        <f t="shared" si="115"/>
        <v>52</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0</v>
      </c>
      <c r="H158" s="225">
        <f>SUM(AP72:AS72,AP76:AS76,AP79:AS87)</f>
        <v>2391.1888000000008</v>
      </c>
      <c r="I158" s="225">
        <f t="shared" si="115"/>
        <v>2391.1888000000008</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0</v>
      </c>
      <c r="H159" s="225">
        <f>SUM(AP73:AS74)</f>
        <v>183.96</v>
      </c>
      <c r="I159" s="225">
        <f t="shared" si="115"/>
        <v>183.96</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0</v>
      </c>
      <c r="H160" s="225">
        <f>SUM(AP75:AS75,AP77:AS77)</f>
        <v>0</v>
      </c>
      <c r="I160" s="225">
        <f t="shared" si="115"/>
        <v>0</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0</v>
      </c>
      <c r="H161" s="225">
        <f>SUM(AP96:AS103)</f>
        <v>105.6978</v>
      </c>
      <c r="I161" s="225">
        <f t="shared" si="115"/>
        <v>105.6978</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0</v>
      </c>
      <c r="H162" s="225">
        <f>SUM(AP105:AS114)</f>
        <v>358.35299999999995</v>
      </c>
      <c r="I162" s="225">
        <f t="shared" si="115"/>
        <v>358.35299999999995</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0</v>
      </c>
      <c r="H163" s="225">
        <f>SUM(AP116:AS119)</f>
        <v>16.091999999999999</v>
      </c>
      <c r="I163" s="225">
        <f t="shared" si="115"/>
        <v>16.091999999999999</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0</v>
      </c>
      <c r="H164" s="225">
        <f>SUM(AP121:AS129)</f>
        <v>583.29</v>
      </c>
      <c r="I164" s="225">
        <f t="shared" si="115"/>
        <v>583.29</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13517.237501</v>
      </c>
      <c r="H165" s="226">
        <f>SUM(H144:H164)</f>
        <v>65630.661789999998</v>
      </c>
      <c r="I165" s="226">
        <f>SUM(I144:I164)</f>
        <v>79147.899290999994</v>
      </c>
    </row>
    <row r="166" spans="3:57" x14ac:dyDescent="0.25">
      <c r="E166" s="222" t="s">
        <v>176</v>
      </c>
      <c r="F166" s="222"/>
      <c r="G166" s="227"/>
      <c r="H166" s="227"/>
      <c r="I166" s="228">
        <f>SUM(BM136)</f>
        <v>79147.89929099998</v>
      </c>
    </row>
    <row r="167" spans="3:57" x14ac:dyDescent="0.25">
      <c r="E167" s="222" t="s">
        <v>177</v>
      </c>
      <c r="F167" s="222"/>
      <c r="G167" s="228"/>
      <c r="H167" s="228"/>
      <c r="I167" s="228">
        <f>I166-I165</f>
        <v>0</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customProperties>
    <customPr name="_pios_id" r:id="rId2"/>
  </customProperties>
  <ignoredErrors>
    <ignoredError sqref="D30:D41" unlockedFormula="1"/>
  </ignoredError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D811-D706-4DDE-9304-CF89D21BD146}">
  <sheetPr codeName="Sheet10"/>
  <dimension ref="A1:BT454"/>
  <sheetViews>
    <sheetView showGridLines="0" zoomScale="90" zoomScaleNormal="90" workbookViewId="0">
      <pane xSplit="4" ySplit="15" topLeftCell="F58" activePane="bottomRight" state="frozenSplit"/>
      <selection activeCell="X100" sqref="X100:BO101"/>
      <selection pane="topRight" activeCell="X100" sqref="X100:BO101"/>
      <selection pane="bottomLeft" activeCell="X100" sqref="X100:BO101"/>
      <selection pane="bottomRight" activeCell="G77" sqref="G77"/>
    </sheetView>
  </sheetViews>
  <sheetFormatPr defaultRowHeight="15" x14ac:dyDescent="0.25"/>
  <cols>
    <col min="1" max="1" width="1.5703125" style="128" customWidth="1"/>
    <col min="2" max="2" width="6.85546875" style="128" customWidth="1"/>
    <col min="3" max="3" width="12" style="128" bestFit="1" customWidth="1"/>
    <col min="4" max="4" width="13.28515625" style="128" bestFit="1" customWidth="1"/>
    <col min="5" max="5" width="51.42578125" style="128" bestFit="1" customWidth="1"/>
    <col min="6" max="6" width="3.7109375" style="128" customWidth="1"/>
    <col min="7" max="8" width="13.140625" style="128" customWidth="1"/>
    <col min="9" max="9" width="15" style="128" bestFit="1" customWidth="1"/>
    <col min="10" max="22" width="13.140625" style="128" customWidth="1"/>
    <col min="23" max="23" width="9.140625" style="128"/>
    <col min="24" max="39" width="13.140625" style="128" customWidth="1"/>
    <col min="40" max="40" width="3.85546875" style="128" customWidth="1"/>
    <col min="41" max="56" width="13.140625" style="128" customWidth="1"/>
    <col min="57" max="58" width="13.140625" style="126" customWidth="1"/>
    <col min="59" max="64" width="9.140625" style="128"/>
    <col min="65" max="65" width="11.140625" style="128" bestFit="1" customWidth="1"/>
    <col min="66" max="16384" width="9.140625" style="128"/>
  </cols>
  <sheetData>
    <row r="1" spans="2:69" ht="24" customHeight="1" x14ac:dyDescent="0.35">
      <c r="B1" s="1" t="str">
        <f>'Model Update'!D5</f>
        <v>SA Power Networks</v>
      </c>
      <c r="C1" s="141"/>
      <c r="D1" s="141"/>
      <c r="G1" s="1" t="s">
        <v>11</v>
      </c>
      <c r="X1" s="140"/>
      <c r="AO1" s="140"/>
    </row>
    <row r="2" spans="2:69" ht="21.75" customHeight="1" x14ac:dyDescent="0.3">
      <c r="B2" s="123" t="s">
        <v>12</v>
      </c>
      <c r="C2" s="141"/>
      <c r="D2" s="141"/>
      <c r="G2"/>
      <c r="H2" s="6" t="s">
        <v>13</v>
      </c>
      <c r="I2"/>
      <c r="J2"/>
      <c r="K2"/>
      <c r="L2"/>
      <c r="M2"/>
      <c r="N2"/>
      <c r="O2"/>
      <c r="Y2" s="142"/>
      <c r="Z2" s="142"/>
      <c r="AA2" s="142"/>
      <c r="AB2" s="142"/>
      <c r="AP2" s="142"/>
      <c r="AQ2" s="142"/>
      <c r="AR2" s="142"/>
      <c r="AS2" s="142"/>
    </row>
    <row r="3" spans="2:69" ht="18" hidden="1" customHeight="1" x14ac:dyDescent="0.25">
      <c r="B3" s="143"/>
      <c r="C3" s="141"/>
      <c r="D3" s="141"/>
      <c r="G3"/>
      <c r="H3"/>
      <c r="I3"/>
      <c r="J3"/>
      <c r="K3"/>
      <c r="L3"/>
      <c r="M3"/>
      <c r="N3"/>
      <c r="O3"/>
      <c r="Y3" s="142"/>
      <c r="Z3" s="142"/>
      <c r="AA3" s="142"/>
      <c r="AB3" s="142"/>
      <c r="AP3" s="142"/>
      <c r="AQ3" s="142"/>
      <c r="AR3" s="142"/>
      <c r="AS3" s="142"/>
    </row>
    <row r="4" spans="2:69" ht="18" hidden="1" customHeight="1" x14ac:dyDescent="0.25">
      <c r="B4" s="143"/>
      <c r="C4" s="141"/>
      <c r="D4" s="141"/>
      <c r="G4"/>
      <c r="H4"/>
      <c r="I4"/>
      <c r="J4"/>
      <c r="K4"/>
      <c r="L4"/>
      <c r="M4"/>
      <c r="N4"/>
      <c r="O4"/>
      <c r="Y4" s="142"/>
      <c r="Z4" s="142"/>
      <c r="AA4" s="142"/>
      <c r="AB4" s="142"/>
      <c r="AP4" s="142"/>
      <c r="AQ4" s="142"/>
      <c r="AR4" s="142"/>
      <c r="AS4" s="142"/>
    </row>
    <row r="5" spans="2:69" ht="12.75" customHeight="1" x14ac:dyDescent="0.25">
      <c r="B5" s="143"/>
      <c r="C5" s="141"/>
      <c r="D5" s="141"/>
      <c r="G5"/>
      <c r="H5"/>
      <c r="I5"/>
      <c r="J5"/>
      <c r="K5"/>
      <c r="L5"/>
      <c r="M5"/>
      <c r="N5"/>
      <c r="O5"/>
      <c r="Y5" s="142"/>
      <c r="Z5" s="142"/>
      <c r="AA5" s="142"/>
      <c r="AB5" s="142"/>
      <c r="AP5" s="142"/>
      <c r="AQ5" s="142"/>
      <c r="AR5" s="142"/>
      <c r="AS5" s="142"/>
    </row>
    <row r="6" spans="2:69" ht="12.75" customHeight="1" x14ac:dyDescent="0.25">
      <c r="B6" s="143"/>
      <c r="C6" s="141"/>
      <c r="D6" s="141"/>
      <c r="G6" s="871"/>
      <c r="H6"/>
      <c r="I6"/>
      <c r="J6"/>
      <c r="K6"/>
      <c r="L6"/>
      <c r="M6"/>
      <c r="N6"/>
      <c r="O6"/>
      <c r="Z6" s="142"/>
      <c r="AA6" s="142"/>
      <c r="AB6" s="142"/>
      <c r="AQ6" s="142"/>
      <c r="AR6" s="142"/>
      <c r="AS6" s="142"/>
    </row>
    <row r="7" spans="2:69" ht="18.75" x14ac:dyDescent="0.3">
      <c r="B7" s="7" t="str">
        <f>"Information for financial year ending 30 June "&amp;'Model Update'!C12</f>
        <v>Information for financial year ending 30 June 2022</v>
      </c>
      <c r="C7" s="141"/>
      <c r="D7" s="141"/>
      <c r="G7" s="871"/>
      <c r="H7"/>
      <c r="I7"/>
      <c r="J7"/>
      <c r="K7"/>
      <c r="L7"/>
      <c r="M7"/>
      <c r="N7"/>
      <c r="O7"/>
      <c r="Y7" s="142"/>
      <c r="Z7" s="142"/>
      <c r="AA7" s="142"/>
      <c r="AB7" s="142"/>
      <c r="AP7" s="142"/>
      <c r="AQ7" s="142"/>
      <c r="AR7" s="142"/>
      <c r="AS7" s="142"/>
      <c r="BE7" s="251">
        <f>Days_Year</f>
        <v>365</v>
      </c>
    </row>
    <row r="8" spans="2:69" x14ac:dyDescent="0.25">
      <c r="B8" s="143"/>
      <c r="C8" s="141"/>
      <c r="D8" s="141"/>
    </row>
    <row r="9" spans="2:69" x14ac:dyDescent="0.25">
      <c r="B9" s="143"/>
      <c r="C9" s="141"/>
      <c r="D9" s="141"/>
      <c r="G9" s="898" t="s">
        <v>14</v>
      </c>
      <c r="H9" s="898"/>
      <c r="I9" s="898"/>
      <c r="J9" s="898"/>
      <c r="K9" s="898"/>
      <c r="L9" s="898"/>
      <c r="M9" s="898"/>
      <c r="N9" s="898"/>
      <c r="O9" s="898"/>
      <c r="P9" s="898"/>
      <c r="Q9" s="898"/>
      <c r="R9" s="898"/>
      <c r="S9" s="898"/>
      <c r="T9" s="898"/>
      <c r="U9" s="898"/>
      <c r="V9" s="909"/>
      <c r="X9" s="910" t="s">
        <v>15</v>
      </c>
      <c r="Y9" s="910"/>
      <c r="Z9" s="910"/>
      <c r="AA9" s="910"/>
      <c r="AB9" s="910"/>
      <c r="AC9" s="910"/>
      <c r="AD9" s="910"/>
      <c r="AE9" s="910"/>
      <c r="AF9" s="910"/>
      <c r="AG9" s="910"/>
      <c r="AH9" s="910"/>
      <c r="AI9" s="910"/>
      <c r="AJ9" s="910"/>
      <c r="AK9" s="910"/>
      <c r="AL9" s="910"/>
      <c r="AM9" s="911"/>
      <c r="AO9" s="898" t="s">
        <v>599</v>
      </c>
      <c r="AP9" s="898"/>
      <c r="AQ9" s="898"/>
      <c r="AR9" s="898"/>
      <c r="AS9" s="898"/>
      <c r="AT9" s="898"/>
      <c r="AU9" s="898"/>
      <c r="AV9" s="898"/>
      <c r="AW9" s="898"/>
      <c r="AX9" s="898"/>
      <c r="AY9" s="898"/>
      <c r="AZ9" s="898"/>
      <c r="BA9" s="898"/>
      <c r="BB9" s="898"/>
      <c r="BC9" s="898"/>
      <c r="BD9" s="898"/>
      <c r="BE9" s="898"/>
      <c r="BF9" s="898"/>
    </row>
    <row r="10" spans="2:69" x14ac:dyDescent="0.25">
      <c r="E10" s="144"/>
      <c r="V10" s="145"/>
      <c r="AM10" s="145"/>
    </row>
    <row r="11" spans="2:69" x14ac:dyDescent="0.25">
      <c r="B11" s="146" t="s">
        <v>16</v>
      </c>
      <c r="C11" s="147"/>
      <c r="D11" s="147"/>
      <c r="E11" s="148"/>
      <c r="G11" s="149">
        <f>'Model Update'!C12</f>
        <v>2022</v>
      </c>
      <c r="H11" s="150">
        <f>$G$11</f>
        <v>2022</v>
      </c>
      <c r="I11" s="147"/>
      <c r="J11" s="151"/>
      <c r="K11" s="152"/>
      <c r="L11" s="150">
        <f>$G$11</f>
        <v>2022</v>
      </c>
      <c r="M11" s="153"/>
      <c r="N11" s="153"/>
      <c r="O11" s="152"/>
      <c r="P11" s="150">
        <f>$G$11</f>
        <v>2022</v>
      </c>
      <c r="Q11" s="147"/>
      <c r="R11" s="151"/>
      <c r="S11" s="150">
        <f>$G$11</f>
        <v>2022</v>
      </c>
      <c r="T11" s="154"/>
      <c r="U11" s="150">
        <f>$G$11</f>
        <v>2022</v>
      </c>
      <c r="V11" s="148"/>
      <c r="X11" s="150">
        <f>$G$11</f>
        <v>2022</v>
      </c>
      <c r="Y11" s="150">
        <f>$G$11</f>
        <v>2022</v>
      </c>
      <c r="Z11" s="147"/>
      <c r="AA11" s="151"/>
      <c r="AB11" s="152"/>
      <c r="AC11" s="150">
        <f>$G$11</f>
        <v>2022</v>
      </c>
      <c r="AD11" s="153"/>
      <c r="AE11" s="153"/>
      <c r="AF11" s="152"/>
      <c r="AG11" s="150">
        <f>$G$11</f>
        <v>2022</v>
      </c>
      <c r="AH11" s="147"/>
      <c r="AI11" s="151"/>
      <c r="AJ11" s="150">
        <f>$G$11</f>
        <v>2022</v>
      </c>
      <c r="AK11" s="154"/>
      <c r="AL11" s="150">
        <f>$G$11</f>
        <v>2022</v>
      </c>
      <c r="AM11" s="148"/>
      <c r="AO11" s="150">
        <f>$G$11</f>
        <v>2022</v>
      </c>
      <c r="AP11" s="150">
        <f>$G$11</f>
        <v>2022</v>
      </c>
      <c r="AQ11" s="147"/>
      <c r="AR11" s="151"/>
      <c r="AS11" s="152"/>
      <c r="AT11" s="150">
        <f>$G$11</f>
        <v>2022</v>
      </c>
      <c r="AU11" s="153"/>
      <c r="AV11" s="153"/>
      <c r="AW11" s="152"/>
      <c r="AX11" s="150">
        <f>$G$11</f>
        <v>2022</v>
      </c>
      <c r="AY11" s="147"/>
      <c r="AZ11" s="151"/>
      <c r="BA11" s="150">
        <f>$G$11</f>
        <v>2022</v>
      </c>
      <c r="BB11" s="154"/>
      <c r="BC11" s="150">
        <f>$G$11</f>
        <v>2022</v>
      </c>
      <c r="BD11" s="147"/>
      <c r="BE11" s="912" t="s">
        <v>17</v>
      </c>
      <c r="BF11" s="900"/>
      <c r="BH11" s="912" t="s">
        <v>205</v>
      </c>
      <c r="BI11" s="899"/>
      <c r="BJ11" s="899"/>
      <c r="BK11" s="899"/>
      <c r="BL11" s="899"/>
      <c r="BM11" s="900"/>
    </row>
    <row r="12" spans="2:69" x14ac:dyDescent="0.25">
      <c r="B12" s="155"/>
      <c r="E12" s="145"/>
      <c r="G12" s="156" t="s">
        <v>18</v>
      </c>
      <c r="H12" s="157" t="s">
        <v>19</v>
      </c>
      <c r="J12" s="129"/>
      <c r="K12" s="158"/>
      <c r="L12" s="157" t="s">
        <v>20</v>
      </c>
      <c r="M12" s="135"/>
      <c r="N12" s="135"/>
      <c r="O12" s="158"/>
      <c r="P12" s="904" t="s">
        <v>21</v>
      </c>
      <c r="Q12" s="905"/>
      <c r="R12" s="906"/>
      <c r="S12" s="907" t="s">
        <v>634</v>
      </c>
      <c r="T12" s="908"/>
      <c r="U12" s="904" t="s">
        <v>635</v>
      </c>
      <c r="V12" s="906"/>
      <c r="X12" s="156" t="s">
        <v>22</v>
      </c>
      <c r="Y12" s="157" t="s">
        <v>19</v>
      </c>
      <c r="AA12" s="129"/>
      <c r="AB12" s="158"/>
      <c r="AC12" s="157" t="s">
        <v>20</v>
      </c>
      <c r="AD12" s="135"/>
      <c r="AE12" s="135"/>
      <c r="AF12" s="158"/>
      <c r="AG12" s="904" t="s">
        <v>21</v>
      </c>
      <c r="AH12" s="905"/>
      <c r="AI12" s="906"/>
      <c r="AJ12" s="907" t="s">
        <v>634</v>
      </c>
      <c r="AK12" s="908"/>
      <c r="AL12" s="904" t="s">
        <v>635</v>
      </c>
      <c r="AM12" s="906"/>
      <c r="AO12" s="156" t="s">
        <v>22</v>
      </c>
      <c r="AP12" s="157" t="s">
        <v>19</v>
      </c>
      <c r="AR12" s="129"/>
      <c r="AS12" s="158"/>
      <c r="AT12" s="157" t="s">
        <v>20</v>
      </c>
      <c r="AU12" s="135"/>
      <c r="AV12" s="135"/>
      <c r="AW12" s="158"/>
      <c r="AX12" s="904" t="s">
        <v>21</v>
      </c>
      <c r="AY12" s="905"/>
      <c r="AZ12" s="906"/>
      <c r="BA12" s="907" t="s">
        <v>634</v>
      </c>
      <c r="BB12" s="908"/>
      <c r="BC12" s="904" t="s">
        <v>635</v>
      </c>
      <c r="BD12" s="906"/>
      <c r="BE12" s="234" t="s">
        <v>204</v>
      </c>
      <c r="BF12" s="236" t="s">
        <v>23</v>
      </c>
      <c r="BH12" s="232"/>
      <c r="BI12" s="233"/>
      <c r="BJ12" s="233"/>
      <c r="BK12" s="233"/>
      <c r="BL12" s="233"/>
      <c r="BM12" s="145"/>
    </row>
    <row r="13" spans="2:69" x14ac:dyDescent="0.25">
      <c r="B13" s="155"/>
      <c r="E13" s="145"/>
      <c r="G13" s="156"/>
      <c r="H13" s="160" t="s">
        <v>23</v>
      </c>
      <c r="I13" s="129" t="s">
        <v>23</v>
      </c>
      <c r="J13" s="129" t="s">
        <v>23</v>
      </c>
      <c r="K13" s="158" t="s">
        <v>23</v>
      </c>
      <c r="L13" s="160" t="s">
        <v>23</v>
      </c>
      <c r="M13" s="129" t="s">
        <v>23</v>
      </c>
      <c r="N13" s="129" t="s">
        <v>23</v>
      </c>
      <c r="O13" s="158" t="s">
        <v>23</v>
      </c>
      <c r="P13" s="129" t="s">
        <v>24</v>
      </c>
      <c r="Q13" s="128" t="s">
        <v>24</v>
      </c>
      <c r="R13" s="159" t="s">
        <v>24</v>
      </c>
      <c r="S13" s="129" t="s">
        <v>24</v>
      </c>
      <c r="T13" s="159" t="s">
        <v>24</v>
      </c>
      <c r="U13" s="160" t="s">
        <v>25</v>
      </c>
      <c r="V13" s="158" t="s">
        <v>25</v>
      </c>
      <c r="X13" s="156"/>
      <c r="Y13" s="160" t="s">
        <v>23</v>
      </c>
      <c r="Z13" s="129" t="s">
        <v>23</v>
      </c>
      <c r="AA13" s="129" t="s">
        <v>23</v>
      </c>
      <c r="AB13" s="158" t="s">
        <v>23</v>
      </c>
      <c r="AC13" s="160" t="s">
        <v>23</v>
      </c>
      <c r="AD13" s="129" t="s">
        <v>23</v>
      </c>
      <c r="AE13" s="129" t="s">
        <v>23</v>
      </c>
      <c r="AF13" s="158" t="s">
        <v>23</v>
      </c>
      <c r="AG13" s="129" t="s">
        <v>24</v>
      </c>
      <c r="AH13" s="128" t="s">
        <v>24</v>
      </c>
      <c r="AI13" s="159" t="s">
        <v>24</v>
      </c>
      <c r="AJ13" s="129" t="s">
        <v>24</v>
      </c>
      <c r="AK13" s="159" t="s">
        <v>24</v>
      </c>
      <c r="AL13" s="160" t="s">
        <v>25</v>
      </c>
      <c r="AM13" s="158" t="s">
        <v>25</v>
      </c>
      <c r="AO13" s="156"/>
      <c r="AP13" s="160" t="s">
        <v>23</v>
      </c>
      <c r="AQ13" s="129" t="s">
        <v>23</v>
      </c>
      <c r="AR13" s="129" t="s">
        <v>23</v>
      </c>
      <c r="AS13" s="158" t="s">
        <v>23</v>
      </c>
      <c r="AT13" s="160" t="s">
        <v>23</v>
      </c>
      <c r="AU13" s="129" t="s">
        <v>23</v>
      </c>
      <c r="AV13" s="129" t="s">
        <v>23</v>
      </c>
      <c r="AW13" s="158" t="s">
        <v>23</v>
      </c>
      <c r="AX13" s="129" t="s">
        <v>24</v>
      </c>
      <c r="AY13" s="128" t="s">
        <v>24</v>
      </c>
      <c r="AZ13" s="159" t="s">
        <v>24</v>
      </c>
      <c r="BA13" s="129" t="s">
        <v>24</v>
      </c>
      <c r="BB13" s="159" t="s">
        <v>24</v>
      </c>
      <c r="BC13" s="160" t="s">
        <v>25</v>
      </c>
      <c r="BD13" s="158" t="s">
        <v>25</v>
      </c>
      <c r="BE13" s="161"/>
      <c r="BF13" s="236"/>
      <c r="BH13" s="234" t="s">
        <v>206</v>
      </c>
      <c r="BI13" s="235" t="s">
        <v>23</v>
      </c>
      <c r="BJ13" s="235" t="s">
        <v>23</v>
      </c>
      <c r="BK13" s="235" t="s">
        <v>210</v>
      </c>
      <c r="BL13" s="235" t="s">
        <v>211</v>
      </c>
      <c r="BM13" s="236" t="s">
        <v>212</v>
      </c>
      <c r="BO13" s="662" t="s">
        <v>600</v>
      </c>
      <c r="BQ13" s="126" t="s">
        <v>179</v>
      </c>
    </row>
    <row r="14" spans="2:69" s="129" customFormat="1" x14ac:dyDescent="0.25">
      <c r="B14" s="156" t="s">
        <v>26</v>
      </c>
      <c r="C14" s="129" t="s">
        <v>27</v>
      </c>
      <c r="D14" s="129" t="s">
        <v>27</v>
      </c>
      <c r="E14" s="158" t="s">
        <v>28</v>
      </c>
      <c r="F14" s="128"/>
      <c r="G14" s="156" t="s">
        <v>29</v>
      </c>
      <c r="H14" s="160" t="s">
        <v>30</v>
      </c>
      <c r="I14" s="129" t="s">
        <v>31</v>
      </c>
      <c r="J14" s="129" t="s">
        <v>32</v>
      </c>
      <c r="K14" s="158" t="s">
        <v>33</v>
      </c>
      <c r="L14" s="160" t="s">
        <v>30</v>
      </c>
      <c r="M14" s="129" t="s">
        <v>31</v>
      </c>
      <c r="N14" s="129" t="s">
        <v>32</v>
      </c>
      <c r="O14" s="158" t="s">
        <v>33</v>
      </c>
      <c r="P14" s="160"/>
      <c r="S14" s="160"/>
      <c r="T14" s="158"/>
      <c r="U14" s="160" t="s">
        <v>34</v>
      </c>
      <c r="V14" s="158"/>
      <c r="X14" s="156" t="s">
        <v>29</v>
      </c>
      <c r="Y14" s="160" t="s">
        <v>30</v>
      </c>
      <c r="Z14" s="129" t="s">
        <v>31</v>
      </c>
      <c r="AA14" s="129" t="s">
        <v>32</v>
      </c>
      <c r="AB14" s="158" t="s">
        <v>33</v>
      </c>
      <c r="AC14" s="160" t="s">
        <v>30</v>
      </c>
      <c r="AD14" s="129" t="s">
        <v>31</v>
      </c>
      <c r="AE14" s="129" t="s">
        <v>32</v>
      </c>
      <c r="AF14" s="158" t="s">
        <v>33</v>
      </c>
      <c r="AG14" s="160"/>
      <c r="AJ14" s="160"/>
      <c r="AK14" s="158"/>
      <c r="AL14" s="160" t="s">
        <v>34</v>
      </c>
      <c r="AM14" s="158"/>
      <c r="AO14" s="156" t="s">
        <v>29</v>
      </c>
      <c r="AP14" s="160" t="s">
        <v>30</v>
      </c>
      <c r="AQ14" s="129" t="s">
        <v>31</v>
      </c>
      <c r="AR14" s="129" t="s">
        <v>32</v>
      </c>
      <c r="AS14" s="158" t="s">
        <v>33</v>
      </c>
      <c r="AT14" s="160" t="s">
        <v>30</v>
      </c>
      <c r="AU14" s="129" t="s">
        <v>31</v>
      </c>
      <c r="AV14" s="129" t="s">
        <v>32</v>
      </c>
      <c r="AW14" s="158" t="s">
        <v>33</v>
      </c>
      <c r="AX14" s="160"/>
      <c r="BA14" s="160"/>
      <c r="BB14" s="158"/>
      <c r="BC14" s="160" t="s">
        <v>34</v>
      </c>
      <c r="BD14" s="158"/>
      <c r="BE14" s="234" t="s">
        <v>22</v>
      </c>
      <c r="BF14" s="236" t="s">
        <v>35</v>
      </c>
      <c r="BH14" s="234" t="s">
        <v>207</v>
      </c>
      <c r="BI14" s="235" t="s">
        <v>208</v>
      </c>
      <c r="BJ14" s="235" t="s">
        <v>209</v>
      </c>
      <c r="BK14" s="235"/>
      <c r="BL14" s="235"/>
      <c r="BM14" s="236"/>
    </row>
    <row r="15" spans="2:69" s="129" customFormat="1" x14ac:dyDescent="0.25">
      <c r="B15" s="162"/>
      <c r="C15" s="163" t="s">
        <v>36</v>
      </c>
      <c r="D15" s="163" t="s">
        <v>37</v>
      </c>
      <c r="E15" s="164" t="s">
        <v>38</v>
      </c>
      <c r="F15" s="128"/>
      <c r="G15" s="162" t="s">
        <v>29</v>
      </c>
      <c r="H15" s="165" t="s">
        <v>30</v>
      </c>
      <c r="I15" s="163" t="s">
        <v>31</v>
      </c>
      <c r="J15" s="163" t="s">
        <v>39</v>
      </c>
      <c r="K15" s="164" t="s">
        <v>32</v>
      </c>
      <c r="L15" s="165" t="s">
        <v>30</v>
      </c>
      <c r="M15" s="163"/>
      <c r="N15" s="163"/>
      <c r="O15" s="164"/>
      <c r="P15" s="165" t="s">
        <v>40</v>
      </c>
      <c r="Q15" s="163" t="s">
        <v>638</v>
      </c>
      <c r="R15" s="163" t="s">
        <v>639</v>
      </c>
      <c r="S15" s="165" t="s">
        <v>637</v>
      </c>
      <c r="T15" s="164" t="s">
        <v>636</v>
      </c>
      <c r="U15" s="165" t="s">
        <v>34</v>
      </c>
      <c r="V15" s="166" t="s">
        <v>636</v>
      </c>
      <c r="X15" s="162" t="s">
        <v>29</v>
      </c>
      <c r="Y15" s="165" t="s">
        <v>30</v>
      </c>
      <c r="Z15" s="163" t="s">
        <v>31</v>
      </c>
      <c r="AA15" s="163" t="s">
        <v>39</v>
      </c>
      <c r="AB15" s="164" t="s">
        <v>32</v>
      </c>
      <c r="AC15" s="165" t="s">
        <v>30</v>
      </c>
      <c r="AD15" s="163"/>
      <c r="AE15" s="163"/>
      <c r="AF15" s="164"/>
      <c r="AG15" s="165" t="s">
        <v>40</v>
      </c>
      <c r="AH15" s="163" t="s">
        <v>638</v>
      </c>
      <c r="AI15" s="163" t="s">
        <v>639</v>
      </c>
      <c r="AJ15" s="165" t="s">
        <v>637</v>
      </c>
      <c r="AK15" s="164" t="s">
        <v>636</v>
      </c>
      <c r="AL15" s="165" t="s">
        <v>34</v>
      </c>
      <c r="AM15" s="166" t="s">
        <v>636</v>
      </c>
      <c r="AO15" s="162" t="s">
        <v>29</v>
      </c>
      <c r="AP15" s="165" t="s">
        <v>30</v>
      </c>
      <c r="AQ15" s="163" t="s">
        <v>31</v>
      </c>
      <c r="AR15" s="163" t="s">
        <v>39</v>
      </c>
      <c r="AS15" s="164" t="s">
        <v>32</v>
      </c>
      <c r="AT15" s="165" t="s">
        <v>30</v>
      </c>
      <c r="AU15" s="163"/>
      <c r="AV15" s="163"/>
      <c r="AW15" s="164"/>
      <c r="AX15" s="165" t="s">
        <v>40</v>
      </c>
      <c r="AY15" s="163" t="s">
        <v>638</v>
      </c>
      <c r="AZ15" s="163" t="s">
        <v>639</v>
      </c>
      <c r="BA15" s="165" t="s">
        <v>637</v>
      </c>
      <c r="BB15" s="164" t="s">
        <v>636</v>
      </c>
      <c r="BC15" s="165" t="s">
        <v>34</v>
      </c>
      <c r="BD15" s="166" t="s">
        <v>636</v>
      </c>
      <c r="BE15" s="240" t="s">
        <v>22</v>
      </c>
      <c r="BF15" s="241" t="s">
        <v>35</v>
      </c>
      <c r="BH15" s="160"/>
      <c r="BI15" s="237"/>
      <c r="BJ15" s="237"/>
      <c r="BK15" s="237"/>
      <c r="BL15" s="237"/>
      <c r="BM15" s="158"/>
    </row>
    <row r="16" spans="2:69" ht="15" customHeight="1" x14ac:dyDescent="0.25">
      <c r="B16" s="167" t="s">
        <v>41</v>
      </c>
      <c r="C16" s="151" t="s">
        <v>42</v>
      </c>
      <c r="D16" s="147"/>
      <c r="E16" s="148"/>
      <c r="G16" s="453">
        <f>SUM('DUoS (t)'!G16,'TUoS (t)'!G16,'JSO (t)'!G16)</f>
        <v>0</v>
      </c>
      <c r="H16" s="454">
        <f>SUM('DUoS (t)'!H16,'TUoS (t)'!H16,'JSO (t)'!H16)</f>
        <v>0</v>
      </c>
      <c r="I16" s="455">
        <f>SUM('DUoS (t)'!I16,'TUoS (t)'!I16,'JSO (t)'!I16)</f>
        <v>0</v>
      </c>
      <c r="J16" s="455">
        <f>SUM('DUoS (t)'!J16,'TUoS (t)'!J16,'JSO (t)'!J16)</f>
        <v>0</v>
      </c>
      <c r="K16" s="456">
        <f>SUM('DUoS (t)'!K16,'TUoS (t)'!K16,'JSO (t)'!K16)</f>
        <v>0</v>
      </c>
      <c r="L16" s="455">
        <f>SUM('DUoS (t)'!L16,'TUoS (t)'!L16,'JSO (t)'!L16)</f>
        <v>0</v>
      </c>
      <c r="M16" s="455">
        <f>SUM('DUoS (t)'!M16,'TUoS (t)'!M16,'JSO (t)'!M16)</f>
        <v>0</v>
      </c>
      <c r="N16" s="455">
        <f>SUM('DUoS (t)'!N16,'TUoS (t)'!N16,'JSO (t)'!N16)</f>
        <v>0</v>
      </c>
      <c r="O16" s="456">
        <f>SUM('DUoS (t)'!O16,'TUoS (t)'!O16,'JSO (t)'!O16)</f>
        <v>0</v>
      </c>
      <c r="P16" s="454">
        <f>SUM('DUoS (t)'!P16,'TUoS (t)'!P16,'JSO (t)'!P16)</f>
        <v>0</v>
      </c>
      <c r="Q16" s="455">
        <f>SUM('DUoS (t)'!Q16,'TUoS (t)'!Q16,'JSO (t)'!Q16)</f>
        <v>0</v>
      </c>
      <c r="R16" s="456">
        <f>SUM('DUoS (t)'!R16,'TUoS (t)'!R16,'JSO (t)'!R16)</f>
        <v>0</v>
      </c>
      <c r="S16" s="454">
        <f>SUM('DUoS (t)'!S16,'TUoS (t)'!S16,'JSO (t)'!S16)</f>
        <v>0</v>
      </c>
      <c r="T16" s="455">
        <f>SUM('DUoS (t)'!T16,'TUoS (t)'!T16,'JSO (t)'!T16)</f>
        <v>0</v>
      </c>
      <c r="U16" s="454">
        <f>SUM('DUoS (t)'!U16,'TUoS (t)'!U16,'JSO (t)'!U16)</f>
        <v>0</v>
      </c>
      <c r="V16" s="456">
        <f>SUM('DUoS (t)'!V16,'TUoS (t)'!V16,'JSO (t)'!V16)</f>
        <v>0</v>
      </c>
      <c r="X16" s="168">
        <f>'Q (t)'!G16</f>
        <v>0</v>
      </c>
      <c r="Y16" s="169">
        <f>'Q (t)'!H16</f>
        <v>0</v>
      </c>
      <c r="Z16" s="170">
        <f>'Q (t)'!I16</f>
        <v>0</v>
      </c>
      <c r="AA16" s="170">
        <f>'Q (t)'!J16</f>
        <v>0</v>
      </c>
      <c r="AB16" s="171">
        <f>'Q (t)'!K16</f>
        <v>0</v>
      </c>
      <c r="AC16" s="170">
        <f>'Q (t)'!L16</f>
        <v>0</v>
      </c>
      <c r="AD16" s="170">
        <f>'Q (t)'!M16</f>
        <v>0</v>
      </c>
      <c r="AE16" s="170">
        <f>'Q (t)'!N16</f>
        <v>0</v>
      </c>
      <c r="AF16" s="171">
        <f>'Q (t)'!O16</f>
        <v>0</v>
      </c>
      <c r="AG16" s="169">
        <f>'Q (t)'!P16</f>
        <v>0</v>
      </c>
      <c r="AH16" s="170">
        <f>'Q (t)'!Q16</f>
        <v>0</v>
      </c>
      <c r="AI16" s="171">
        <f>'Q (t)'!R16</f>
        <v>0</v>
      </c>
      <c r="AJ16" s="169">
        <f>'Q (t)'!S16</f>
        <v>0</v>
      </c>
      <c r="AK16" s="170">
        <f>'Q (t)'!T16</f>
        <v>0</v>
      </c>
      <c r="AL16" s="169">
        <f>'Q (t)'!U16</f>
        <v>0</v>
      </c>
      <c r="AM16" s="171">
        <f>'Q (t)'!V16</f>
        <v>0</v>
      </c>
      <c r="AO16" s="168">
        <f>G16*X16/1000</f>
        <v>0</v>
      </c>
      <c r="AP16" s="169">
        <f t="shared" ref="AP16:AW35" si="0">H16*Y16</f>
        <v>0</v>
      </c>
      <c r="AQ16" s="170">
        <f t="shared" si="0"/>
        <v>0</v>
      </c>
      <c r="AR16" s="170">
        <f t="shared" si="0"/>
        <v>0</v>
      </c>
      <c r="AS16" s="171">
        <f t="shared" si="0"/>
        <v>0</v>
      </c>
      <c r="AT16" s="170">
        <f t="shared" si="0"/>
        <v>0</v>
      </c>
      <c r="AU16" s="170">
        <f t="shared" si="0"/>
        <v>0</v>
      </c>
      <c r="AV16" s="170">
        <f t="shared" si="0"/>
        <v>0</v>
      </c>
      <c r="AW16" s="171">
        <f t="shared" si="0"/>
        <v>0</v>
      </c>
      <c r="AX16" s="169">
        <f t="shared" ref="AX16:BD53" si="1">P16*AG16/1000</f>
        <v>0</v>
      </c>
      <c r="AY16" s="170">
        <f t="shared" si="1"/>
        <v>0</v>
      </c>
      <c r="AZ16" s="171">
        <f t="shared" si="1"/>
        <v>0</v>
      </c>
      <c r="BA16" s="169">
        <f t="shared" si="1"/>
        <v>0</v>
      </c>
      <c r="BB16" s="170">
        <f t="shared" si="1"/>
        <v>0</v>
      </c>
      <c r="BC16" s="169">
        <f t="shared" si="1"/>
        <v>0</v>
      </c>
      <c r="BD16" s="170">
        <f t="shared" si="1"/>
        <v>0</v>
      </c>
      <c r="BE16" s="242">
        <f>X16/$BE$7</f>
        <v>0</v>
      </c>
      <c r="BF16" s="243">
        <f>SUM(AP16:AW16)</f>
        <v>0</v>
      </c>
      <c r="BH16" s="253">
        <f>SUBTOTAL(9,BH17:BH27)</f>
        <v>144996.03815400001</v>
      </c>
      <c r="BI16" s="253">
        <f>SUBTOTAL(9,BI17:BI27)</f>
        <v>431212.28288000001</v>
      </c>
      <c r="BJ16" s="253">
        <f>SUBTOTAL(9,BJ17:BJ27)</f>
        <v>31416.719999999994</v>
      </c>
      <c r="BK16" s="253">
        <f>SUBTOTAL(9,BK17:BK27)</f>
        <v>0</v>
      </c>
      <c r="BL16" s="253">
        <f>SUBTOTAL(9,BL17:BL27)</f>
        <v>334.26057600000001</v>
      </c>
      <c r="BM16" s="254">
        <f>SUM(BH16:BL16)</f>
        <v>607959.30160999997</v>
      </c>
      <c r="BO16" s="714" t="str">
        <f>IF(BF16=0,"",BM16*1000/BF16)</f>
        <v/>
      </c>
    </row>
    <row r="17" spans="2:67" ht="15" customHeight="1" x14ac:dyDescent="0.25">
      <c r="B17" s="172"/>
      <c r="C17" s="126" t="s">
        <v>43</v>
      </c>
      <c r="D17" s="173"/>
      <c r="E17" s="145"/>
      <c r="G17" s="457">
        <f>SUM('DUoS (t)'!G17,'TUoS (t)'!G17,'JSO (t)'!G17)</f>
        <v>0</v>
      </c>
      <c r="H17" s="458">
        <f>SUM('DUoS (t)'!H17,'TUoS (t)'!H17,'JSO (t)'!H17)</f>
        <v>0</v>
      </c>
      <c r="I17" s="459">
        <f>SUM('DUoS (t)'!I17,'TUoS (t)'!I17,'JSO (t)'!I17)</f>
        <v>0</v>
      </c>
      <c r="J17" s="459">
        <f>SUM('DUoS (t)'!J17,'TUoS (t)'!J17,'JSO (t)'!J17)</f>
        <v>0</v>
      </c>
      <c r="K17" s="460">
        <f>SUM('DUoS (t)'!K17,'TUoS (t)'!K17,'JSO (t)'!K17)</f>
        <v>0</v>
      </c>
      <c r="L17" s="461">
        <f>SUM('DUoS (t)'!L17,'TUoS (t)'!L17,'JSO (t)'!L17)</f>
        <v>0</v>
      </c>
      <c r="M17" s="461">
        <f>SUM('DUoS (t)'!M17,'TUoS (t)'!M17,'JSO (t)'!M17)</f>
        <v>0</v>
      </c>
      <c r="N17" s="461">
        <f>SUM('DUoS (t)'!N17,'TUoS (t)'!N17,'JSO (t)'!N17)</f>
        <v>0</v>
      </c>
      <c r="O17" s="462">
        <f>SUM('DUoS (t)'!O17,'TUoS (t)'!O17,'JSO (t)'!O17)</f>
        <v>0</v>
      </c>
      <c r="P17" s="458">
        <f>SUM('DUoS (t)'!P17,'TUoS (t)'!P17,'JSO (t)'!P17)</f>
        <v>0</v>
      </c>
      <c r="Q17" s="459">
        <f>SUM('DUoS (t)'!Q17,'TUoS (t)'!Q17,'JSO (t)'!Q17)</f>
        <v>0</v>
      </c>
      <c r="R17" s="460">
        <f>SUM('DUoS (t)'!R17,'TUoS (t)'!R17,'JSO (t)'!R17)</f>
        <v>0</v>
      </c>
      <c r="S17" s="458">
        <f>SUM('DUoS (t)'!S17,'TUoS (t)'!S17,'JSO (t)'!S17)</f>
        <v>0</v>
      </c>
      <c r="T17" s="459">
        <f>SUM('DUoS (t)'!T17,'TUoS (t)'!T17,'JSO (t)'!T17)</f>
        <v>0</v>
      </c>
      <c r="U17" s="458">
        <f>SUM('DUoS (t)'!U17,'TUoS (t)'!U17,'JSO (t)'!U17)</f>
        <v>0</v>
      </c>
      <c r="V17" s="460">
        <f>SUM('DUoS (t)'!V17,'TUoS (t)'!V17,'JSO (t)'!V17)</f>
        <v>0</v>
      </c>
      <c r="X17" s="174">
        <f>'Q (t)'!G17</f>
        <v>0</v>
      </c>
      <c r="Y17" s="175">
        <f>'Q (t)'!H17</f>
        <v>0</v>
      </c>
      <c r="Z17" s="176">
        <f>'Q (t)'!I17</f>
        <v>0</v>
      </c>
      <c r="AA17" s="176">
        <f>'Q (t)'!J17</f>
        <v>0</v>
      </c>
      <c r="AB17" s="177">
        <f>'Q (t)'!K17</f>
        <v>0</v>
      </c>
      <c r="AC17" s="178">
        <f>'Q (t)'!L17</f>
        <v>0</v>
      </c>
      <c r="AD17" s="178">
        <f>'Q (t)'!M17</f>
        <v>0</v>
      </c>
      <c r="AE17" s="178">
        <f>'Q (t)'!N17</f>
        <v>0</v>
      </c>
      <c r="AF17" s="179">
        <f>'Q (t)'!O17</f>
        <v>0</v>
      </c>
      <c r="AG17" s="175">
        <f>'Q (t)'!P17</f>
        <v>0</v>
      </c>
      <c r="AH17" s="176">
        <f>'Q (t)'!Q17</f>
        <v>0</v>
      </c>
      <c r="AI17" s="177">
        <f>'Q (t)'!R17</f>
        <v>0</v>
      </c>
      <c r="AJ17" s="175">
        <f>'Q (t)'!S17</f>
        <v>0</v>
      </c>
      <c r="AK17" s="176">
        <f>'Q (t)'!T17</f>
        <v>0</v>
      </c>
      <c r="AL17" s="175">
        <f>'Q (t)'!U17</f>
        <v>0</v>
      </c>
      <c r="AM17" s="177">
        <f>'Q (t)'!V17</f>
        <v>0</v>
      </c>
      <c r="AO17" s="174">
        <f t="shared" ref="AO17:AO79" si="2">G17*X17/1000</f>
        <v>0</v>
      </c>
      <c r="AP17" s="175">
        <f t="shared" si="0"/>
        <v>0</v>
      </c>
      <c r="AQ17" s="176">
        <f t="shared" si="0"/>
        <v>0</v>
      </c>
      <c r="AR17" s="176">
        <f t="shared" si="0"/>
        <v>0</v>
      </c>
      <c r="AS17" s="177">
        <f t="shared" si="0"/>
        <v>0</v>
      </c>
      <c r="AT17" s="178">
        <f t="shared" si="0"/>
        <v>0</v>
      </c>
      <c r="AU17" s="178">
        <f t="shared" si="0"/>
        <v>0</v>
      </c>
      <c r="AV17" s="178">
        <f t="shared" si="0"/>
        <v>0</v>
      </c>
      <c r="AW17" s="179">
        <f t="shared" si="0"/>
        <v>0</v>
      </c>
      <c r="AX17" s="175">
        <f t="shared" si="1"/>
        <v>0</v>
      </c>
      <c r="AY17" s="176">
        <f t="shared" si="1"/>
        <v>0</v>
      </c>
      <c r="AZ17" s="177">
        <f t="shared" si="1"/>
        <v>0</v>
      </c>
      <c r="BA17" s="175">
        <f t="shared" si="1"/>
        <v>0</v>
      </c>
      <c r="BB17" s="176">
        <f t="shared" si="1"/>
        <v>0</v>
      </c>
      <c r="BC17" s="175">
        <f t="shared" si="1"/>
        <v>0</v>
      </c>
      <c r="BD17" s="176">
        <f t="shared" si="1"/>
        <v>0</v>
      </c>
      <c r="BE17" s="244">
        <f t="shared" ref="BE17:BE79" si="3">X17/$BE$7</f>
        <v>0</v>
      </c>
      <c r="BF17" s="245">
        <f t="shared" ref="BF17:BF51" si="4">SUM(Y17:AF17)</f>
        <v>0</v>
      </c>
      <c r="BH17" s="252">
        <f>SUBTOTAL(9,BH18:BH19)</f>
        <v>114405.03936</v>
      </c>
      <c r="BI17" s="252">
        <f>SUBTOTAL(9,BI18:BI19)</f>
        <v>323053.46000000002</v>
      </c>
      <c r="BJ17" s="252">
        <f>SUBTOTAL(9,BJ18:BJ19)</f>
        <v>24387.749999999996</v>
      </c>
      <c r="BK17" s="260">
        <f>SUBTOTAL(9,BK18:BK19)</f>
        <v>0</v>
      </c>
      <c r="BL17" s="261">
        <f>SUBTOTAL(9,BL18:BL19)</f>
        <v>0</v>
      </c>
      <c r="BM17" s="257">
        <f t="shared" ref="BM17:BM79" si="5">SUM(BH17:BL17)</f>
        <v>461846.24936000002</v>
      </c>
      <c r="BO17" s="714" t="str">
        <f t="shared" ref="BO17:BO79" si="6">IF(BF17=0,"",BM17*1000/BF17)</f>
        <v/>
      </c>
    </row>
    <row r="18" spans="2:67" ht="15" customHeight="1" x14ac:dyDescent="0.25">
      <c r="B18" s="156">
        <v>1</v>
      </c>
      <c r="C18" s="180" t="s">
        <v>44</v>
      </c>
      <c r="D18" s="181" t="s">
        <v>44</v>
      </c>
      <c r="E18" s="182" t="s">
        <v>641</v>
      </c>
      <c r="G18" s="463">
        <f>SUM('DUoS (t)'!G18,'TUoS (t)'!G18,'JSO (t)'!G18)</f>
        <v>0.49319999999999997</v>
      </c>
      <c r="H18" s="464">
        <f>SUM('DUoS (t)'!H18,'TUoS (t)'!H18,'JSO (t)'!H18)</f>
        <v>0.1346</v>
      </c>
      <c r="I18" s="459">
        <f>SUM('DUoS (t)'!I18,'TUoS (t)'!I18,'JSO (t)'!I18)</f>
        <v>0</v>
      </c>
      <c r="J18" s="459">
        <f>SUM('DUoS (t)'!J18,'TUoS (t)'!J18,'JSO (t)'!J18)</f>
        <v>0</v>
      </c>
      <c r="K18" s="460">
        <f>SUM('DUoS (t)'!K18,'TUoS (t)'!K18,'JSO (t)'!K18)</f>
        <v>0</v>
      </c>
      <c r="L18" s="461">
        <f>SUM('DUoS (t)'!L18,'TUoS (t)'!L18,'JSO (t)'!L18)</f>
        <v>0</v>
      </c>
      <c r="M18" s="414">
        <f>SUM('DUoS (t)'!M18,'TUoS (t)'!M18,'JSO (t)'!M18)</f>
        <v>0</v>
      </c>
      <c r="N18" s="414">
        <f>SUM('DUoS (t)'!N18,'TUoS (t)'!N18,'JSO (t)'!N18)</f>
        <v>0</v>
      </c>
      <c r="O18" s="415">
        <f>SUM('DUoS (t)'!O18,'TUoS (t)'!O18,'JSO (t)'!O18)</f>
        <v>0</v>
      </c>
      <c r="P18" s="458">
        <f>SUM('DUoS (t)'!P18,'TUoS (t)'!P18,'JSO (t)'!P18)</f>
        <v>0</v>
      </c>
      <c r="Q18" s="459">
        <f>SUM('DUoS (t)'!Q18,'TUoS (t)'!Q18,'JSO (t)'!Q18)</f>
        <v>0</v>
      </c>
      <c r="R18" s="460">
        <f>SUM('DUoS (t)'!R18,'TUoS (t)'!R18,'JSO (t)'!R18)</f>
        <v>0</v>
      </c>
      <c r="S18" s="458">
        <f>SUM('DUoS (t)'!S18,'TUoS (t)'!S18,'JSO (t)'!S18)</f>
        <v>0</v>
      </c>
      <c r="T18" s="459">
        <f>SUM('DUoS (t)'!T18,'TUoS (t)'!T18,'JSO (t)'!T18)</f>
        <v>0</v>
      </c>
      <c r="U18" s="458">
        <f>SUM('DUoS (t)'!U18,'TUoS (t)'!U18,'JSO (t)'!U18)</f>
        <v>0</v>
      </c>
      <c r="V18" s="460">
        <f>SUM('DUoS (t)'!V18,'TUoS (t)'!V18,'JSO (t)'!V18)</f>
        <v>0</v>
      </c>
      <c r="X18" s="183">
        <f>'Q (t)'!G18</f>
        <v>231964800</v>
      </c>
      <c r="Y18" s="184">
        <f>'Q (t)'!H18</f>
        <v>2400100</v>
      </c>
      <c r="Z18" s="176">
        <f>'Q (t)'!I18</f>
        <v>0</v>
      </c>
      <c r="AA18" s="176">
        <f>'Q (t)'!J18</f>
        <v>0</v>
      </c>
      <c r="AB18" s="177">
        <f>'Q (t)'!K18</f>
        <v>0</v>
      </c>
      <c r="AC18" s="178">
        <f>'Q (t)'!L18</f>
        <v>0</v>
      </c>
      <c r="AD18" s="185">
        <f>'Q (t)'!M18</f>
        <v>0</v>
      </c>
      <c r="AE18" s="185">
        <f>'Q (t)'!N18</f>
        <v>0</v>
      </c>
      <c r="AF18" s="186">
        <f>'Q (t)'!O18</f>
        <v>0</v>
      </c>
      <c r="AG18" s="175">
        <f>'Q (t)'!P18</f>
        <v>0</v>
      </c>
      <c r="AH18" s="176">
        <f>'Q (t)'!Q18</f>
        <v>0</v>
      </c>
      <c r="AI18" s="177">
        <f>'Q (t)'!R18</f>
        <v>0</v>
      </c>
      <c r="AJ18" s="175">
        <f>'Q (t)'!S18</f>
        <v>0</v>
      </c>
      <c r="AK18" s="176">
        <f>'Q (t)'!T18</f>
        <v>0</v>
      </c>
      <c r="AL18" s="175">
        <f>'Q (t)'!U18</f>
        <v>0</v>
      </c>
      <c r="AM18" s="177">
        <f>'Q (t)'!V18</f>
        <v>0</v>
      </c>
      <c r="AO18" s="183">
        <f t="shared" si="2"/>
        <v>114405.03936</v>
      </c>
      <c r="AP18" s="184">
        <f t="shared" si="0"/>
        <v>323053.46000000002</v>
      </c>
      <c r="AQ18" s="176">
        <f t="shared" si="0"/>
        <v>0</v>
      </c>
      <c r="AR18" s="176">
        <f t="shared" si="0"/>
        <v>0</v>
      </c>
      <c r="AS18" s="177">
        <f t="shared" si="0"/>
        <v>0</v>
      </c>
      <c r="AT18" s="178">
        <f t="shared" si="0"/>
        <v>0</v>
      </c>
      <c r="AU18" s="185">
        <f t="shared" si="0"/>
        <v>0</v>
      </c>
      <c r="AV18" s="185">
        <f t="shared" si="0"/>
        <v>0</v>
      </c>
      <c r="AW18" s="186">
        <f t="shared" si="0"/>
        <v>0</v>
      </c>
      <c r="AX18" s="175">
        <f t="shared" si="1"/>
        <v>0</v>
      </c>
      <c r="AY18" s="176">
        <f t="shared" si="1"/>
        <v>0</v>
      </c>
      <c r="AZ18" s="177">
        <f t="shared" si="1"/>
        <v>0</v>
      </c>
      <c r="BA18" s="175">
        <f t="shared" si="1"/>
        <v>0</v>
      </c>
      <c r="BB18" s="176">
        <f t="shared" si="1"/>
        <v>0</v>
      </c>
      <c r="BC18" s="175">
        <f t="shared" si="1"/>
        <v>0</v>
      </c>
      <c r="BD18" s="176">
        <f t="shared" si="1"/>
        <v>0</v>
      </c>
      <c r="BE18" s="244">
        <f t="shared" si="3"/>
        <v>635520</v>
      </c>
      <c r="BF18" s="245">
        <f t="shared" si="4"/>
        <v>2400100</v>
      </c>
      <c r="BH18" s="255">
        <f>SUM(AO18)</f>
        <v>114405.03936</v>
      </c>
      <c r="BI18" s="255">
        <f>SUM(AP18:AS18)</f>
        <v>323053.46000000002</v>
      </c>
      <c r="BJ18" s="255">
        <f>SUM(AT18:AW18)</f>
        <v>0</v>
      </c>
      <c r="BK18" s="256">
        <f>SUM(AX18:BB18)</f>
        <v>0</v>
      </c>
      <c r="BL18" s="262">
        <f>SUM(BC18:BD18)</f>
        <v>0</v>
      </c>
      <c r="BM18" s="257">
        <f t="shared" si="5"/>
        <v>437458.49936000002</v>
      </c>
      <c r="BO18" s="714">
        <f t="shared" si="6"/>
        <v>182.26678028415483</v>
      </c>
    </row>
    <row r="19" spans="2:67" ht="15" customHeight="1" x14ac:dyDescent="0.25">
      <c r="B19" s="156">
        <f>B18+1</f>
        <v>2</v>
      </c>
      <c r="C19" s="180" t="s">
        <v>643</v>
      </c>
      <c r="D19" s="181" t="s">
        <v>643</v>
      </c>
      <c r="E19" s="182" t="s">
        <v>47</v>
      </c>
      <c r="G19" s="463">
        <f>SUM('DUoS (t)'!G19,'TUoS (t)'!G19,'JSO (t)'!G19)</f>
        <v>0.49319999999999997</v>
      </c>
      <c r="H19" s="464">
        <f>SUM('DUoS (t)'!H19,'TUoS (t)'!H19,'JSO (t)'!H19)</f>
        <v>0.1346</v>
      </c>
      <c r="I19" s="459">
        <f>SUM('DUoS (t)'!I19,'TUoS (t)'!I19,'JSO (t)'!I19)</f>
        <v>0</v>
      </c>
      <c r="J19" s="459">
        <f>SUM('DUoS (t)'!J19,'TUoS (t)'!J19,'JSO (t)'!J19)</f>
        <v>0</v>
      </c>
      <c r="K19" s="460">
        <f>SUM('DUoS (t)'!K19,'TUoS (t)'!K19,'JSO (t)'!K19)</f>
        <v>0</v>
      </c>
      <c r="L19" s="465">
        <f>SUM('DUoS (t)'!L19,'TUoS (t)'!L19,'JSO (t)'!L19)</f>
        <v>6.7499999999999991E-2</v>
      </c>
      <c r="M19" s="414">
        <f>SUM('DUoS (t)'!M19,'TUoS (t)'!M19,'JSO (t)'!M19)</f>
        <v>0</v>
      </c>
      <c r="N19" s="414">
        <f>SUM('DUoS (t)'!N19,'TUoS (t)'!N19,'JSO (t)'!N19)</f>
        <v>0</v>
      </c>
      <c r="O19" s="415">
        <f>SUM('DUoS (t)'!O19,'TUoS (t)'!O19,'JSO (t)'!O19)</f>
        <v>0</v>
      </c>
      <c r="P19" s="458">
        <f>SUM('DUoS (t)'!P19,'TUoS (t)'!P19,'JSO (t)'!P19)</f>
        <v>0</v>
      </c>
      <c r="Q19" s="459">
        <f>SUM('DUoS (t)'!Q19,'TUoS (t)'!Q19,'JSO (t)'!Q19)</f>
        <v>0</v>
      </c>
      <c r="R19" s="460">
        <f>SUM('DUoS (t)'!R19,'TUoS (t)'!R19,'JSO (t)'!R19)</f>
        <v>0</v>
      </c>
      <c r="S19" s="458">
        <f>SUM('DUoS (t)'!S19,'TUoS (t)'!S19,'JSO (t)'!S19)</f>
        <v>0</v>
      </c>
      <c r="T19" s="459">
        <f>SUM('DUoS (t)'!T19,'TUoS (t)'!T19,'JSO (t)'!T19)</f>
        <v>0</v>
      </c>
      <c r="U19" s="458">
        <f>SUM('DUoS (t)'!U19,'TUoS (t)'!U19,'JSO (t)'!U19)</f>
        <v>0</v>
      </c>
      <c r="V19" s="460">
        <f>SUM('DUoS (t)'!V19,'TUoS (t)'!V19,'JSO (t)'!V19)</f>
        <v>0</v>
      </c>
      <c r="X19" s="183">
        <f>'Q (t)'!G19</f>
        <v>0</v>
      </c>
      <c r="Y19" s="184">
        <f>'Q (t)'!H19</f>
        <v>0</v>
      </c>
      <c r="Z19" s="176">
        <f>'Q (t)'!I19</f>
        <v>0</v>
      </c>
      <c r="AA19" s="176">
        <f>'Q (t)'!J19</f>
        <v>0</v>
      </c>
      <c r="AB19" s="177">
        <f>'Q (t)'!K19</f>
        <v>0</v>
      </c>
      <c r="AC19" s="178">
        <f>'Q (t)'!L19</f>
        <v>361300</v>
      </c>
      <c r="AD19" s="185">
        <f>'Q (t)'!M19</f>
        <v>0</v>
      </c>
      <c r="AE19" s="185">
        <f>'Q (t)'!N19</f>
        <v>0</v>
      </c>
      <c r="AF19" s="186">
        <f>'Q (t)'!O19</f>
        <v>0</v>
      </c>
      <c r="AG19" s="175">
        <f>'Q (t)'!P19</f>
        <v>0</v>
      </c>
      <c r="AH19" s="176">
        <f>'Q (t)'!Q19</f>
        <v>0</v>
      </c>
      <c r="AI19" s="177">
        <f>'Q (t)'!R19</f>
        <v>0</v>
      </c>
      <c r="AJ19" s="175">
        <f>'Q (t)'!S19</f>
        <v>0</v>
      </c>
      <c r="AK19" s="176">
        <f>'Q (t)'!T19</f>
        <v>0</v>
      </c>
      <c r="AL19" s="175">
        <f>'Q (t)'!U19</f>
        <v>0</v>
      </c>
      <c r="AM19" s="177">
        <f>'Q (t)'!V19</f>
        <v>0</v>
      </c>
      <c r="AO19" s="183">
        <f t="shared" si="2"/>
        <v>0</v>
      </c>
      <c r="AP19" s="184">
        <f t="shared" si="0"/>
        <v>0</v>
      </c>
      <c r="AQ19" s="176">
        <f t="shared" si="0"/>
        <v>0</v>
      </c>
      <c r="AR19" s="176">
        <f t="shared" si="0"/>
        <v>0</v>
      </c>
      <c r="AS19" s="177">
        <f t="shared" si="0"/>
        <v>0</v>
      </c>
      <c r="AT19" s="178">
        <f t="shared" si="0"/>
        <v>24387.749999999996</v>
      </c>
      <c r="AU19" s="185">
        <f t="shared" si="0"/>
        <v>0</v>
      </c>
      <c r="AV19" s="185">
        <f t="shared" si="0"/>
        <v>0</v>
      </c>
      <c r="AW19" s="186">
        <f t="shared" si="0"/>
        <v>0</v>
      </c>
      <c r="AX19" s="175">
        <f t="shared" si="1"/>
        <v>0</v>
      </c>
      <c r="AY19" s="176">
        <f t="shared" si="1"/>
        <v>0</v>
      </c>
      <c r="AZ19" s="177">
        <f t="shared" si="1"/>
        <v>0</v>
      </c>
      <c r="BA19" s="175">
        <f t="shared" si="1"/>
        <v>0</v>
      </c>
      <c r="BB19" s="176">
        <f t="shared" si="1"/>
        <v>0</v>
      </c>
      <c r="BC19" s="175">
        <f t="shared" si="1"/>
        <v>0</v>
      </c>
      <c r="BD19" s="176">
        <f t="shared" si="1"/>
        <v>0</v>
      </c>
      <c r="BE19" s="244">
        <f t="shared" si="3"/>
        <v>0</v>
      </c>
      <c r="BF19" s="245">
        <f t="shared" si="4"/>
        <v>361300</v>
      </c>
      <c r="BH19" s="255">
        <f>SUM(AO19)</f>
        <v>0</v>
      </c>
      <c r="BI19" s="255">
        <f>SUM(AP19:AS19)</f>
        <v>0</v>
      </c>
      <c r="BJ19" s="255">
        <f>SUM(AT19:AW19)</f>
        <v>24387.749999999996</v>
      </c>
      <c r="BK19" s="256">
        <f>SUM(AX19:BB19)</f>
        <v>0</v>
      </c>
      <c r="BL19" s="262">
        <f>SUM(BC19:BD19)</f>
        <v>0</v>
      </c>
      <c r="BM19" s="257">
        <f t="shared" si="5"/>
        <v>24387.749999999996</v>
      </c>
      <c r="BO19" s="714">
        <f t="shared" si="6"/>
        <v>67.499999999999986</v>
      </c>
    </row>
    <row r="20" spans="2:67" ht="15" customHeight="1" x14ac:dyDescent="0.25">
      <c r="B20" s="172"/>
      <c r="C20" s="126" t="s">
        <v>48</v>
      </c>
      <c r="D20" s="173"/>
      <c r="E20" s="145"/>
      <c r="G20" s="457">
        <f>SUM('DUoS (t)'!G20,'TUoS (t)'!G20,'JSO (t)'!G20)</f>
        <v>0</v>
      </c>
      <c r="H20" s="458">
        <f>SUM('DUoS (t)'!H20,'TUoS (t)'!H20,'JSO (t)'!H20)</f>
        <v>0</v>
      </c>
      <c r="I20" s="459">
        <f>SUM('DUoS (t)'!I20,'TUoS (t)'!I20,'JSO (t)'!I20)</f>
        <v>0</v>
      </c>
      <c r="J20" s="459">
        <f>SUM('DUoS (t)'!J20,'TUoS (t)'!J20,'JSO (t)'!J20)</f>
        <v>0</v>
      </c>
      <c r="K20" s="460">
        <f>SUM('DUoS (t)'!K20,'TUoS (t)'!K20,'JSO (t)'!K20)</f>
        <v>0</v>
      </c>
      <c r="L20" s="459">
        <f>SUM('DUoS (t)'!L20,'TUoS (t)'!L20,'JSO (t)'!L20)</f>
        <v>0</v>
      </c>
      <c r="M20" s="459">
        <f>SUM('DUoS (t)'!M20,'TUoS (t)'!M20,'JSO (t)'!M20)</f>
        <v>0</v>
      </c>
      <c r="N20" s="459">
        <f>SUM('DUoS (t)'!N20,'TUoS (t)'!N20,'JSO (t)'!N20)</f>
        <v>0</v>
      </c>
      <c r="O20" s="460">
        <f>SUM('DUoS (t)'!O20,'TUoS (t)'!O20,'JSO (t)'!O20)</f>
        <v>0</v>
      </c>
      <c r="P20" s="458">
        <f>SUM('DUoS (t)'!P20,'TUoS (t)'!P20,'JSO (t)'!P20)</f>
        <v>0</v>
      </c>
      <c r="Q20" s="459">
        <f>SUM('DUoS (t)'!Q20,'TUoS (t)'!Q20,'JSO (t)'!Q20)</f>
        <v>0</v>
      </c>
      <c r="R20" s="460">
        <f>SUM('DUoS (t)'!R20,'TUoS (t)'!R20,'JSO (t)'!R20)</f>
        <v>0</v>
      </c>
      <c r="S20" s="458">
        <f>SUM('DUoS (t)'!S20,'TUoS (t)'!S20,'JSO (t)'!S20)</f>
        <v>0</v>
      </c>
      <c r="T20" s="459">
        <f>SUM('DUoS (t)'!T20,'TUoS (t)'!T20,'JSO (t)'!T20)</f>
        <v>0</v>
      </c>
      <c r="U20" s="458">
        <f>SUM('DUoS (t)'!U20,'TUoS (t)'!U20,'JSO (t)'!U20)</f>
        <v>0</v>
      </c>
      <c r="V20" s="460">
        <f>SUM('DUoS (t)'!V20,'TUoS (t)'!V20,'JSO (t)'!V20)</f>
        <v>0</v>
      </c>
      <c r="X20" s="174">
        <f>'Q (t)'!G20</f>
        <v>0</v>
      </c>
      <c r="Y20" s="175">
        <f>'Q (t)'!H20</f>
        <v>0</v>
      </c>
      <c r="Z20" s="176">
        <f>'Q (t)'!I20</f>
        <v>0</v>
      </c>
      <c r="AA20" s="176">
        <f>'Q (t)'!J20</f>
        <v>0</v>
      </c>
      <c r="AB20" s="177">
        <f>'Q (t)'!K20</f>
        <v>0</v>
      </c>
      <c r="AC20" s="176">
        <f>'Q (t)'!L20</f>
        <v>0</v>
      </c>
      <c r="AD20" s="176">
        <f>'Q (t)'!M20</f>
        <v>0</v>
      </c>
      <c r="AE20" s="176">
        <f>'Q (t)'!N20</f>
        <v>0</v>
      </c>
      <c r="AF20" s="177">
        <f>'Q (t)'!O20</f>
        <v>0</v>
      </c>
      <c r="AG20" s="175">
        <f>'Q (t)'!P20</f>
        <v>0</v>
      </c>
      <c r="AH20" s="176">
        <f>'Q (t)'!Q20</f>
        <v>0</v>
      </c>
      <c r="AI20" s="177">
        <f>'Q (t)'!R20</f>
        <v>0</v>
      </c>
      <c r="AJ20" s="175">
        <f>'Q (t)'!S20</f>
        <v>0</v>
      </c>
      <c r="AK20" s="176">
        <f>'Q (t)'!T20</f>
        <v>0</v>
      </c>
      <c r="AL20" s="175">
        <f>'Q (t)'!U20</f>
        <v>0</v>
      </c>
      <c r="AM20" s="177">
        <f>'Q (t)'!V20</f>
        <v>0</v>
      </c>
      <c r="AO20" s="174">
        <f t="shared" si="2"/>
        <v>0</v>
      </c>
      <c r="AP20" s="175">
        <f t="shared" si="0"/>
        <v>0</v>
      </c>
      <c r="AQ20" s="176">
        <f t="shared" si="0"/>
        <v>0</v>
      </c>
      <c r="AR20" s="176">
        <f t="shared" si="0"/>
        <v>0</v>
      </c>
      <c r="AS20" s="177">
        <f t="shared" si="0"/>
        <v>0</v>
      </c>
      <c r="AT20" s="176">
        <f t="shared" si="0"/>
        <v>0</v>
      </c>
      <c r="AU20" s="176">
        <f t="shared" si="0"/>
        <v>0</v>
      </c>
      <c r="AV20" s="176">
        <f t="shared" si="0"/>
        <v>0</v>
      </c>
      <c r="AW20" s="177">
        <f t="shared" si="0"/>
        <v>0</v>
      </c>
      <c r="AX20" s="175">
        <f t="shared" si="1"/>
        <v>0</v>
      </c>
      <c r="AY20" s="176">
        <f t="shared" si="1"/>
        <v>0</v>
      </c>
      <c r="AZ20" s="177">
        <f t="shared" si="1"/>
        <v>0</v>
      </c>
      <c r="BA20" s="175">
        <f t="shared" si="1"/>
        <v>0</v>
      </c>
      <c r="BB20" s="176">
        <f t="shared" si="1"/>
        <v>0</v>
      </c>
      <c r="BC20" s="175">
        <f t="shared" si="1"/>
        <v>0</v>
      </c>
      <c r="BD20" s="176">
        <f t="shared" si="1"/>
        <v>0</v>
      </c>
      <c r="BE20" s="244">
        <f t="shared" si="3"/>
        <v>0</v>
      </c>
      <c r="BF20" s="245">
        <f t="shared" si="4"/>
        <v>0</v>
      </c>
      <c r="BH20" s="252">
        <f>SUBTOTAL(9,BH21:BH27)</f>
        <v>30590.998794000003</v>
      </c>
      <c r="BI20" s="252">
        <f>SUBTOTAL(9,BI21:BI27)</f>
        <v>108158.82288000001</v>
      </c>
      <c r="BJ20" s="252">
        <f>SUBTOTAL(9,BJ21:BJ27)</f>
        <v>7028.9699999999993</v>
      </c>
      <c r="BK20" s="252">
        <f>SUBTOTAL(9,BK21:BK27)</f>
        <v>0</v>
      </c>
      <c r="BL20" s="252">
        <f>SUBTOTAL(9,BL21:BL27)</f>
        <v>334.26057600000001</v>
      </c>
      <c r="BM20" s="257">
        <f t="shared" si="5"/>
        <v>146113.05225000001</v>
      </c>
      <c r="BO20" s="714" t="str">
        <f t="shared" si="6"/>
        <v/>
      </c>
    </row>
    <row r="21" spans="2:67" ht="15" customHeight="1" x14ac:dyDescent="0.25">
      <c r="B21" s="156">
        <f>B19+1</f>
        <v>3</v>
      </c>
      <c r="C21" s="180" t="s">
        <v>46</v>
      </c>
      <c r="D21" s="181" t="s">
        <v>46</v>
      </c>
      <c r="E21" s="182" t="s">
        <v>642</v>
      </c>
      <c r="G21" s="463">
        <f>SUM('DUoS (t)'!G21,'TUoS (t)'!G21,'JSO (t)'!G21)</f>
        <v>0.49319999999999997</v>
      </c>
      <c r="H21" s="758">
        <f>SUM('DUoS (t)'!H21,'TUoS (t)'!H21,'JSO (t)'!H21)</f>
        <v>0.1346</v>
      </c>
      <c r="I21" s="459">
        <f>SUM('DUoS (t)'!I21,'TUoS (t)'!I21,'JSO (t)'!I21)</f>
        <v>0</v>
      </c>
      <c r="J21" s="459">
        <f>SUM('DUoS (t)'!J21,'TUoS (t)'!J21,'JSO (t)'!J21)</f>
        <v>0</v>
      </c>
      <c r="K21" s="460">
        <f>SUM('DUoS (t)'!K21,'TUoS (t)'!K21,'JSO (t)'!K21)</f>
        <v>0</v>
      </c>
      <c r="L21" s="414">
        <f>SUM('DUoS (t)'!L21,'TUoS (t)'!L21,'JSO (t)'!L21)</f>
        <v>0</v>
      </c>
      <c r="M21" s="759">
        <f>SUM('DUoS (t)'!M21,'TUoS (t)'!M21,'JSO (t)'!M21)</f>
        <v>0.16850000000000001</v>
      </c>
      <c r="N21" s="759">
        <f>SUM('DUoS (t)'!N21,'TUoS (t)'!N21,'JSO (t)'!N21)</f>
        <v>6.7499999999999991E-2</v>
      </c>
      <c r="O21" s="760">
        <f>SUM('DUoS (t)'!O21,'TUoS (t)'!O21,'JSO (t)'!O21)</f>
        <v>3.3699999999999994E-2</v>
      </c>
      <c r="P21" s="458">
        <f>SUM('DUoS (t)'!P21,'TUoS (t)'!P21,'JSO (t)'!P21)</f>
        <v>0</v>
      </c>
      <c r="Q21" s="459">
        <f>SUM('DUoS (t)'!Q21,'TUoS (t)'!Q21,'JSO (t)'!Q21)</f>
        <v>0</v>
      </c>
      <c r="R21" s="460">
        <f>SUM('DUoS (t)'!R21,'TUoS (t)'!R21,'JSO (t)'!R21)</f>
        <v>0</v>
      </c>
      <c r="S21" s="458">
        <f>SUM('DUoS (t)'!S21,'TUoS (t)'!S21,'JSO (t)'!S21)</f>
        <v>0</v>
      </c>
      <c r="T21" s="459">
        <f>SUM('DUoS (t)'!T21,'TUoS (t)'!T21,'JSO (t)'!T21)</f>
        <v>0</v>
      </c>
      <c r="U21" s="458">
        <f>SUM('DUoS (t)'!U21,'TUoS (t)'!U21,'JSO (t)'!U21)</f>
        <v>0</v>
      </c>
      <c r="V21" s="460">
        <f>SUM('DUoS (t)'!V21,'TUoS (t)'!V21,'JSO (t)'!V21)</f>
        <v>0</v>
      </c>
      <c r="X21" s="183">
        <f>'Q (t)'!G21</f>
        <v>0</v>
      </c>
      <c r="Y21" s="175">
        <f>'Q (t)'!H21</f>
        <v>0</v>
      </c>
      <c r="Z21" s="178">
        <f>'Q (t)'!I21</f>
        <v>0</v>
      </c>
      <c r="AA21" s="178">
        <f>'Q (t)'!J21</f>
        <v>0</v>
      </c>
      <c r="AB21" s="179">
        <f>'Q (t)'!K21</f>
        <v>0</v>
      </c>
      <c r="AC21" s="185">
        <f>'Q (t)'!L21</f>
        <v>0</v>
      </c>
      <c r="AD21" s="185">
        <f>'Q (t)'!M21</f>
        <v>0</v>
      </c>
      <c r="AE21" s="185">
        <f>'Q (t)'!N21</f>
        <v>0</v>
      </c>
      <c r="AF21" s="186">
        <f>'Q (t)'!O21</f>
        <v>0</v>
      </c>
      <c r="AG21" s="175">
        <f>'Q (t)'!P21</f>
        <v>0</v>
      </c>
      <c r="AH21" s="176">
        <f>'Q (t)'!Q21</f>
        <v>0</v>
      </c>
      <c r="AI21" s="177">
        <f>'Q (t)'!R21</f>
        <v>0</v>
      </c>
      <c r="AJ21" s="175">
        <f>'Q (t)'!S21</f>
        <v>0</v>
      </c>
      <c r="AK21" s="176">
        <f>'Q (t)'!T21</f>
        <v>0</v>
      </c>
      <c r="AL21" s="175">
        <f>'Q (t)'!U21</f>
        <v>0</v>
      </c>
      <c r="AM21" s="177">
        <f>'Q (t)'!V21</f>
        <v>0</v>
      </c>
      <c r="AO21" s="183">
        <f>G21*X21/1000</f>
        <v>0</v>
      </c>
      <c r="AP21" s="175">
        <f t="shared" ref="AP21:AW21" si="7">H21*Y21</f>
        <v>0</v>
      </c>
      <c r="AQ21" s="178">
        <f t="shared" si="7"/>
        <v>0</v>
      </c>
      <c r="AR21" s="178">
        <f t="shared" si="7"/>
        <v>0</v>
      </c>
      <c r="AS21" s="179">
        <f t="shared" si="7"/>
        <v>0</v>
      </c>
      <c r="AT21" s="185">
        <f t="shared" si="7"/>
        <v>0</v>
      </c>
      <c r="AU21" s="185">
        <f t="shared" si="7"/>
        <v>0</v>
      </c>
      <c r="AV21" s="185">
        <f t="shared" si="7"/>
        <v>0</v>
      </c>
      <c r="AW21" s="186">
        <f t="shared" si="7"/>
        <v>0</v>
      </c>
      <c r="AX21" s="175">
        <f t="shared" ref="AX21:BD21" si="8">P21*AG21/1000</f>
        <v>0</v>
      </c>
      <c r="AY21" s="176">
        <f t="shared" si="8"/>
        <v>0</v>
      </c>
      <c r="AZ21" s="177">
        <f t="shared" si="8"/>
        <v>0</v>
      </c>
      <c r="BA21" s="175">
        <f t="shared" si="8"/>
        <v>0</v>
      </c>
      <c r="BB21" s="176">
        <f t="shared" si="8"/>
        <v>0</v>
      </c>
      <c r="BC21" s="175">
        <f t="shared" si="8"/>
        <v>0</v>
      </c>
      <c r="BD21" s="176">
        <f t="shared" si="8"/>
        <v>0</v>
      </c>
      <c r="BE21" s="244">
        <f>X21/$BE$7</f>
        <v>0</v>
      </c>
      <c r="BF21" s="245">
        <f>SUM(Y21:AF21)</f>
        <v>0</v>
      </c>
      <c r="BH21" s="255">
        <f t="shared" ref="BH21:BH27" si="9">SUM(AO21)</f>
        <v>0</v>
      </c>
      <c r="BI21" s="255">
        <f t="shared" ref="BI21:BI27" si="10">SUM(AP21:AS21)</f>
        <v>0</v>
      </c>
      <c r="BJ21" s="255">
        <f t="shared" ref="BJ21:BJ27" si="11">SUM(AT21:AW21)</f>
        <v>0</v>
      </c>
      <c r="BK21" s="256">
        <f t="shared" ref="BK21:BK27" si="12">SUM(AX21:BB21)</f>
        <v>0</v>
      </c>
      <c r="BL21" s="262">
        <f t="shared" ref="BL21:BL27" si="13">SUM(BC21:BD21)</f>
        <v>0</v>
      </c>
      <c r="BM21" s="257">
        <f>SUM(BH21:BL21)</f>
        <v>0</v>
      </c>
      <c r="BO21" s="714" t="str">
        <f>IF(BF21=0,"",BM21*1000/BF21)</f>
        <v/>
      </c>
    </row>
    <row r="22" spans="2:67" ht="15" customHeight="1" x14ac:dyDescent="0.25">
      <c r="B22" s="156">
        <f>B21+1</f>
        <v>4</v>
      </c>
      <c r="C22" s="180" t="s">
        <v>49</v>
      </c>
      <c r="D22" s="181" t="s">
        <v>49</v>
      </c>
      <c r="E22" s="182" t="s">
        <v>50</v>
      </c>
      <c r="G22" s="463">
        <f>SUM('DUoS (t)'!G22,'TUoS (t)'!G22,'JSO (t)'!G22)</f>
        <v>0.49319999999999997</v>
      </c>
      <c r="H22" s="458">
        <f>SUM('DUoS (t)'!H22,'TUoS (t)'!H22,'JSO (t)'!H22)</f>
        <v>0</v>
      </c>
      <c r="I22" s="465">
        <f>SUM('DUoS (t)'!I22,'TUoS (t)'!I22,'JSO (t)'!I22)</f>
        <v>0.16850000000000001</v>
      </c>
      <c r="J22" s="465">
        <f>SUM('DUoS (t)'!J22,'TUoS (t)'!J22,'JSO (t)'!J22)</f>
        <v>6.7499999999999991E-2</v>
      </c>
      <c r="K22" s="466">
        <f>SUM('DUoS (t)'!K22,'TUoS (t)'!K22,'JSO (t)'!K22)</f>
        <v>3.3699999999999994E-2</v>
      </c>
      <c r="L22" s="414">
        <f>SUM('DUoS (t)'!L22,'TUoS (t)'!L22,'JSO (t)'!L22)</f>
        <v>0</v>
      </c>
      <c r="M22" s="414">
        <f>SUM('DUoS (t)'!M22,'TUoS (t)'!M22,'JSO (t)'!M22)</f>
        <v>0</v>
      </c>
      <c r="N22" s="414">
        <f>SUM('DUoS (t)'!N22,'TUoS (t)'!N22,'JSO (t)'!N22)</f>
        <v>0</v>
      </c>
      <c r="O22" s="415">
        <f>SUM('DUoS (t)'!O22,'TUoS (t)'!O22,'JSO (t)'!O22)</f>
        <v>0</v>
      </c>
      <c r="P22" s="458">
        <f>SUM('DUoS (t)'!P22,'TUoS (t)'!P22,'JSO (t)'!P22)</f>
        <v>0</v>
      </c>
      <c r="Q22" s="459">
        <f>SUM('DUoS (t)'!Q22,'TUoS (t)'!Q22,'JSO (t)'!Q22)</f>
        <v>0</v>
      </c>
      <c r="R22" s="460">
        <f>SUM('DUoS (t)'!R22,'TUoS (t)'!R22,'JSO (t)'!R22)</f>
        <v>0</v>
      </c>
      <c r="S22" s="458">
        <f>SUM('DUoS (t)'!S22,'TUoS (t)'!S22,'JSO (t)'!S22)</f>
        <v>0</v>
      </c>
      <c r="T22" s="459">
        <f>SUM('DUoS (t)'!T22,'TUoS (t)'!T22,'JSO (t)'!T22)</f>
        <v>0</v>
      </c>
      <c r="U22" s="458">
        <f>SUM('DUoS (t)'!U22,'TUoS (t)'!U22,'JSO (t)'!U22)</f>
        <v>0</v>
      </c>
      <c r="V22" s="460">
        <f>SUM('DUoS (t)'!V22,'TUoS (t)'!V22,'JSO (t)'!V22)</f>
        <v>0</v>
      </c>
      <c r="X22" s="183">
        <f>'Q (t)'!G22</f>
        <v>61281675</v>
      </c>
      <c r="Y22" s="175">
        <f>'Q (t)'!H22</f>
        <v>0</v>
      </c>
      <c r="Z22" s="178">
        <f>'Q (t)'!I22</f>
        <v>569600</v>
      </c>
      <c r="AA22" s="178">
        <f>'Q (t)'!J22</f>
        <v>113900</v>
      </c>
      <c r="AB22" s="179">
        <f>'Q (t)'!K22</f>
        <v>126700</v>
      </c>
      <c r="AC22" s="185">
        <f>'Q (t)'!L22</f>
        <v>0</v>
      </c>
      <c r="AD22" s="185">
        <f>'Q (t)'!M22</f>
        <v>0</v>
      </c>
      <c r="AE22" s="185">
        <f>'Q (t)'!N22</f>
        <v>0</v>
      </c>
      <c r="AF22" s="186">
        <f>'Q (t)'!O22</f>
        <v>0</v>
      </c>
      <c r="AG22" s="175">
        <f>'Q (t)'!P22</f>
        <v>0</v>
      </c>
      <c r="AH22" s="176">
        <f>'Q (t)'!Q22</f>
        <v>0</v>
      </c>
      <c r="AI22" s="177">
        <f>'Q (t)'!R22</f>
        <v>0</v>
      </c>
      <c r="AJ22" s="175">
        <f>'Q (t)'!S22</f>
        <v>0</v>
      </c>
      <c r="AK22" s="176">
        <f>'Q (t)'!T22</f>
        <v>0</v>
      </c>
      <c r="AL22" s="175">
        <f>'Q (t)'!U22</f>
        <v>0</v>
      </c>
      <c r="AM22" s="177">
        <f>'Q (t)'!V22</f>
        <v>0</v>
      </c>
      <c r="AO22" s="183">
        <f t="shared" si="2"/>
        <v>30224.12211</v>
      </c>
      <c r="AP22" s="175">
        <f t="shared" si="0"/>
        <v>0</v>
      </c>
      <c r="AQ22" s="178">
        <f t="shared" si="0"/>
        <v>95977.600000000006</v>
      </c>
      <c r="AR22" s="178">
        <f t="shared" si="0"/>
        <v>7688.2499999999991</v>
      </c>
      <c r="AS22" s="179">
        <f t="shared" si="0"/>
        <v>4269.7899999999991</v>
      </c>
      <c r="AT22" s="185">
        <f t="shared" si="0"/>
        <v>0</v>
      </c>
      <c r="AU22" s="185">
        <f t="shared" si="0"/>
        <v>0</v>
      </c>
      <c r="AV22" s="185">
        <f t="shared" si="0"/>
        <v>0</v>
      </c>
      <c r="AW22" s="186">
        <f t="shared" si="0"/>
        <v>0</v>
      </c>
      <c r="AX22" s="175">
        <f t="shared" si="1"/>
        <v>0</v>
      </c>
      <c r="AY22" s="176">
        <f t="shared" si="1"/>
        <v>0</v>
      </c>
      <c r="AZ22" s="177">
        <f t="shared" si="1"/>
        <v>0</v>
      </c>
      <c r="BA22" s="175">
        <f t="shared" si="1"/>
        <v>0</v>
      </c>
      <c r="BB22" s="176">
        <f t="shared" si="1"/>
        <v>0</v>
      </c>
      <c r="BC22" s="175">
        <f t="shared" si="1"/>
        <v>0</v>
      </c>
      <c r="BD22" s="176">
        <f t="shared" si="1"/>
        <v>0</v>
      </c>
      <c r="BE22" s="244">
        <f t="shared" si="3"/>
        <v>167895</v>
      </c>
      <c r="BF22" s="245">
        <f t="shared" si="4"/>
        <v>810200</v>
      </c>
      <c r="BH22" s="255">
        <f t="shared" si="9"/>
        <v>30224.12211</v>
      </c>
      <c r="BI22" s="255">
        <f t="shared" si="10"/>
        <v>107935.64</v>
      </c>
      <c r="BJ22" s="255">
        <f t="shared" si="11"/>
        <v>0</v>
      </c>
      <c r="BK22" s="256">
        <f t="shared" si="12"/>
        <v>0</v>
      </c>
      <c r="BL22" s="262">
        <f t="shared" si="13"/>
        <v>0</v>
      </c>
      <c r="BM22" s="257">
        <f t="shared" si="5"/>
        <v>138159.76211000001</v>
      </c>
      <c r="BO22" s="714">
        <f t="shared" si="6"/>
        <v>170.52550248086894</v>
      </c>
    </row>
    <row r="23" spans="2:67" ht="15" customHeight="1" x14ac:dyDescent="0.25">
      <c r="B23" s="156">
        <f>B22+1</f>
        <v>5</v>
      </c>
      <c r="C23" s="180" t="s">
        <v>51</v>
      </c>
      <c r="D23" s="181" t="s">
        <v>51</v>
      </c>
      <c r="E23" s="182" t="s">
        <v>52</v>
      </c>
      <c r="G23" s="463">
        <f>SUM('DUoS (t)'!G23,'TUoS (t)'!G23,'JSO (t)'!G23)</f>
        <v>0.49319999999999997</v>
      </c>
      <c r="H23" s="458">
        <f>SUM('DUoS (t)'!H23,'TUoS (t)'!H23,'JSO (t)'!H23)</f>
        <v>0</v>
      </c>
      <c r="I23" s="465">
        <f>SUM('DUoS (t)'!I23,'TUoS (t)'!I23,'JSO (t)'!I23)</f>
        <v>0.16850000000000001</v>
      </c>
      <c r="J23" s="465">
        <f>SUM('DUoS (t)'!J23,'TUoS (t)'!J23,'JSO (t)'!J23)</f>
        <v>6.7499999999999991E-2</v>
      </c>
      <c r="K23" s="466">
        <f>SUM('DUoS (t)'!K23,'TUoS (t)'!K23,'JSO (t)'!K23)</f>
        <v>3.3699999999999994E-2</v>
      </c>
      <c r="L23" s="414">
        <f>SUM('DUoS (t)'!L23,'TUoS (t)'!L23,'JSO (t)'!L23)</f>
        <v>0</v>
      </c>
      <c r="M23" s="465">
        <f>SUM('DUoS (t)'!M23,'TUoS (t)'!M23,'JSO (t)'!M23)</f>
        <v>0.16850000000000001</v>
      </c>
      <c r="N23" s="465">
        <f>SUM('DUoS (t)'!N23,'TUoS (t)'!N23,'JSO (t)'!N23)</f>
        <v>6.7499999999999991E-2</v>
      </c>
      <c r="O23" s="465">
        <f>SUM('DUoS (t)'!O23,'TUoS (t)'!O23,'JSO (t)'!O23)</f>
        <v>3.3699999999999994E-2</v>
      </c>
      <c r="P23" s="458">
        <f>SUM('DUoS (t)'!P23,'TUoS (t)'!P23,'JSO (t)'!P23)</f>
        <v>0</v>
      </c>
      <c r="Q23" s="459">
        <f>SUM('DUoS (t)'!Q23,'TUoS (t)'!Q23,'JSO (t)'!Q23)</f>
        <v>0</v>
      </c>
      <c r="R23" s="460">
        <f>SUM('DUoS (t)'!R23,'TUoS (t)'!R23,'JSO (t)'!R23)</f>
        <v>0</v>
      </c>
      <c r="S23" s="458">
        <f>SUM('DUoS (t)'!S23,'TUoS (t)'!S23,'JSO (t)'!S23)</f>
        <v>0</v>
      </c>
      <c r="T23" s="459">
        <f>SUM('DUoS (t)'!T23,'TUoS (t)'!T23,'JSO (t)'!T23)</f>
        <v>0</v>
      </c>
      <c r="U23" s="458">
        <f>SUM('DUoS (t)'!U23,'TUoS (t)'!U23,'JSO (t)'!U23)</f>
        <v>0</v>
      </c>
      <c r="V23" s="460">
        <f>SUM('DUoS (t)'!V23,'TUoS (t)'!V23,'JSO (t)'!V23)</f>
        <v>0</v>
      </c>
      <c r="X23" s="183">
        <f>'Q (t)'!G23</f>
        <v>0</v>
      </c>
      <c r="Y23" s="175">
        <f>'Q (t)'!H23</f>
        <v>0</v>
      </c>
      <c r="Z23" s="178">
        <f>'Q (t)'!I23</f>
        <v>0</v>
      </c>
      <c r="AA23" s="178">
        <f>'Q (t)'!J23</f>
        <v>0</v>
      </c>
      <c r="AB23" s="179">
        <f>'Q (t)'!K23</f>
        <v>0</v>
      </c>
      <c r="AC23" s="185">
        <f>'Q (t)'!L23</f>
        <v>0</v>
      </c>
      <c r="AD23" s="178">
        <f>'Q (t)'!M23</f>
        <v>0</v>
      </c>
      <c r="AE23" s="178">
        <f>'Q (t)'!N23</f>
        <v>92600</v>
      </c>
      <c r="AF23" s="178">
        <f>'Q (t)'!O23</f>
        <v>23100</v>
      </c>
      <c r="AG23" s="175">
        <f>'Q (t)'!P23</f>
        <v>0</v>
      </c>
      <c r="AH23" s="176">
        <f>'Q (t)'!Q23</f>
        <v>0</v>
      </c>
      <c r="AI23" s="177">
        <f>'Q (t)'!R23</f>
        <v>0</v>
      </c>
      <c r="AJ23" s="175">
        <f>'Q (t)'!S23</f>
        <v>0</v>
      </c>
      <c r="AK23" s="176">
        <f>'Q (t)'!T23</f>
        <v>0</v>
      </c>
      <c r="AL23" s="175">
        <f>'Q (t)'!U23</f>
        <v>0</v>
      </c>
      <c r="AM23" s="177">
        <f>'Q (t)'!V23</f>
        <v>0</v>
      </c>
      <c r="AO23" s="183">
        <f t="shared" si="2"/>
        <v>0</v>
      </c>
      <c r="AP23" s="175">
        <f t="shared" si="0"/>
        <v>0</v>
      </c>
      <c r="AQ23" s="178">
        <f t="shared" si="0"/>
        <v>0</v>
      </c>
      <c r="AR23" s="178">
        <f t="shared" si="0"/>
        <v>0</v>
      </c>
      <c r="AS23" s="179">
        <f t="shared" si="0"/>
        <v>0</v>
      </c>
      <c r="AT23" s="185">
        <f t="shared" si="0"/>
        <v>0</v>
      </c>
      <c r="AU23" s="178">
        <f t="shared" si="0"/>
        <v>0</v>
      </c>
      <c r="AV23" s="178">
        <f t="shared" si="0"/>
        <v>6250.4999999999991</v>
      </c>
      <c r="AW23" s="178">
        <f t="shared" si="0"/>
        <v>778.46999999999991</v>
      </c>
      <c r="AX23" s="175">
        <f t="shared" si="1"/>
        <v>0</v>
      </c>
      <c r="AY23" s="176">
        <f t="shared" si="1"/>
        <v>0</v>
      </c>
      <c r="AZ23" s="177">
        <f t="shared" si="1"/>
        <v>0</v>
      </c>
      <c r="BA23" s="175">
        <f t="shared" si="1"/>
        <v>0</v>
      </c>
      <c r="BB23" s="176">
        <f t="shared" si="1"/>
        <v>0</v>
      </c>
      <c r="BC23" s="175">
        <f t="shared" si="1"/>
        <v>0</v>
      </c>
      <c r="BD23" s="176">
        <f t="shared" si="1"/>
        <v>0</v>
      </c>
      <c r="BE23" s="244">
        <f t="shared" si="3"/>
        <v>0</v>
      </c>
      <c r="BF23" s="245">
        <f t="shared" si="4"/>
        <v>115700</v>
      </c>
      <c r="BH23" s="255">
        <f t="shared" si="9"/>
        <v>0</v>
      </c>
      <c r="BI23" s="255">
        <f t="shared" si="10"/>
        <v>0</v>
      </c>
      <c r="BJ23" s="255">
        <f t="shared" si="11"/>
        <v>7028.9699999999993</v>
      </c>
      <c r="BK23" s="256">
        <f t="shared" si="12"/>
        <v>0</v>
      </c>
      <c r="BL23" s="262">
        <f t="shared" si="13"/>
        <v>0</v>
      </c>
      <c r="BM23" s="257">
        <f t="shared" si="5"/>
        <v>7028.9699999999993</v>
      </c>
      <c r="BO23" s="714">
        <f t="shared" si="6"/>
        <v>60.75168539325842</v>
      </c>
    </row>
    <row r="24" spans="2:67" ht="15" customHeight="1" x14ac:dyDescent="0.25">
      <c r="B24" s="156">
        <f>B23+1</f>
        <v>6</v>
      </c>
      <c r="C24" s="180" t="s">
        <v>53</v>
      </c>
      <c r="D24" s="181" t="s">
        <v>53</v>
      </c>
      <c r="E24" s="182" t="s">
        <v>54</v>
      </c>
      <c r="G24" s="463">
        <f>SUM('DUoS (t)'!G24,'TUoS (t)'!G24,'JSO (t)'!G24)</f>
        <v>0.49319999999999997</v>
      </c>
      <c r="H24" s="458">
        <f>SUM('DUoS (t)'!H24,'TUoS (t)'!H24,'JSO (t)'!H24)</f>
        <v>0</v>
      </c>
      <c r="I24" s="465">
        <f>SUM('DUoS (t)'!I24,'TUoS (t)'!I24,'JSO (t)'!I24)</f>
        <v>0.1009</v>
      </c>
      <c r="J24" s="465">
        <f>SUM('DUoS (t)'!J24,'TUoS (t)'!J24,'JSO (t)'!J24)</f>
        <v>4.0399999999999998E-2</v>
      </c>
      <c r="K24" s="466">
        <f>SUM('DUoS (t)'!K24,'TUoS (t)'!K24,'JSO (t)'!K24)</f>
        <v>2.0100000000000003E-2</v>
      </c>
      <c r="L24" s="414">
        <f>SUM('DUoS (t)'!L24,'TUoS (t)'!L24,'JSO (t)'!L24)</f>
        <v>0</v>
      </c>
      <c r="M24" s="414">
        <f>SUM('DUoS (t)'!M24,'TUoS (t)'!M24,'JSO (t)'!M24)</f>
        <v>0</v>
      </c>
      <c r="N24" s="414">
        <f>SUM('DUoS (t)'!N24,'TUoS (t)'!N24,'JSO (t)'!N24)</f>
        <v>0</v>
      </c>
      <c r="O24" s="415">
        <f>SUM('DUoS (t)'!O24,'TUoS (t)'!O24,'JSO (t)'!O24)</f>
        <v>0</v>
      </c>
      <c r="P24" s="458">
        <f>SUM('DUoS (t)'!P24,'TUoS (t)'!P24,'JSO (t)'!P24)</f>
        <v>0</v>
      </c>
      <c r="Q24" s="459">
        <f>SUM('DUoS (t)'!Q24,'TUoS (t)'!Q24,'JSO (t)'!Q24)</f>
        <v>0</v>
      </c>
      <c r="R24" s="460">
        <f>SUM('DUoS (t)'!R24,'TUoS (t)'!R24,'JSO (t)'!R24)</f>
        <v>0</v>
      </c>
      <c r="S24" s="458">
        <f>SUM('DUoS (t)'!S24,'TUoS (t)'!S24,'JSO (t)'!S24)</f>
        <v>0</v>
      </c>
      <c r="T24" s="459">
        <f>SUM('DUoS (t)'!T24,'TUoS (t)'!T24,'JSO (t)'!T24)</f>
        <v>0</v>
      </c>
      <c r="U24" s="464">
        <f>SUM('DUoS (t)'!U24,'TUoS (t)'!U24,'JSO (t)'!U24)</f>
        <v>0.74880000000000002</v>
      </c>
      <c r="V24" s="460">
        <f>SUM('DUoS (t)'!V24,'TUoS (t)'!V24,'JSO (t)'!V24)</f>
        <v>0</v>
      </c>
      <c r="X24" s="183">
        <f>'Q (t)'!G24</f>
        <v>371935</v>
      </c>
      <c r="Y24" s="175">
        <f>'Q (t)'!H24</f>
        <v>0</v>
      </c>
      <c r="Z24" s="178">
        <f>'Q (t)'!I24</f>
        <v>450</v>
      </c>
      <c r="AA24" s="178">
        <f>'Q (t)'!J24</f>
        <v>450</v>
      </c>
      <c r="AB24" s="179">
        <f>'Q (t)'!K24</f>
        <v>250</v>
      </c>
      <c r="AC24" s="185">
        <f>'Q (t)'!L24</f>
        <v>0</v>
      </c>
      <c r="AD24" s="185">
        <f>'Q (t)'!M24</f>
        <v>0</v>
      </c>
      <c r="AE24" s="185">
        <f>'Q (t)'!N24</f>
        <v>0</v>
      </c>
      <c r="AF24" s="186">
        <f>'Q (t)'!O24</f>
        <v>0</v>
      </c>
      <c r="AG24" s="175">
        <f>'Q (t)'!P24</f>
        <v>0</v>
      </c>
      <c r="AH24" s="176">
        <f>'Q (t)'!Q24</f>
        <v>0</v>
      </c>
      <c r="AI24" s="177">
        <f>'Q (t)'!R24</f>
        <v>0</v>
      </c>
      <c r="AJ24" s="175">
        <f>'Q (t)'!S24</f>
        <v>0</v>
      </c>
      <c r="AK24" s="176">
        <f>'Q (t)'!T24</f>
        <v>0</v>
      </c>
      <c r="AL24" s="184">
        <f>'Q (t)'!U24</f>
        <v>446395</v>
      </c>
      <c r="AM24" s="177">
        <f>'Q (t)'!V24</f>
        <v>0</v>
      </c>
      <c r="AO24" s="183">
        <f t="shared" si="2"/>
        <v>183.43834199999998</v>
      </c>
      <c r="AP24" s="175">
        <f t="shared" si="0"/>
        <v>0</v>
      </c>
      <c r="AQ24" s="178">
        <f t="shared" si="0"/>
        <v>45.405000000000001</v>
      </c>
      <c r="AR24" s="178">
        <f t="shared" si="0"/>
        <v>18.18</v>
      </c>
      <c r="AS24" s="179">
        <f t="shared" si="0"/>
        <v>5.0250000000000012</v>
      </c>
      <c r="AT24" s="185">
        <f t="shared" si="0"/>
        <v>0</v>
      </c>
      <c r="AU24" s="185">
        <f t="shared" si="0"/>
        <v>0</v>
      </c>
      <c r="AV24" s="185">
        <f t="shared" si="0"/>
        <v>0</v>
      </c>
      <c r="AW24" s="186">
        <f t="shared" si="0"/>
        <v>0</v>
      </c>
      <c r="AX24" s="175">
        <f t="shared" si="1"/>
        <v>0</v>
      </c>
      <c r="AY24" s="176">
        <f t="shared" si="1"/>
        <v>0</v>
      </c>
      <c r="AZ24" s="177">
        <f t="shared" si="1"/>
        <v>0</v>
      </c>
      <c r="BA24" s="175">
        <f t="shared" si="1"/>
        <v>0</v>
      </c>
      <c r="BB24" s="176">
        <f t="shared" si="1"/>
        <v>0</v>
      </c>
      <c r="BC24" s="184">
        <f t="shared" si="1"/>
        <v>334.26057600000001</v>
      </c>
      <c r="BD24" s="176">
        <f t="shared" si="1"/>
        <v>0</v>
      </c>
      <c r="BE24" s="244">
        <f t="shared" si="3"/>
        <v>1019</v>
      </c>
      <c r="BF24" s="245">
        <f t="shared" si="4"/>
        <v>1150</v>
      </c>
      <c r="BH24" s="255">
        <f t="shared" si="9"/>
        <v>183.43834199999998</v>
      </c>
      <c r="BI24" s="255">
        <f t="shared" si="10"/>
        <v>68.61</v>
      </c>
      <c r="BJ24" s="255">
        <f t="shared" si="11"/>
        <v>0</v>
      </c>
      <c r="BK24" s="256">
        <f t="shared" si="12"/>
        <v>0</v>
      </c>
      <c r="BL24" s="262">
        <f t="shared" si="13"/>
        <v>334.26057600000001</v>
      </c>
      <c r="BM24" s="257">
        <f t="shared" si="5"/>
        <v>586.30891799999995</v>
      </c>
      <c r="BO24" s="714"/>
    </row>
    <row r="25" spans="2:67" ht="15" customHeight="1" x14ac:dyDescent="0.25">
      <c r="B25" s="156">
        <f>B24+1</f>
        <v>7</v>
      </c>
      <c r="C25" s="180" t="s">
        <v>55</v>
      </c>
      <c r="D25" s="181" t="s">
        <v>55</v>
      </c>
      <c r="E25" s="182" t="s">
        <v>56</v>
      </c>
      <c r="G25" s="463">
        <f>SUM('DUoS (t)'!G25,'TUoS (t)'!G25,'JSO (t)'!G25)</f>
        <v>0.49319999999999997</v>
      </c>
      <c r="H25" s="458">
        <f>SUM('DUoS (t)'!H25,'TUoS (t)'!H25,'JSO (t)'!H25)</f>
        <v>0</v>
      </c>
      <c r="I25" s="465">
        <f>SUM('DUoS (t)'!I25,'TUoS (t)'!I25,'JSO (t)'!I25)</f>
        <v>0.1009</v>
      </c>
      <c r="J25" s="465">
        <f>SUM('DUoS (t)'!J25,'TUoS (t)'!J25,'JSO (t)'!J25)</f>
        <v>4.0399999999999998E-2</v>
      </c>
      <c r="K25" s="466">
        <f>SUM('DUoS (t)'!K25,'TUoS (t)'!K25,'JSO (t)'!K25)</f>
        <v>2.0100000000000003E-2</v>
      </c>
      <c r="L25" s="414">
        <f>SUM('DUoS (t)'!L25,'TUoS (t)'!L25,'JSO (t)'!L25)</f>
        <v>0</v>
      </c>
      <c r="M25" s="465">
        <f>SUM('DUoS (t)'!M25,'TUoS (t)'!M25,'JSO (t)'!M25)</f>
        <v>0.16850000000000001</v>
      </c>
      <c r="N25" s="465">
        <f>SUM('DUoS (t)'!N25,'TUoS (t)'!N25,'JSO (t)'!N25)</f>
        <v>6.7499999999999991E-2</v>
      </c>
      <c r="O25" s="465">
        <f>SUM('DUoS (t)'!O25,'TUoS (t)'!O25,'JSO (t)'!O25)</f>
        <v>3.3699999999999994E-2</v>
      </c>
      <c r="P25" s="458">
        <f>SUM('DUoS (t)'!P25,'TUoS (t)'!P25,'JSO (t)'!P25)</f>
        <v>0</v>
      </c>
      <c r="Q25" s="459">
        <f>SUM('DUoS (t)'!Q25,'TUoS (t)'!Q25,'JSO (t)'!Q25)</f>
        <v>0</v>
      </c>
      <c r="R25" s="460">
        <f>SUM('DUoS (t)'!R25,'TUoS (t)'!R25,'JSO (t)'!R25)</f>
        <v>0</v>
      </c>
      <c r="S25" s="458">
        <f>SUM('DUoS (t)'!S25,'TUoS (t)'!S25,'JSO (t)'!S25)</f>
        <v>0</v>
      </c>
      <c r="T25" s="459">
        <f>SUM('DUoS (t)'!T25,'TUoS (t)'!T25,'JSO (t)'!T25)</f>
        <v>0</v>
      </c>
      <c r="U25" s="464">
        <f>SUM('DUoS (t)'!U25,'TUoS (t)'!U25,'JSO (t)'!U25)</f>
        <v>0.74880000000000002</v>
      </c>
      <c r="V25" s="460">
        <f>SUM('DUoS (t)'!V25,'TUoS (t)'!V25,'JSO (t)'!V25)</f>
        <v>0</v>
      </c>
      <c r="X25" s="183">
        <f>'Q (t)'!G25</f>
        <v>0</v>
      </c>
      <c r="Y25" s="175">
        <f>'Q (t)'!H25</f>
        <v>0</v>
      </c>
      <c r="Z25" s="178">
        <f>'Q (t)'!I25</f>
        <v>0</v>
      </c>
      <c r="AA25" s="178">
        <f>'Q (t)'!J25</f>
        <v>0</v>
      </c>
      <c r="AB25" s="179">
        <f>'Q (t)'!K25</f>
        <v>0</v>
      </c>
      <c r="AC25" s="185">
        <f>'Q (t)'!L25</f>
        <v>0</v>
      </c>
      <c r="AD25" s="178">
        <f>'Q (t)'!M25</f>
        <v>0</v>
      </c>
      <c r="AE25" s="178">
        <f>'Q (t)'!N25</f>
        <v>0</v>
      </c>
      <c r="AF25" s="178">
        <f>'Q (t)'!O25</f>
        <v>0</v>
      </c>
      <c r="AG25" s="175">
        <f>'Q (t)'!P25</f>
        <v>0</v>
      </c>
      <c r="AH25" s="176">
        <f>'Q (t)'!Q25</f>
        <v>0</v>
      </c>
      <c r="AI25" s="177">
        <f>'Q (t)'!R25</f>
        <v>0</v>
      </c>
      <c r="AJ25" s="175">
        <f>'Q (t)'!S25</f>
        <v>0</v>
      </c>
      <c r="AK25" s="176">
        <f>'Q (t)'!T25</f>
        <v>0</v>
      </c>
      <c r="AL25" s="175">
        <f>'Q (t)'!U25</f>
        <v>0</v>
      </c>
      <c r="AM25" s="177">
        <f>'Q (t)'!V25</f>
        <v>0</v>
      </c>
      <c r="AO25" s="183">
        <f t="shared" si="2"/>
        <v>0</v>
      </c>
      <c r="AP25" s="175">
        <f t="shared" si="0"/>
        <v>0</v>
      </c>
      <c r="AQ25" s="178">
        <f t="shared" si="0"/>
        <v>0</v>
      </c>
      <c r="AR25" s="178">
        <f t="shared" si="0"/>
        <v>0</v>
      </c>
      <c r="AS25" s="179">
        <f t="shared" si="0"/>
        <v>0</v>
      </c>
      <c r="AT25" s="185">
        <f t="shared" si="0"/>
        <v>0</v>
      </c>
      <c r="AU25" s="178">
        <f t="shared" si="0"/>
        <v>0</v>
      </c>
      <c r="AV25" s="178">
        <f t="shared" si="0"/>
        <v>0</v>
      </c>
      <c r="AW25" s="178">
        <f t="shared" si="0"/>
        <v>0</v>
      </c>
      <c r="AX25" s="175">
        <f t="shared" si="1"/>
        <v>0</v>
      </c>
      <c r="AY25" s="176">
        <f t="shared" si="1"/>
        <v>0</v>
      </c>
      <c r="AZ25" s="177">
        <f t="shared" si="1"/>
        <v>0</v>
      </c>
      <c r="BA25" s="175">
        <f t="shared" si="1"/>
        <v>0</v>
      </c>
      <c r="BB25" s="176">
        <f t="shared" si="1"/>
        <v>0</v>
      </c>
      <c r="BC25" s="175">
        <f t="shared" si="1"/>
        <v>0</v>
      </c>
      <c r="BD25" s="176">
        <f t="shared" si="1"/>
        <v>0</v>
      </c>
      <c r="BE25" s="244">
        <f t="shared" si="3"/>
        <v>0</v>
      </c>
      <c r="BF25" s="245">
        <f t="shared" si="4"/>
        <v>0</v>
      </c>
      <c r="BH25" s="255">
        <f t="shared" si="9"/>
        <v>0</v>
      </c>
      <c r="BI25" s="255">
        <f t="shared" si="10"/>
        <v>0</v>
      </c>
      <c r="BJ25" s="255">
        <f t="shared" si="11"/>
        <v>0</v>
      </c>
      <c r="BK25" s="256">
        <f t="shared" si="12"/>
        <v>0</v>
      </c>
      <c r="BL25" s="262">
        <f t="shared" si="13"/>
        <v>0</v>
      </c>
      <c r="BM25" s="257">
        <f t="shared" si="5"/>
        <v>0</v>
      </c>
      <c r="BO25" s="714"/>
    </row>
    <row r="26" spans="2:67" ht="15" customHeight="1" x14ac:dyDescent="0.25">
      <c r="B26" s="156">
        <v>8</v>
      </c>
      <c r="C26" s="180" t="s">
        <v>699</v>
      </c>
      <c r="D26" s="181" t="s">
        <v>699</v>
      </c>
      <c r="E26" s="182" t="s">
        <v>701</v>
      </c>
      <c r="G26" s="463">
        <f>SUM('DUoS (t)'!G26,'TUoS (t)'!G26,'JSO (t)'!G26)</f>
        <v>0.49319999999999997</v>
      </c>
      <c r="H26" s="458">
        <f>SUM('DUoS (t)'!H26,'TUoS (t)'!H26,'JSO (t)'!H26)</f>
        <v>0</v>
      </c>
      <c r="I26" s="465">
        <f>SUM('DUoS (t)'!I26,'TUoS (t)'!I26,'JSO (t)'!I26)</f>
        <v>0.43069999999999997</v>
      </c>
      <c r="J26" s="465">
        <f>SUM('DUoS (t)'!J26,'TUoS (t)'!J26,'JSO (t)'!J26)</f>
        <v>0.11169999999999999</v>
      </c>
      <c r="K26" s="466">
        <f>SUM('DUoS (t)'!K26,'TUoS (t)'!K26,'JSO (t)'!K26)</f>
        <v>2.01E-2</v>
      </c>
      <c r="L26" s="414">
        <f>SUM('DUoS (t)'!L26,'TUoS (t)'!L26,'JSO (t)'!L26)</f>
        <v>0</v>
      </c>
      <c r="M26" s="414">
        <f>SUM('DUoS (t)'!M26,'TUoS (t)'!M26,'JSO (t)'!M26)</f>
        <v>0</v>
      </c>
      <c r="N26" s="414">
        <f>SUM('DUoS (t)'!N26,'TUoS (t)'!N26,'JSO (t)'!N26)</f>
        <v>0</v>
      </c>
      <c r="O26" s="415">
        <f>SUM('DUoS (t)'!O26,'TUoS (t)'!O26,'JSO (t)'!O26)</f>
        <v>0</v>
      </c>
      <c r="P26" s="458">
        <f>SUM('DUoS (t)'!P26,'TUoS (t)'!P26,'JSO (t)'!P26)</f>
        <v>0</v>
      </c>
      <c r="Q26" s="459">
        <f>SUM('DUoS (t)'!Q26,'TUoS (t)'!Q26,'JSO (t)'!Q26)</f>
        <v>0</v>
      </c>
      <c r="R26" s="460">
        <f>SUM('DUoS (t)'!R26,'TUoS (t)'!R26,'JSO (t)'!R26)</f>
        <v>0</v>
      </c>
      <c r="S26" s="458">
        <f>SUM('DUoS (t)'!S26,'TUoS (t)'!S26,'JSO (t)'!S26)</f>
        <v>0</v>
      </c>
      <c r="T26" s="459">
        <f>SUM('DUoS (t)'!T26,'TUoS (t)'!T26,'JSO (t)'!T26)</f>
        <v>0</v>
      </c>
      <c r="U26" s="479">
        <f>SUM('DUoS (t)'!U26,'TUoS (t)'!U26,'JSO (t)'!U26)</f>
        <v>0</v>
      </c>
      <c r="V26" s="460">
        <f>SUM('DUoS (t)'!V26,'TUoS (t)'!V26,'JSO (t)'!V26)</f>
        <v>0</v>
      </c>
      <c r="X26" s="183">
        <f>'Q (t)'!G26</f>
        <v>371935</v>
      </c>
      <c r="Y26" s="175">
        <f>'Q (t)'!H26</f>
        <v>0</v>
      </c>
      <c r="Z26" s="178">
        <f>'Q (t)'!I26</f>
        <v>135.69999999999999</v>
      </c>
      <c r="AA26" s="178">
        <f>'Q (t)'!J26</f>
        <v>826.85</v>
      </c>
      <c r="AB26" s="179">
        <f>'Q (t)'!K26</f>
        <v>187.45000000000002</v>
      </c>
      <c r="AC26" s="185">
        <f>'Q (t)'!L26</f>
        <v>0</v>
      </c>
      <c r="AD26" s="185">
        <f>'Q (t)'!M26</f>
        <v>0</v>
      </c>
      <c r="AE26" s="185">
        <f>'Q (t)'!N26</f>
        <v>0</v>
      </c>
      <c r="AF26" s="186">
        <f>'Q (t)'!O26</f>
        <v>0</v>
      </c>
      <c r="AG26" s="175">
        <f>'Q (t)'!P26</f>
        <v>0</v>
      </c>
      <c r="AH26" s="176">
        <f>'Q (t)'!Q26</f>
        <v>0</v>
      </c>
      <c r="AI26" s="177">
        <f>'Q (t)'!R26</f>
        <v>0</v>
      </c>
      <c r="AJ26" s="175">
        <f>'Q (t)'!S26</f>
        <v>0</v>
      </c>
      <c r="AK26" s="176">
        <f>'Q (t)'!T26</f>
        <v>0</v>
      </c>
      <c r="AL26" s="184">
        <f>'Q (t)'!U26</f>
        <v>0</v>
      </c>
      <c r="AM26" s="177">
        <f>'Q (t)'!V26</f>
        <v>0</v>
      </c>
      <c r="AO26" s="183">
        <f>G26*X26/1000</f>
        <v>183.43834199999998</v>
      </c>
      <c r="AP26" s="175">
        <f t="shared" ref="AP26:AW27" si="14">H26*Y26</f>
        <v>0</v>
      </c>
      <c r="AQ26" s="178">
        <f t="shared" si="14"/>
        <v>58.445989999999995</v>
      </c>
      <c r="AR26" s="178">
        <f t="shared" si="14"/>
        <v>92.359144999999998</v>
      </c>
      <c r="AS26" s="179">
        <f t="shared" si="14"/>
        <v>3.7677450000000001</v>
      </c>
      <c r="AT26" s="185">
        <f t="shared" si="14"/>
        <v>0</v>
      </c>
      <c r="AU26" s="185">
        <f t="shared" si="14"/>
        <v>0</v>
      </c>
      <c r="AV26" s="185">
        <f t="shared" si="14"/>
        <v>0</v>
      </c>
      <c r="AW26" s="186">
        <f t="shared" si="14"/>
        <v>0</v>
      </c>
      <c r="AX26" s="175">
        <f t="shared" ref="AX26:BD27" si="15">P26*AG26/1000</f>
        <v>0</v>
      </c>
      <c r="AY26" s="176">
        <f t="shared" si="15"/>
        <v>0</v>
      </c>
      <c r="AZ26" s="177">
        <f t="shared" si="15"/>
        <v>0</v>
      </c>
      <c r="BA26" s="175">
        <f t="shared" si="15"/>
        <v>0</v>
      </c>
      <c r="BB26" s="176">
        <f t="shared" si="15"/>
        <v>0</v>
      </c>
      <c r="BC26" s="184">
        <f t="shared" si="15"/>
        <v>0</v>
      </c>
      <c r="BD26" s="176">
        <f t="shared" si="15"/>
        <v>0</v>
      </c>
      <c r="BE26" s="244">
        <f>X26/$BE$7</f>
        <v>1019</v>
      </c>
      <c r="BF26" s="245">
        <f>SUM(Y26:AF26)</f>
        <v>1150</v>
      </c>
      <c r="BH26" s="255">
        <f t="shared" si="9"/>
        <v>183.43834199999998</v>
      </c>
      <c r="BI26" s="255">
        <f t="shared" si="10"/>
        <v>154.57288</v>
      </c>
      <c r="BJ26" s="255">
        <f t="shared" si="11"/>
        <v>0</v>
      </c>
      <c r="BK26" s="256">
        <f t="shared" si="12"/>
        <v>0</v>
      </c>
      <c r="BL26" s="262">
        <f t="shared" si="13"/>
        <v>0</v>
      </c>
      <c r="BM26" s="257">
        <f>SUM(BH26:BL26)</f>
        <v>338.01122199999998</v>
      </c>
      <c r="BO26" s="714"/>
    </row>
    <row r="27" spans="2:67" ht="15" customHeight="1" x14ac:dyDescent="0.25">
      <c r="B27" s="162">
        <v>9</v>
      </c>
      <c r="C27" s="187" t="s">
        <v>700</v>
      </c>
      <c r="D27" s="188" t="s">
        <v>700</v>
      </c>
      <c r="E27" s="189" t="s">
        <v>702</v>
      </c>
      <c r="G27" s="467">
        <f>SUM('DUoS (t)'!G27,'TUoS (t)'!G27,'JSO (t)'!G27)</f>
        <v>0.49319999999999997</v>
      </c>
      <c r="H27" s="468">
        <f>SUM('DUoS (t)'!H27,'TUoS (t)'!H27,'JSO (t)'!H27)</f>
        <v>0</v>
      </c>
      <c r="I27" s="469">
        <f>SUM('DUoS (t)'!I27,'TUoS (t)'!I27,'JSO (t)'!I27)</f>
        <v>0.43069999999999997</v>
      </c>
      <c r="J27" s="469">
        <f>SUM('DUoS (t)'!J27,'TUoS (t)'!J27,'JSO (t)'!J27)</f>
        <v>0.11169999999999999</v>
      </c>
      <c r="K27" s="470">
        <f>SUM('DUoS (t)'!K27,'TUoS (t)'!K27,'JSO (t)'!K27)</f>
        <v>2.01E-2</v>
      </c>
      <c r="L27" s="416">
        <f>SUM('DUoS (t)'!L27,'TUoS (t)'!L27,'JSO (t)'!L27)</f>
        <v>0</v>
      </c>
      <c r="M27" s="469">
        <f>SUM('DUoS (t)'!M27,'TUoS (t)'!M27,'JSO (t)'!M27)</f>
        <v>0.16850000000000001</v>
      </c>
      <c r="N27" s="469">
        <f>SUM('DUoS (t)'!N27,'TUoS (t)'!N27,'JSO (t)'!N27)</f>
        <v>6.7499999999999991E-2</v>
      </c>
      <c r="O27" s="469">
        <f>SUM('DUoS (t)'!O27,'TUoS (t)'!O27,'JSO (t)'!O27)</f>
        <v>3.3699999999999994E-2</v>
      </c>
      <c r="P27" s="468">
        <f>SUM('DUoS (t)'!P27,'TUoS (t)'!P27,'JSO (t)'!P27)</f>
        <v>0</v>
      </c>
      <c r="Q27" s="471">
        <f>SUM('DUoS (t)'!Q27,'TUoS (t)'!Q27,'JSO (t)'!Q27)</f>
        <v>0</v>
      </c>
      <c r="R27" s="472">
        <f>SUM('DUoS (t)'!R27,'TUoS (t)'!R27,'JSO (t)'!R27)</f>
        <v>0</v>
      </c>
      <c r="S27" s="468">
        <f>SUM('DUoS (t)'!S27,'TUoS (t)'!S27,'JSO (t)'!S27)</f>
        <v>0</v>
      </c>
      <c r="T27" s="471">
        <f>SUM('DUoS (t)'!T27,'TUoS (t)'!T27,'JSO (t)'!T27)</f>
        <v>0</v>
      </c>
      <c r="U27" s="491">
        <f>SUM('DUoS (t)'!U27,'TUoS (t)'!U27,'JSO (t)'!U27)</f>
        <v>0</v>
      </c>
      <c r="V27" s="472">
        <f>SUM('DUoS (t)'!V27,'TUoS (t)'!V27,'JSO (t)'!V27)</f>
        <v>0</v>
      </c>
      <c r="X27" s="190">
        <f>'Q (t)'!G27</f>
        <v>0</v>
      </c>
      <c r="Y27" s="191">
        <f>'Q (t)'!H27</f>
        <v>0</v>
      </c>
      <c r="Z27" s="192">
        <f>'Q (t)'!I27</f>
        <v>0</v>
      </c>
      <c r="AA27" s="192">
        <f>'Q (t)'!J27</f>
        <v>0</v>
      </c>
      <c r="AB27" s="193">
        <f>'Q (t)'!K27</f>
        <v>0</v>
      </c>
      <c r="AC27" s="194">
        <f>'Q (t)'!L27</f>
        <v>0</v>
      </c>
      <c r="AD27" s="192">
        <f>'Q (t)'!M27</f>
        <v>0</v>
      </c>
      <c r="AE27" s="192">
        <f>'Q (t)'!N27</f>
        <v>0</v>
      </c>
      <c r="AF27" s="192">
        <f>'Q (t)'!O27</f>
        <v>0</v>
      </c>
      <c r="AG27" s="191">
        <f>'Q (t)'!P27</f>
        <v>0</v>
      </c>
      <c r="AH27" s="195">
        <f>'Q (t)'!Q27</f>
        <v>0</v>
      </c>
      <c r="AI27" s="196">
        <f>'Q (t)'!R27</f>
        <v>0</v>
      </c>
      <c r="AJ27" s="191">
        <f>'Q (t)'!S27</f>
        <v>0</v>
      </c>
      <c r="AK27" s="195">
        <f>'Q (t)'!T27</f>
        <v>0</v>
      </c>
      <c r="AL27" s="197">
        <f>'Q (t)'!U27</f>
        <v>0</v>
      </c>
      <c r="AM27" s="196">
        <f>'Q (t)'!V27</f>
        <v>0</v>
      </c>
      <c r="AO27" s="190">
        <f>G27*X27/1000</f>
        <v>0</v>
      </c>
      <c r="AP27" s="191">
        <f t="shared" si="14"/>
        <v>0</v>
      </c>
      <c r="AQ27" s="192">
        <f t="shared" si="14"/>
        <v>0</v>
      </c>
      <c r="AR27" s="192">
        <f t="shared" si="14"/>
        <v>0</v>
      </c>
      <c r="AS27" s="193">
        <f t="shared" si="14"/>
        <v>0</v>
      </c>
      <c r="AT27" s="194">
        <f t="shared" si="14"/>
        <v>0</v>
      </c>
      <c r="AU27" s="192">
        <f t="shared" si="14"/>
        <v>0</v>
      </c>
      <c r="AV27" s="192">
        <f t="shared" si="14"/>
        <v>0</v>
      </c>
      <c r="AW27" s="192">
        <f t="shared" si="14"/>
        <v>0</v>
      </c>
      <c r="AX27" s="191">
        <f t="shared" si="15"/>
        <v>0</v>
      </c>
      <c r="AY27" s="195">
        <f t="shared" si="15"/>
        <v>0</v>
      </c>
      <c r="AZ27" s="196">
        <f t="shared" si="15"/>
        <v>0</v>
      </c>
      <c r="BA27" s="191">
        <f t="shared" si="15"/>
        <v>0</v>
      </c>
      <c r="BB27" s="195">
        <f t="shared" si="15"/>
        <v>0</v>
      </c>
      <c r="BC27" s="197">
        <f t="shared" si="15"/>
        <v>0</v>
      </c>
      <c r="BD27" s="195">
        <f t="shared" si="15"/>
        <v>0</v>
      </c>
      <c r="BE27" s="246">
        <f>X27/$BE$7</f>
        <v>0</v>
      </c>
      <c r="BF27" s="247">
        <f>SUM(Y27:AF27)</f>
        <v>0</v>
      </c>
      <c r="BH27" s="255">
        <f t="shared" si="9"/>
        <v>0</v>
      </c>
      <c r="BI27" s="255">
        <f t="shared" si="10"/>
        <v>0</v>
      </c>
      <c r="BJ27" s="255">
        <f t="shared" si="11"/>
        <v>0</v>
      </c>
      <c r="BK27" s="256">
        <f t="shared" si="12"/>
        <v>0</v>
      </c>
      <c r="BL27" s="262">
        <f t="shared" si="13"/>
        <v>0</v>
      </c>
      <c r="BM27" s="257">
        <f>SUM(BH27:BL27)</f>
        <v>0</v>
      </c>
      <c r="BO27" s="714" t="str">
        <f>IF(BF27=0,"",BM27*1000/BF27)</f>
        <v/>
      </c>
    </row>
    <row r="28" spans="2:67" ht="15" customHeight="1" x14ac:dyDescent="0.25">
      <c r="B28" s="167" t="s">
        <v>57</v>
      </c>
      <c r="C28" s="151" t="s">
        <v>58</v>
      </c>
      <c r="D28" s="151"/>
      <c r="E28" s="148"/>
      <c r="G28" s="453">
        <f>SUM('DUoS (t)'!G28,'TUoS (t)'!G28,'JSO (t)'!G28)</f>
        <v>0</v>
      </c>
      <c r="H28" s="454">
        <f>SUM('DUoS (t)'!H28,'TUoS (t)'!H28,'JSO (t)'!H28)</f>
        <v>0</v>
      </c>
      <c r="I28" s="455">
        <f>SUM('DUoS (t)'!I28,'TUoS (t)'!I28,'JSO (t)'!I28)</f>
        <v>0</v>
      </c>
      <c r="J28" s="455">
        <f>SUM('DUoS (t)'!J28,'TUoS (t)'!J28,'JSO (t)'!J28)</f>
        <v>0</v>
      </c>
      <c r="K28" s="456">
        <f>SUM('DUoS (t)'!K28,'TUoS (t)'!K28,'JSO (t)'!K28)</f>
        <v>0</v>
      </c>
      <c r="L28" s="473">
        <f>SUM('DUoS (t)'!L28,'TUoS (t)'!L28,'JSO (t)'!L28)</f>
        <v>0</v>
      </c>
      <c r="M28" s="473">
        <f>SUM('DUoS (t)'!M28,'TUoS (t)'!M28,'JSO (t)'!M28)</f>
        <v>0</v>
      </c>
      <c r="N28" s="473">
        <f>SUM('DUoS (t)'!N28,'TUoS (t)'!N28,'JSO (t)'!N28)</f>
        <v>0</v>
      </c>
      <c r="O28" s="474">
        <f>SUM('DUoS (t)'!O28,'TUoS (t)'!O28,'JSO (t)'!O28)</f>
        <v>0</v>
      </c>
      <c r="P28" s="455">
        <f>SUM('DUoS (t)'!P28,'TUoS (t)'!P28,'JSO (t)'!P28)</f>
        <v>0</v>
      </c>
      <c r="Q28" s="455">
        <f>SUM('DUoS (t)'!Q28,'TUoS (t)'!Q28,'JSO (t)'!Q28)</f>
        <v>0</v>
      </c>
      <c r="R28" s="456">
        <f>SUM('DUoS (t)'!R28,'TUoS (t)'!R28,'JSO (t)'!R28)</f>
        <v>0</v>
      </c>
      <c r="S28" s="454">
        <f>SUM('DUoS (t)'!S28,'TUoS (t)'!S28,'JSO (t)'!S28)</f>
        <v>0</v>
      </c>
      <c r="T28" s="455">
        <f>SUM('DUoS (t)'!T28,'TUoS (t)'!T28,'JSO (t)'!T28)</f>
        <v>0</v>
      </c>
      <c r="U28" s="454">
        <f>SUM('DUoS (t)'!U28,'TUoS (t)'!U28,'JSO (t)'!U28)</f>
        <v>0</v>
      </c>
      <c r="V28" s="456">
        <f>SUM('DUoS (t)'!V28,'TUoS (t)'!V28,'JSO (t)'!V28)</f>
        <v>0</v>
      </c>
      <c r="X28" s="168">
        <f>'Q (t)'!G28</f>
        <v>0</v>
      </c>
      <c r="Y28" s="169">
        <f>'Q (t)'!H28</f>
        <v>0</v>
      </c>
      <c r="Z28" s="170">
        <f>'Q (t)'!I28</f>
        <v>0</v>
      </c>
      <c r="AA28" s="170">
        <f>'Q (t)'!J28</f>
        <v>0</v>
      </c>
      <c r="AB28" s="171">
        <f>'Q (t)'!K28</f>
        <v>0</v>
      </c>
      <c r="AC28" s="198">
        <f>'Q (t)'!L28</f>
        <v>0</v>
      </c>
      <c r="AD28" s="198">
        <f>'Q (t)'!M28</f>
        <v>0</v>
      </c>
      <c r="AE28" s="198">
        <f>'Q (t)'!N28</f>
        <v>0</v>
      </c>
      <c r="AF28" s="199">
        <f>'Q (t)'!O28</f>
        <v>0</v>
      </c>
      <c r="AG28" s="170">
        <f>'Q (t)'!P28</f>
        <v>0</v>
      </c>
      <c r="AH28" s="170">
        <f>'Q (t)'!Q28</f>
        <v>0</v>
      </c>
      <c r="AI28" s="171">
        <f>'Q (t)'!R28</f>
        <v>0</v>
      </c>
      <c r="AJ28" s="169">
        <f>'Q (t)'!S28</f>
        <v>0</v>
      </c>
      <c r="AK28" s="170">
        <f>'Q (t)'!T28</f>
        <v>0</v>
      </c>
      <c r="AL28" s="169">
        <f>'Q (t)'!U28</f>
        <v>0</v>
      </c>
      <c r="AM28" s="171">
        <f>'Q (t)'!V28</f>
        <v>0</v>
      </c>
      <c r="AO28" s="168">
        <f t="shared" si="2"/>
        <v>0</v>
      </c>
      <c r="AP28" s="169">
        <f t="shared" si="0"/>
        <v>0</v>
      </c>
      <c r="AQ28" s="170">
        <f t="shared" si="0"/>
        <v>0</v>
      </c>
      <c r="AR28" s="170">
        <f t="shared" si="0"/>
        <v>0</v>
      </c>
      <c r="AS28" s="171">
        <f t="shared" si="0"/>
        <v>0</v>
      </c>
      <c r="AT28" s="198">
        <f t="shared" si="0"/>
        <v>0</v>
      </c>
      <c r="AU28" s="198">
        <f t="shared" si="0"/>
        <v>0</v>
      </c>
      <c r="AV28" s="198">
        <f t="shared" si="0"/>
        <v>0</v>
      </c>
      <c r="AW28" s="199">
        <f t="shared" si="0"/>
        <v>0</v>
      </c>
      <c r="AX28" s="170">
        <f t="shared" si="1"/>
        <v>0</v>
      </c>
      <c r="AY28" s="170">
        <f t="shared" si="1"/>
        <v>0</v>
      </c>
      <c r="AZ28" s="171">
        <f t="shared" si="1"/>
        <v>0</v>
      </c>
      <c r="BA28" s="169">
        <f t="shared" si="1"/>
        <v>0</v>
      </c>
      <c r="BB28" s="170">
        <f t="shared" si="1"/>
        <v>0</v>
      </c>
      <c r="BC28" s="169">
        <f t="shared" si="1"/>
        <v>0</v>
      </c>
      <c r="BD28" s="170">
        <f t="shared" si="1"/>
        <v>0</v>
      </c>
      <c r="BE28" s="242">
        <f t="shared" si="3"/>
        <v>0</v>
      </c>
      <c r="BF28" s="243">
        <f t="shared" si="4"/>
        <v>0</v>
      </c>
      <c r="BH28" s="253">
        <f>SUBTOTAL(9,BH29:BH41)</f>
        <v>20468.473503999998</v>
      </c>
      <c r="BI28" s="253">
        <f>SUBTOTAL(9,BI29:BI41)</f>
        <v>169433.90999999997</v>
      </c>
      <c r="BJ28" s="253">
        <f>SUBTOTAL(9,BJ29:BJ41)</f>
        <v>404.99999999999994</v>
      </c>
      <c r="BK28" s="253">
        <f>SUBTOTAL(9,BK29:BK41)</f>
        <v>3171.5136722000007</v>
      </c>
      <c r="BL28" s="253">
        <f>SUBTOTAL(9,BL29:BL41)</f>
        <v>0</v>
      </c>
      <c r="BM28" s="257">
        <f t="shared" si="5"/>
        <v>193478.89717619997</v>
      </c>
      <c r="BO28" s="714" t="str">
        <f t="shared" si="6"/>
        <v/>
      </c>
    </row>
    <row r="29" spans="2:67" ht="15" customHeight="1" x14ac:dyDescent="0.25">
      <c r="B29" s="172"/>
      <c r="C29" s="126" t="s">
        <v>59</v>
      </c>
      <c r="D29" s="173"/>
      <c r="E29" s="145"/>
      <c r="G29" s="457">
        <f>SUM('DUoS (t)'!G29,'TUoS (t)'!G29,'JSO (t)'!G29)</f>
        <v>0</v>
      </c>
      <c r="H29" s="458">
        <f>SUM('DUoS (t)'!H29,'TUoS (t)'!H29,'JSO (t)'!H29)</f>
        <v>0</v>
      </c>
      <c r="I29" s="459">
        <f>SUM('DUoS (t)'!I29,'TUoS (t)'!I29,'JSO (t)'!I29)</f>
        <v>0</v>
      </c>
      <c r="J29" s="459">
        <f>SUM('DUoS (t)'!J29,'TUoS (t)'!J29,'JSO (t)'!J29)</f>
        <v>0</v>
      </c>
      <c r="K29" s="460">
        <f>SUM('DUoS (t)'!K29,'TUoS (t)'!K29,'JSO (t)'!K29)</f>
        <v>0</v>
      </c>
      <c r="L29" s="475">
        <f>SUM('DUoS (t)'!L29,'TUoS (t)'!L29,'JSO (t)'!L29)</f>
        <v>0</v>
      </c>
      <c r="M29" s="475">
        <f>SUM('DUoS (t)'!M29,'TUoS (t)'!M29,'JSO (t)'!M29)</f>
        <v>0</v>
      </c>
      <c r="N29" s="475">
        <f>SUM('DUoS (t)'!N29,'TUoS (t)'!N29,'JSO (t)'!N29)</f>
        <v>0</v>
      </c>
      <c r="O29" s="476">
        <f>SUM('DUoS (t)'!O29,'TUoS (t)'!O29,'JSO (t)'!O29)</f>
        <v>0</v>
      </c>
      <c r="P29" s="459">
        <f>SUM('DUoS (t)'!P29,'TUoS (t)'!P29,'JSO (t)'!P29)</f>
        <v>0</v>
      </c>
      <c r="Q29" s="459">
        <f>SUM('DUoS (t)'!Q29,'TUoS (t)'!Q29,'JSO (t)'!Q29)</f>
        <v>0</v>
      </c>
      <c r="R29" s="460">
        <f>SUM('DUoS (t)'!R29,'TUoS (t)'!R29,'JSO (t)'!R29)</f>
        <v>0</v>
      </c>
      <c r="S29" s="458">
        <f>SUM('DUoS (t)'!S29,'TUoS (t)'!S29,'JSO (t)'!S29)</f>
        <v>0</v>
      </c>
      <c r="T29" s="459">
        <f>SUM('DUoS (t)'!T29,'TUoS (t)'!T29,'JSO (t)'!T29)</f>
        <v>0</v>
      </c>
      <c r="U29" s="458">
        <f>SUM('DUoS (t)'!U29,'TUoS (t)'!U29,'JSO (t)'!U29)</f>
        <v>0</v>
      </c>
      <c r="V29" s="460">
        <f>SUM('DUoS (t)'!V29,'TUoS (t)'!V29,'JSO (t)'!V29)</f>
        <v>0</v>
      </c>
      <c r="X29" s="174">
        <f>'Q (t)'!G29</f>
        <v>0</v>
      </c>
      <c r="Y29" s="175">
        <f>'Q (t)'!H29</f>
        <v>0</v>
      </c>
      <c r="Z29" s="176">
        <f>'Q (t)'!I29</f>
        <v>0</v>
      </c>
      <c r="AA29" s="176">
        <f>'Q (t)'!J29</f>
        <v>0</v>
      </c>
      <c r="AB29" s="177">
        <f>'Q (t)'!K29</f>
        <v>0</v>
      </c>
      <c r="AC29" s="185">
        <f>'Q (t)'!L29</f>
        <v>0</v>
      </c>
      <c r="AD29" s="185">
        <f>'Q (t)'!M29</f>
        <v>0</v>
      </c>
      <c r="AE29" s="185">
        <f>'Q (t)'!N29</f>
        <v>0</v>
      </c>
      <c r="AF29" s="186">
        <f>'Q (t)'!O29</f>
        <v>0</v>
      </c>
      <c r="AG29" s="176">
        <f>'Q (t)'!P29</f>
        <v>0</v>
      </c>
      <c r="AH29" s="176">
        <f>'Q (t)'!Q29</f>
        <v>0</v>
      </c>
      <c r="AI29" s="177">
        <f>'Q (t)'!R29</f>
        <v>0</v>
      </c>
      <c r="AJ29" s="175">
        <f>'Q (t)'!S29</f>
        <v>0</v>
      </c>
      <c r="AK29" s="176">
        <f>'Q (t)'!T29</f>
        <v>0</v>
      </c>
      <c r="AL29" s="175">
        <f>'Q (t)'!U29</f>
        <v>0</v>
      </c>
      <c r="AM29" s="177">
        <f>'Q (t)'!V29</f>
        <v>0</v>
      </c>
      <c r="AO29" s="174">
        <f t="shared" si="2"/>
        <v>0</v>
      </c>
      <c r="AP29" s="175">
        <f t="shared" si="0"/>
        <v>0</v>
      </c>
      <c r="AQ29" s="176">
        <f t="shared" si="0"/>
        <v>0</v>
      </c>
      <c r="AR29" s="176">
        <f t="shared" si="0"/>
        <v>0</v>
      </c>
      <c r="AS29" s="177">
        <f t="shared" si="0"/>
        <v>0</v>
      </c>
      <c r="AT29" s="185">
        <f t="shared" si="0"/>
        <v>0</v>
      </c>
      <c r="AU29" s="185">
        <f t="shared" si="0"/>
        <v>0</v>
      </c>
      <c r="AV29" s="185">
        <f t="shared" si="0"/>
        <v>0</v>
      </c>
      <c r="AW29" s="186">
        <f t="shared" si="0"/>
        <v>0</v>
      </c>
      <c r="AX29" s="176">
        <f t="shared" si="1"/>
        <v>0</v>
      </c>
      <c r="AY29" s="176">
        <f t="shared" si="1"/>
        <v>0</v>
      </c>
      <c r="AZ29" s="177">
        <f t="shared" si="1"/>
        <v>0</v>
      </c>
      <c r="BA29" s="175">
        <f t="shared" si="1"/>
        <v>0</v>
      </c>
      <c r="BB29" s="176">
        <f t="shared" si="1"/>
        <v>0</v>
      </c>
      <c r="BC29" s="175">
        <f t="shared" si="1"/>
        <v>0</v>
      </c>
      <c r="BD29" s="176">
        <f t="shared" si="1"/>
        <v>0</v>
      </c>
      <c r="BE29" s="244">
        <f t="shared" si="3"/>
        <v>0</v>
      </c>
      <c r="BF29" s="245">
        <f t="shared" si="4"/>
        <v>0</v>
      </c>
      <c r="BH29" s="252">
        <f>SUBTOTAL(9,BH30:BH31)</f>
        <v>0</v>
      </c>
      <c r="BI29" s="252">
        <f>SUBTOTAL(9,BI30:BI31)</f>
        <v>10692</v>
      </c>
      <c r="BJ29" s="252">
        <f>SUBTOTAL(9,BJ30:BJ31)</f>
        <v>0</v>
      </c>
      <c r="BK29" s="260">
        <f>SUBTOTAL(9,BK30:BK31)</f>
        <v>0</v>
      </c>
      <c r="BL29" s="261">
        <f>SUBTOTAL(9,BL30:BL31)</f>
        <v>0</v>
      </c>
      <c r="BM29" s="257">
        <f t="shared" si="5"/>
        <v>10692</v>
      </c>
      <c r="BO29" s="714" t="str">
        <f t="shared" si="6"/>
        <v/>
      </c>
    </row>
    <row r="30" spans="2:67" ht="15" customHeight="1" x14ac:dyDescent="0.25">
      <c r="B30" s="156">
        <v>1</v>
      </c>
      <c r="C30" s="180" t="s">
        <v>60</v>
      </c>
      <c r="D30" s="181" t="str">
        <f>C30</f>
        <v>LVUU</v>
      </c>
      <c r="E30" s="200" t="s">
        <v>61</v>
      </c>
      <c r="G30" s="477">
        <f>SUM('DUoS (t)'!G30,'TUoS (t)'!G30,'JSO (t)'!G30)</f>
        <v>0</v>
      </c>
      <c r="H30" s="478">
        <f>SUM('DUoS (t)'!H30,'TUoS (t)'!H30,'JSO (t)'!H30)</f>
        <v>9.8999999999999991E-2</v>
      </c>
      <c r="I30" s="461">
        <f>SUM('DUoS (t)'!I30,'TUoS (t)'!I30,'JSO (t)'!I30)</f>
        <v>0</v>
      </c>
      <c r="J30" s="461">
        <f>SUM('DUoS (t)'!J30,'TUoS (t)'!J30,'JSO (t)'!J30)</f>
        <v>0</v>
      </c>
      <c r="K30" s="462">
        <f>SUM('DUoS (t)'!K30,'TUoS (t)'!K30,'JSO (t)'!K30)</f>
        <v>0</v>
      </c>
      <c r="L30" s="461">
        <f>SUM('DUoS (t)'!L30,'TUoS (t)'!L30,'JSO (t)'!L30)</f>
        <v>0</v>
      </c>
      <c r="M30" s="461">
        <f>SUM('DUoS (t)'!M30,'TUoS (t)'!M30,'JSO (t)'!M30)</f>
        <v>0</v>
      </c>
      <c r="N30" s="461">
        <f>SUM('DUoS (t)'!N30,'TUoS (t)'!N30,'JSO (t)'!N30)</f>
        <v>0</v>
      </c>
      <c r="O30" s="462">
        <f>SUM('DUoS (t)'!O30,'TUoS (t)'!O30,'JSO (t)'!O30)</f>
        <v>0</v>
      </c>
      <c r="P30" s="461">
        <f>SUM('DUoS (t)'!P30,'TUoS (t)'!P30,'JSO (t)'!P30)</f>
        <v>0</v>
      </c>
      <c r="Q30" s="461">
        <f>SUM('DUoS (t)'!Q30,'TUoS (t)'!Q30,'JSO (t)'!Q30)</f>
        <v>0</v>
      </c>
      <c r="R30" s="462">
        <f>SUM('DUoS (t)'!R30,'TUoS (t)'!R30,'JSO (t)'!R30)</f>
        <v>0</v>
      </c>
      <c r="S30" s="479">
        <f>SUM('DUoS (t)'!S30,'TUoS (t)'!S30,'JSO (t)'!S30)</f>
        <v>0</v>
      </c>
      <c r="T30" s="461">
        <f>SUM('DUoS (t)'!T30,'TUoS (t)'!T30,'JSO (t)'!T30)</f>
        <v>0</v>
      </c>
      <c r="U30" s="480">
        <f>SUM('DUoS (t)'!U30,'TUoS (t)'!U30,'JSO (t)'!U30)</f>
        <v>0</v>
      </c>
      <c r="V30" s="481">
        <f>SUM('DUoS (t)'!V30,'TUoS (t)'!V30,'JSO (t)'!V30)</f>
        <v>0</v>
      </c>
      <c r="X30" s="183">
        <f>'Q (t)'!G30</f>
        <v>0</v>
      </c>
      <c r="Y30" s="184">
        <f>'Q (t)'!H30</f>
        <v>91000</v>
      </c>
      <c r="Z30" s="178">
        <f>'Q (t)'!I30</f>
        <v>0</v>
      </c>
      <c r="AA30" s="178">
        <f>'Q (t)'!J30</f>
        <v>0</v>
      </c>
      <c r="AB30" s="179">
        <f>'Q (t)'!K30</f>
        <v>0</v>
      </c>
      <c r="AC30" s="178">
        <f>'Q (t)'!L30</f>
        <v>0</v>
      </c>
      <c r="AD30" s="178">
        <f>'Q (t)'!M30</f>
        <v>0</v>
      </c>
      <c r="AE30" s="178">
        <f>'Q (t)'!N30</f>
        <v>0</v>
      </c>
      <c r="AF30" s="179">
        <f>'Q (t)'!O30</f>
        <v>0</v>
      </c>
      <c r="AG30" s="178">
        <f>'Q (t)'!P30</f>
        <v>0</v>
      </c>
      <c r="AH30" s="178">
        <f>'Q (t)'!Q30</f>
        <v>0</v>
      </c>
      <c r="AI30" s="179">
        <f>'Q (t)'!R30</f>
        <v>0</v>
      </c>
      <c r="AJ30" s="184">
        <f>'Q (t)'!S30</f>
        <v>0</v>
      </c>
      <c r="AK30" s="178">
        <f>'Q (t)'!T30</f>
        <v>0</v>
      </c>
      <c r="AL30" s="184">
        <f>'Q (t)'!U30</f>
        <v>0</v>
      </c>
      <c r="AM30" s="179">
        <f>'Q (t)'!V30</f>
        <v>0</v>
      </c>
      <c r="AO30" s="183">
        <f t="shared" si="2"/>
        <v>0</v>
      </c>
      <c r="AP30" s="184">
        <f t="shared" si="0"/>
        <v>9009</v>
      </c>
      <c r="AQ30" s="178">
        <f t="shared" si="0"/>
        <v>0</v>
      </c>
      <c r="AR30" s="178">
        <f t="shared" si="0"/>
        <v>0</v>
      </c>
      <c r="AS30" s="179">
        <f t="shared" si="0"/>
        <v>0</v>
      </c>
      <c r="AT30" s="178">
        <f t="shared" si="0"/>
        <v>0</v>
      </c>
      <c r="AU30" s="178">
        <f t="shared" si="0"/>
        <v>0</v>
      </c>
      <c r="AV30" s="178">
        <f t="shared" si="0"/>
        <v>0</v>
      </c>
      <c r="AW30" s="179">
        <f t="shared" si="0"/>
        <v>0</v>
      </c>
      <c r="AX30" s="178">
        <f t="shared" si="1"/>
        <v>0</v>
      </c>
      <c r="AY30" s="178">
        <f t="shared" si="1"/>
        <v>0</v>
      </c>
      <c r="AZ30" s="179">
        <f t="shared" si="1"/>
        <v>0</v>
      </c>
      <c r="BA30" s="184">
        <f t="shared" si="1"/>
        <v>0</v>
      </c>
      <c r="BB30" s="178">
        <f t="shared" si="1"/>
        <v>0</v>
      </c>
      <c r="BC30" s="184">
        <f t="shared" si="1"/>
        <v>0</v>
      </c>
      <c r="BD30" s="178">
        <f t="shared" si="1"/>
        <v>0</v>
      </c>
      <c r="BE30" s="244">
        <f t="shared" si="3"/>
        <v>0</v>
      </c>
      <c r="BF30" s="245">
        <f t="shared" si="4"/>
        <v>91000</v>
      </c>
      <c r="BH30" s="255">
        <f>SUM(AO30)</f>
        <v>0</v>
      </c>
      <c r="BI30" s="255">
        <f>SUM(AP30:AS30)</f>
        <v>9009</v>
      </c>
      <c r="BJ30" s="255">
        <f>SUM(AT30:AW30)</f>
        <v>0</v>
      </c>
      <c r="BK30" s="256">
        <f>SUM(AX30:BB30)</f>
        <v>0</v>
      </c>
      <c r="BL30" s="262">
        <f>SUM(BC30:BD30)</f>
        <v>0</v>
      </c>
      <c r="BM30" s="257">
        <f t="shared" si="5"/>
        <v>9009</v>
      </c>
      <c r="BO30" s="714">
        <f t="shared" si="6"/>
        <v>99</v>
      </c>
    </row>
    <row r="31" spans="2:67" ht="15" customHeight="1" x14ac:dyDescent="0.25">
      <c r="B31" s="156">
        <f t="shared" ref="B31:B41" si="16">B30+1</f>
        <v>2</v>
      </c>
      <c r="C31" s="180" t="s">
        <v>62</v>
      </c>
      <c r="D31" s="181" t="str">
        <f>C31</f>
        <v>LVUU24</v>
      </c>
      <c r="E31" s="200" t="s">
        <v>63</v>
      </c>
      <c r="G31" s="477">
        <f>SUM('DUoS (t)'!G31,'TUoS (t)'!G31,'JSO (t)'!G31)</f>
        <v>0</v>
      </c>
      <c r="H31" s="478">
        <f>SUM('DUoS (t)'!H31,'TUoS (t)'!H31,'JSO (t)'!H31)</f>
        <v>9.8999999999999991E-2</v>
      </c>
      <c r="I31" s="461">
        <f>SUM('DUoS (t)'!I31,'TUoS (t)'!I31,'JSO (t)'!I31)</f>
        <v>0</v>
      </c>
      <c r="J31" s="461">
        <f>SUM('DUoS (t)'!J31,'TUoS (t)'!J31,'JSO (t)'!J31)</f>
        <v>0</v>
      </c>
      <c r="K31" s="462">
        <f>SUM('DUoS (t)'!K31,'TUoS (t)'!K31,'JSO (t)'!K31)</f>
        <v>0</v>
      </c>
      <c r="L31" s="461">
        <f>SUM('DUoS (t)'!L31,'TUoS (t)'!L31,'JSO (t)'!L31)</f>
        <v>0</v>
      </c>
      <c r="M31" s="461">
        <f>SUM('DUoS (t)'!M31,'TUoS (t)'!M31,'JSO (t)'!M31)</f>
        <v>0</v>
      </c>
      <c r="N31" s="461">
        <f>SUM('DUoS (t)'!N31,'TUoS (t)'!N31,'JSO (t)'!N31)</f>
        <v>0</v>
      </c>
      <c r="O31" s="462">
        <f>SUM('DUoS (t)'!O31,'TUoS (t)'!O31,'JSO (t)'!O31)</f>
        <v>0</v>
      </c>
      <c r="P31" s="461">
        <f>SUM('DUoS (t)'!P31,'TUoS (t)'!P31,'JSO (t)'!P31)</f>
        <v>0</v>
      </c>
      <c r="Q31" s="461">
        <f>SUM('DUoS (t)'!Q31,'TUoS (t)'!Q31,'JSO (t)'!Q31)</f>
        <v>0</v>
      </c>
      <c r="R31" s="462">
        <f>SUM('DUoS (t)'!R31,'TUoS (t)'!R31,'JSO (t)'!R31)</f>
        <v>0</v>
      </c>
      <c r="S31" s="479">
        <f>SUM('DUoS (t)'!S31,'TUoS (t)'!S31,'JSO (t)'!S31)</f>
        <v>0</v>
      </c>
      <c r="T31" s="461">
        <f>SUM('DUoS (t)'!T31,'TUoS (t)'!T31,'JSO (t)'!T31)</f>
        <v>0</v>
      </c>
      <c r="U31" s="480">
        <f>SUM('DUoS (t)'!U31,'TUoS (t)'!U31,'JSO (t)'!U31)</f>
        <v>0</v>
      </c>
      <c r="V31" s="481">
        <f>SUM('DUoS (t)'!V31,'TUoS (t)'!V31,'JSO (t)'!V31)</f>
        <v>0</v>
      </c>
      <c r="X31" s="183">
        <f>'Q (t)'!G31</f>
        <v>0</v>
      </c>
      <c r="Y31" s="184">
        <f>'Q (t)'!H31</f>
        <v>17000</v>
      </c>
      <c r="Z31" s="178">
        <f>'Q (t)'!I31</f>
        <v>0</v>
      </c>
      <c r="AA31" s="178">
        <f>'Q (t)'!J31</f>
        <v>0</v>
      </c>
      <c r="AB31" s="179">
        <f>'Q (t)'!K31</f>
        <v>0</v>
      </c>
      <c r="AC31" s="178">
        <f>'Q (t)'!L31</f>
        <v>0</v>
      </c>
      <c r="AD31" s="178">
        <f>'Q (t)'!M31</f>
        <v>0</v>
      </c>
      <c r="AE31" s="178">
        <f>'Q (t)'!N31</f>
        <v>0</v>
      </c>
      <c r="AF31" s="179">
        <f>'Q (t)'!O31</f>
        <v>0</v>
      </c>
      <c r="AG31" s="178">
        <f>'Q (t)'!P31</f>
        <v>0</v>
      </c>
      <c r="AH31" s="178">
        <f>'Q (t)'!Q31</f>
        <v>0</v>
      </c>
      <c r="AI31" s="179">
        <f>'Q (t)'!R31</f>
        <v>0</v>
      </c>
      <c r="AJ31" s="184">
        <f>'Q (t)'!S31</f>
        <v>0</v>
      </c>
      <c r="AK31" s="178">
        <f>'Q (t)'!T31</f>
        <v>0</v>
      </c>
      <c r="AL31" s="184">
        <f>'Q (t)'!U31</f>
        <v>0</v>
      </c>
      <c r="AM31" s="179">
        <f>'Q (t)'!V31</f>
        <v>0</v>
      </c>
      <c r="AO31" s="183">
        <f t="shared" si="2"/>
        <v>0</v>
      </c>
      <c r="AP31" s="184">
        <f t="shared" si="0"/>
        <v>1682.9999999999998</v>
      </c>
      <c r="AQ31" s="178">
        <f t="shared" si="0"/>
        <v>0</v>
      </c>
      <c r="AR31" s="178">
        <f t="shared" si="0"/>
        <v>0</v>
      </c>
      <c r="AS31" s="179">
        <f t="shared" si="0"/>
        <v>0</v>
      </c>
      <c r="AT31" s="178">
        <f t="shared" si="0"/>
        <v>0</v>
      </c>
      <c r="AU31" s="178">
        <f t="shared" si="0"/>
        <v>0</v>
      </c>
      <c r="AV31" s="178">
        <f t="shared" si="0"/>
        <v>0</v>
      </c>
      <c r="AW31" s="179">
        <f t="shared" si="0"/>
        <v>0</v>
      </c>
      <c r="AX31" s="178">
        <f t="shared" si="1"/>
        <v>0</v>
      </c>
      <c r="AY31" s="178">
        <f t="shared" si="1"/>
        <v>0</v>
      </c>
      <c r="AZ31" s="179">
        <f t="shared" si="1"/>
        <v>0</v>
      </c>
      <c r="BA31" s="184">
        <f t="shared" si="1"/>
        <v>0</v>
      </c>
      <c r="BB31" s="178">
        <f t="shared" si="1"/>
        <v>0</v>
      </c>
      <c r="BC31" s="184">
        <f t="shared" si="1"/>
        <v>0</v>
      </c>
      <c r="BD31" s="178">
        <f t="shared" si="1"/>
        <v>0</v>
      </c>
      <c r="BE31" s="244">
        <f t="shared" si="3"/>
        <v>0</v>
      </c>
      <c r="BF31" s="245">
        <f t="shared" si="4"/>
        <v>17000</v>
      </c>
      <c r="BH31" s="255">
        <f>SUM(AO31)</f>
        <v>0</v>
      </c>
      <c r="BI31" s="255">
        <f>SUM(AP31:AS31)</f>
        <v>1682.9999999999998</v>
      </c>
      <c r="BJ31" s="255">
        <f>SUM(AT31:AW31)</f>
        <v>0</v>
      </c>
      <c r="BK31" s="256">
        <f>SUM(AX31:BB31)</f>
        <v>0</v>
      </c>
      <c r="BL31" s="262">
        <f>SUM(BC31:BD31)</f>
        <v>0</v>
      </c>
      <c r="BM31" s="257">
        <f t="shared" si="5"/>
        <v>1682.9999999999998</v>
      </c>
      <c r="BO31" s="714">
        <f t="shared" si="6"/>
        <v>98.999999999999986</v>
      </c>
    </row>
    <row r="32" spans="2:67" ht="15" customHeight="1" x14ac:dyDescent="0.25">
      <c r="B32" s="156"/>
      <c r="C32" s="201" t="s">
        <v>64</v>
      </c>
      <c r="D32" s="202"/>
      <c r="E32" s="202"/>
      <c r="G32" s="482">
        <f>SUM('DUoS (t)'!G32,'TUoS (t)'!G32,'JSO (t)'!G32)</f>
        <v>0</v>
      </c>
      <c r="H32" s="479">
        <f>SUM('DUoS (t)'!H32,'TUoS (t)'!H32,'JSO (t)'!H32)</f>
        <v>0</v>
      </c>
      <c r="I32" s="461">
        <f>SUM('DUoS (t)'!I32,'TUoS (t)'!I32,'JSO (t)'!I32)</f>
        <v>0</v>
      </c>
      <c r="J32" s="461">
        <f>SUM('DUoS (t)'!J32,'TUoS (t)'!J32,'JSO (t)'!J32)</f>
        <v>0</v>
      </c>
      <c r="K32" s="462">
        <f>SUM('DUoS (t)'!K32,'TUoS (t)'!K32,'JSO (t)'!K32)</f>
        <v>0</v>
      </c>
      <c r="L32" s="461">
        <f>SUM('DUoS (t)'!L32,'TUoS (t)'!L32,'JSO (t)'!L32)</f>
        <v>0</v>
      </c>
      <c r="M32" s="461">
        <f>SUM('DUoS (t)'!M32,'TUoS (t)'!M32,'JSO (t)'!M32)</f>
        <v>0</v>
      </c>
      <c r="N32" s="461">
        <f>SUM('DUoS (t)'!N32,'TUoS (t)'!N32,'JSO (t)'!N32)</f>
        <v>0</v>
      </c>
      <c r="O32" s="462">
        <f>SUM('DUoS (t)'!O32,'TUoS (t)'!O32,'JSO (t)'!O32)</f>
        <v>0</v>
      </c>
      <c r="P32" s="461">
        <f>SUM('DUoS (t)'!P32,'TUoS (t)'!P32,'JSO (t)'!P32)</f>
        <v>0</v>
      </c>
      <c r="Q32" s="461">
        <f>SUM('DUoS (t)'!Q32,'TUoS (t)'!Q32,'JSO (t)'!Q32)</f>
        <v>0</v>
      </c>
      <c r="R32" s="462">
        <f>SUM('DUoS (t)'!R32,'TUoS (t)'!R32,'JSO (t)'!R32)</f>
        <v>0</v>
      </c>
      <c r="S32" s="479">
        <f>SUM('DUoS (t)'!S32,'TUoS (t)'!S32,'JSO (t)'!S32)</f>
        <v>0</v>
      </c>
      <c r="T32" s="461">
        <f>SUM('DUoS (t)'!T32,'TUoS (t)'!T32,'JSO (t)'!T32)</f>
        <v>0</v>
      </c>
      <c r="U32" s="479">
        <f>SUM('DUoS (t)'!U32,'TUoS (t)'!U32,'JSO (t)'!U32)</f>
        <v>0</v>
      </c>
      <c r="V32" s="462">
        <f>SUM('DUoS (t)'!V32,'TUoS (t)'!V32,'JSO (t)'!V32)</f>
        <v>0</v>
      </c>
      <c r="X32" s="183">
        <f>'Q (t)'!G32</f>
        <v>0</v>
      </c>
      <c r="Y32" s="184">
        <f>'Q (t)'!H32</f>
        <v>0</v>
      </c>
      <c r="Z32" s="178">
        <f>'Q (t)'!I32</f>
        <v>0</v>
      </c>
      <c r="AA32" s="178">
        <f>'Q (t)'!J32</f>
        <v>0</v>
      </c>
      <c r="AB32" s="179">
        <f>'Q (t)'!K32</f>
        <v>0</v>
      </c>
      <c r="AC32" s="178">
        <f>'Q (t)'!L32</f>
        <v>0</v>
      </c>
      <c r="AD32" s="178">
        <f>'Q (t)'!M32</f>
        <v>0</v>
      </c>
      <c r="AE32" s="178">
        <f>'Q (t)'!N32</f>
        <v>0</v>
      </c>
      <c r="AF32" s="179">
        <f>'Q (t)'!O32</f>
        <v>0</v>
      </c>
      <c r="AG32" s="178">
        <f>'Q (t)'!P32</f>
        <v>0</v>
      </c>
      <c r="AH32" s="178">
        <f>'Q (t)'!Q32</f>
        <v>0</v>
      </c>
      <c r="AI32" s="179">
        <f>'Q (t)'!R32</f>
        <v>0</v>
      </c>
      <c r="AJ32" s="184">
        <f>'Q (t)'!S32</f>
        <v>0</v>
      </c>
      <c r="AK32" s="178">
        <f>'Q (t)'!T32</f>
        <v>0</v>
      </c>
      <c r="AL32" s="184">
        <f>'Q (t)'!U32</f>
        <v>0</v>
      </c>
      <c r="AM32" s="179">
        <f>'Q (t)'!V32</f>
        <v>0</v>
      </c>
      <c r="AO32" s="183">
        <f t="shared" si="2"/>
        <v>0</v>
      </c>
      <c r="AP32" s="184">
        <f t="shared" si="0"/>
        <v>0</v>
      </c>
      <c r="AQ32" s="178">
        <f t="shared" si="0"/>
        <v>0</v>
      </c>
      <c r="AR32" s="178">
        <f t="shared" si="0"/>
        <v>0</v>
      </c>
      <c r="AS32" s="179">
        <f t="shared" si="0"/>
        <v>0</v>
      </c>
      <c r="AT32" s="178">
        <f t="shared" si="0"/>
        <v>0</v>
      </c>
      <c r="AU32" s="178">
        <f t="shared" si="0"/>
        <v>0</v>
      </c>
      <c r="AV32" s="178">
        <f t="shared" si="0"/>
        <v>0</v>
      </c>
      <c r="AW32" s="179">
        <f t="shared" si="0"/>
        <v>0</v>
      </c>
      <c r="AX32" s="178">
        <f t="shared" si="1"/>
        <v>0</v>
      </c>
      <c r="AY32" s="178">
        <f t="shared" si="1"/>
        <v>0</v>
      </c>
      <c r="AZ32" s="179">
        <f t="shared" si="1"/>
        <v>0</v>
      </c>
      <c r="BA32" s="184">
        <f t="shared" si="1"/>
        <v>0</v>
      </c>
      <c r="BB32" s="178">
        <f t="shared" si="1"/>
        <v>0</v>
      </c>
      <c r="BC32" s="184">
        <f t="shared" si="1"/>
        <v>0</v>
      </c>
      <c r="BD32" s="178">
        <f t="shared" si="1"/>
        <v>0</v>
      </c>
      <c r="BE32" s="244">
        <f t="shared" si="3"/>
        <v>0</v>
      </c>
      <c r="BF32" s="245">
        <f t="shared" si="4"/>
        <v>0</v>
      </c>
      <c r="BH32" s="252">
        <f>SUBTOTAL(9,BH33:BH37)</f>
        <v>14160.704688</v>
      </c>
      <c r="BI32" s="252">
        <f>SUBTOTAL(9,BI33:BI37)</f>
        <v>88495.89</v>
      </c>
      <c r="BJ32" s="252">
        <f>SUBTOTAL(9,BJ33:BJ37)</f>
        <v>404.99999999999994</v>
      </c>
      <c r="BK32" s="252">
        <f>SUBTOTAL(9,BK33:BK37)</f>
        <v>0</v>
      </c>
      <c r="BL32" s="252">
        <f>SUBTOTAL(9,BL33:BL37)</f>
        <v>0</v>
      </c>
      <c r="BM32" s="257">
        <f t="shared" si="5"/>
        <v>103061.594688</v>
      </c>
      <c r="BO32" s="714" t="str">
        <f t="shared" si="6"/>
        <v/>
      </c>
    </row>
    <row r="33" spans="2:67" ht="15" customHeight="1" x14ac:dyDescent="0.25">
      <c r="B33" s="156">
        <f>B31+1</f>
        <v>3</v>
      </c>
      <c r="C33" s="180" t="s">
        <v>65</v>
      </c>
      <c r="D33" s="181" t="str">
        <f>C33</f>
        <v>BSR</v>
      </c>
      <c r="E33" s="200" t="s">
        <v>66</v>
      </c>
      <c r="G33" s="477">
        <f>SUM('DUoS (t)'!G33,'TUoS (t)'!G33,'JSO (t)'!G33)</f>
        <v>0.56159999999999999</v>
      </c>
      <c r="H33" s="478">
        <f>SUM('DUoS (t)'!H33,'TUoS (t)'!H33,'JSO (t)'!H33)</f>
        <v>0.15010000000000001</v>
      </c>
      <c r="I33" s="461">
        <f>SUM('DUoS (t)'!I33,'TUoS (t)'!I33,'JSO (t)'!I33)</f>
        <v>0</v>
      </c>
      <c r="J33" s="461">
        <f>SUM('DUoS (t)'!J33,'TUoS (t)'!J33,'JSO (t)'!J33)</f>
        <v>0</v>
      </c>
      <c r="K33" s="462">
        <f>SUM('DUoS (t)'!K33,'TUoS (t)'!K33,'JSO (t)'!K33)</f>
        <v>0</v>
      </c>
      <c r="L33" s="461">
        <f>SUM('DUoS (t)'!L33,'TUoS (t)'!L33,'JSO (t)'!L33)</f>
        <v>0</v>
      </c>
      <c r="M33" s="461">
        <f>SUM('DUoS (t)'!M33,'TUoS (t)'!M33,'JSO (t)'!M33)</f>
        <v>0</v>
      </c>
      <c r="N33" s="461">
        <f>SUM('DUoS (t)'!N33,'TUoS (t)'!N33,'JSO (t)'!N33)</f>
        <v>0</v>
      </c>
      <c r="O33" s="462">
        <f>SUM('DUoS (t)'!O33,'TUoS (t)'!O33,'JSO (t)'!O33)</f>
        <v>0</v>
      </c>
      <c r="P33" s="461">
        <f>SUM('DUoS (t)'!P33,'TUoS (t)'!P33,'JSO (t)'!P33)</f>
        <v>0</v>
      </c>
      <c r="Q33" s="461">
        <f>SUM('DUoS (t)'!Q33,'TUoS (t)'!Q33,'JSO (t)'!Q33)</f>
        <v>0</v>
      </c>
      <c r="R33" s="462">
        <f>SUM('DUoS (t)'!R33,'TUoS (t)'!R33,'JSO (t)'!R33)</f>
        <v>0</v>
      </c>
      <c r="S33" s="479">
        <f>SUM('DUoS (t)'!S33,'TUoS (t)'!S33,'JSO (t)'!S33)</f>
        <v>0</v>
      </c>
      <c r="T33" s="461">
        <f>SUM('DUoS (t)'!T33,'TUoS (t)'!T33,'JSO (t)'!T33)</f>
        <v>0</v>
      </c>
      <c r="U33" s="480">
        <f>SUM('DUoS (t)'!U33,'TUoS (t)'!U33,'JSO (t)'!U33)</f>
        <v>0</v>
      </c>
      <c r="V33" s="481">
        <f>SUM('DUoS (t)'!V33,'TUoS (t)'!V33,'JSO (t)'!V33)</f>
        <v>0</v>
      </c>
      <c r="X33" s="183">
        <f>'Q (t)'!G33</f>
        <v>16762625</v>
      </c>
      <c r="Y33" s="184">
        <f>'Q (t)'!H33</f>
        <v>322200</v>
      </c>
      <c r="Z33" s="178">
        <f>'Q (t)'!I33</f>
        <v>0</v>
      </c>
      <c r="AA33" s="178">
        <f>'Q (t)'!J33</f>
        <v>0</v>
      </c>
      <c r="AB33" s="179">
        <f>'Q (t)'!K33</f>
        <v>0</v>
      </c>
      <c r="AC33" s="178">
        <f>'Q (t)'!L33</f>
        <v>0</v>
      </c>
      <c r="AD33" s="178">
        <f>'Q (t)'!M33</f>
        <v>0</v>
      </c>
      <c r="AE33" s="178">
        <f>'Q (t)'!N33</f>
        <v>0</v>
      </c>
      <c r="AF33" s="179">
        <f>'Q (t)'!O33</f>
        <v>0</v>
      </c>
      <c r="AG33" s="178">
        <f>'Q (t)'!P33</f>
        <v>0</v>
      </c>
      <c r="AH33" s="178">
        <f>'Q (t)'!Q33</f>
        <v>0</v>
      </c>
      <c r="AI33" s="179">
        <f>'Q (t)'!R33</f>
        <v>0</v>
      </c>
      <c r="AJ33" s="184">
        <f>'Q (t)'!S33</f>
        <v>0</v>
      </c>
      <c r="AK33" s="178">
        <f>'Q (t)'!T33</f>
        <v>0</v>
      </c>
      <c r="AL33" s="184">
        <f>'Q (t)'!U33</f>
        <v>0</v>
      </c>
      <c r="AM33" s="179">
        <f>'Q (t)'!V33</f>
        <v>0</v>
      </c>
      <c r="AO33" s="183">
        <f t="shared" si="2"/>
        <v>9413.8901999999998</v>
      </c>
      <c r="AP33" s="184">
        <f t="shared" si="0"/>
        <v>48362.22</v>
      </c>
      <c r="AQ33" s="178">
        <f t="shared" si="0"/>
        <v>0</v>
      </c>
      <c r="AR33" s="178">
        <f t="shared" si="0"/>
        <v>0</v>
      </c>
      <c r="AS33" s="179">
        <f t="shared" si="0"/>
        <v>0</v>
      </c>
      <c r="AT33" s="178">
        <f t="shared" si="0"/>
        <v>0</v>
      </c>
      <c r="AU33" s="178">
        <f t="shared" si="0"/>
        <v>0</v>
      </c>
      <c r="AV33" s="178">
        <f t="shared" si="0"/>
        <v>0</v>
      </c>
      <c r="AW33" s="179">
        <f t="shared" si="0"/>
        <v>0</v>
      </c>
      <c r="AX33" s="178">
        <f t="shared" si="1"/>
        <v>0</v>
      </c>
      <c r="AY33" s="178">
        <f t="shared" si="1"/>
        <v>0</v>
      </c>
      <c r="AZ33" s="179">
        <f t="shared" si="1"/>
        <v>0</v>
      </c>
      <c r="BA33" s="184">
        <f t="shared" si="1"/>
        <v>0</v>
      </c>
      <c r="BB33" s="178">
        <f t="shared" si="1"/>
        <v>0</v>
      </c>
      <c r="BC33" s="184">
        <f t="shared" si="1"/>
        <v>0</v>
      </c>
      <c r="BD33" s="178">
        <f t="shared" si="1"/>
        <v>0</v>
      </c>
      <c r="BE33" s="244">
        <f t="shared" si="3"/>
        <v>45925</v>
      </c>
      <c r="BF33" s="245">
        <f t="shared" si="4"/>
        <v>322200</v>
      </c>
      <c r="BH33" s="255">
        <f>SUM(AO33)</f>
        <v>9413.8901999999998</v>
      </c>
      <c r="BI33" s="255">
        <f>SUM(AP33:AS33)</f>
        <v>48362.22</v>
      </c>
      <c r="BJ33" s="255">
        <f>SUM(AT33:AW33)</f>
        <v>0</v>
      </c>
      <c r="BK33" s="256">
        <f>SUM(AX33:BB33)</f>
        <v>0</v>
      </c>
      <c r="BL33" s="262">
        <f>SUM(BC33:BD33)</f>
        <v>0</v>
      </c>
      <c r="BM33" s="257">
        <f t="shared" si="5"/>
        <v>57776.110200000003</v>
      </c>
      <c r="BO33" s="714">
        <f t="shared" si="6"/>
        <v>179.31753631284917</v>
      </c>
    </row>
    <row r="34" spans="2:67" ht="15" customHeight="1" x14ac:dyDescent="0.25">
      <c r="B34" s="156">
        <f t="shared" si="16"/>
        <v>4</v>
      </c>
      <c r="C34" s="180" t="s">
        <v>67</v>
      </c>
      <c r="D34" s="181" t="str">
        <f>C34</f>
        <v>BSRCL</v>
      </c>
      <c r="E34" s="200" t="s">
        <v>68</v>
      </c>
      <c r="G34" s="477">
        <f>SUM('DUoS (t)'!G34,'TUoS (t)'!G34,'JSO (t)'!G34)</f>
        <v>0.56159999999999999</v>
      </c>
      <c r="H34" s="478">
        <f>SUM('DUoS (t)'!H34,'TUoS (t)'!H34,'JSO (t)'!H34)</f>
        <v>0.15010000000000001</v>
      </c>
      <c r="I34" s="461">
        <f>SUM('DUoS (t)'!I34,'TUoS (t)'!I34,'JSO (t)'!I34)</f>
        <v>0</v>
      </c>
      <c r="J34" s="461">
        <f>SUM('DUoS (t)'!J34,'TUoS (t)'!J34,'JSO (t)'!J34)</f>
        <v>0</v>
      </c>
      <c r="K34" s="462">
        <f>SUM('DUoS (t)'!K34,'TUoS (t)'!K34,'JSO (t)'!K34)</f>
        <v>0</v>
      </c>
      <c r="L34" s="483">
        <f>SUM('DUoS (t)'!L34,'TUoS (t)'!L34,'JSO (t)'!L34)</f>
        <v>6.7499999999999991E-2</v>
      </c>
      <c r="M34" s="461">
        <f>SUM('DUoS (t)'!M34,'TUoS (t)'!M34,'JSO (t)'!M34)</f>
        <v>0</v>
      </c>
      <c r="N34" s="461">
        <f>SUM('DUoS (t)'!N34,'TUoS (t)'!N34,'JSO (t)'!N34)</f>
        <v>0</v>
      </c>
      <c r="O34" s="462">
        <f>SUM('DUoS (t)'!O34,'TUoS (t)'!O34,'JSO (t)'!O34)</f>
        <v>0</v>
      </c>
      <c r="P34" s="461">
        <f>SUM('DUoS (t)'!P34,'TUoS (t)'!P34,'JSO (t)'!P34)</f>
        <v>0</v>
      </c>
      <c r="Q34" s="461">
        <f>SUM('DUoS (t)'!Q34,'TUoS (t)'!Q34,'JSO (t)'!Q34)</f>
        <v>0</v>
      </c>
      <c r="R34" s="462">
        <f>SUM('DUoS (t)'!R34,'TUoS (t)'!R34,'JSO (t)'!R34)</f>
        <v>0</v>
      </c>
      <c r="S34" s="479">
        <f>SUM('DUoS (t)'!S34,'TUoS (t)'!S34,'JSO (t)'!S34)</f>
        <v>0</v>
      </c>
      <c r="T34" s="461">
        <f>SUM('DUoS (t)'!T34,'TUoS (t)'!T34,'JSO (t)'!T34)</f>
        <v>0</v>
      </c>
      <c r="U34" s="480">
        <f>SUM('DUoS (t)'!U34,'TUoS (t)'!U34,'JSO (t)'!U34)</f>
        <v>0</v>
      </c>
      <c r="V34" s="481">
        <f>SUM('DUoS (t)'!V34,'TUoS (t)'!V34,'JSO (t)'!V34)</f>
        <v>0</v>
      </c>
      <c r="X34" s="183">
        <f>'Q (t)'!G34</f>
        <v>0</v>
      </c>
      <c r="Y34" s="184">
        <f>'Q (t)'!H34</f>
        <v>0</v>
      </c>
      <c r="Z34" s="178">
        <f>'Q (t)'!I34</f>
        <v>0</v>
      </c>
      <c r="AA34" s="178">
        <f>'Q (t)'!J34</f>
        <v>0</v>
      </c>
      <c r="AB34" s="179">
        <f>'Q (t)'!K34</f>
        <v>0</v>
      </c>
      <c r="AC34" s="178">
        <f>'Q (t)'!L34</f>
        <v>3000</v>
      </c>
      <c r="AD34" s="178">
        <f>'Q (t)'!M34</f>
        <v>0</v>
      </c>
      <c r="AE34" s="178">
        <f>'Q (t)'!N34</f>
        <v>0</v>
      </c>
      <c r="AF34" s="179">
        <f>'Q (t)'!O34</f>
        <v>0</v>
      </c>
      <c r="AG34" s="178">
        <f>'Q (t)'!P34</f>
        <v>0</v>
      </c>
      <c r="AH34" s="178">
        <f>'Q (t)'!Q34</f>
        <v>0</v>
      </c>
      <c r="AI34" s="179">
        <f>'Q (t)'!R34</f>
        <v>0</v>
      </c>
      <c r="AJ34" s="184">
        <f>'Q (t)'!S34</f>
        <v>0</v>
      </c>
      <c r="AK34" s="178">
        <f>'Q (t)'!T34</f>
        <v>0</v>
      </c>
      <c r="AL34" s="184">
        <f>'Q (t)'!U34</f>
        <v>0</v>
      </c>
      <c r="AM34" s="179">
        <f>'Q (t)'!V34</f>
        <v>0</v>
      </c>
      <c r="AO34" s="183">
        <f t="shared" si="2"/>
        <v>0</v>
      </c>
      <c r="AP34" s="184">
        <f t="shared" si="0"/>
        <v>0</v>
      </c>
      <c r="AQ34" s="178">
        <f t="shared" si="0"/>
        <v>0</v>
      </c>
      <c r="AR34" s="178">
        <f t="shared" si="0"/>
        <v>0</v>
      </c>
      <c r="AS34" s="179">
        <f t="shared" si="0"/>
        <v>0</v>
      </c>
      <c r="AT34" s="178">
        <f t="shared" si="0"/>
        <v>202.49999999999997</v>
      </c>
      <c r="AU34" s="178">
        <f t="shared" si="0"/>
        <v>0</v>
      </c>
      <c r="AV34" s="178">
        <f t="shared" si="0"/>
        <v>0</v>
      </c>
      <c r="AW34" s="179">
        <f t="shared" si="0"/>
        <v>0</v>
      </c>
      <c r="AX34" s="178">
        <f t="shared" si="1"/>
        <v>0</v>
      </c>
      <c r="AY34" s="178">
        <f t="shared" si="1"/>
        <v>0</v>
      </c>
      <c r="AZ34" s="179">
        <f t="shared" si="1"/>
        <v>0</v>
      </c>
      <c r="BA34" s="184">
        <f t="shared" si="1"/>
        <v>0</v>
      </c>
      <c r="BB34" s="178">
        <f t="shared" si="1"/>
        <v>0</v>
      </c>
      <c r="BC34" s="184">
        <f t="shared" si="1"/>
        <v>0</v>
      </c>
      <c r="BD34" s="178">
        <f t="shared" si="1"/>
        <v>0</v>
      </c>
      <c r="BE34" s="244">
        <f t="shared" si="3"/>
        <v>0</v>
      </c>
      <c r="BF34" s="245">
        <f t="shared" si="4"/>
        <v>3000</v>
      </c>
      <c r="BH34" s="255">
        <f>SUM(AO34)</f>
        <v>0</v>
      </c>
      <c r="BI34" s="255">
        <f>SUM(AP34:AS34)</f>
        <v>0</v>
      </c>
      <c r="BJ34" s="255">
        <f>SUM(AT34:AW34)</f>
        <v>202.49999999999997</v>
      </c>
      <c r="BK34" s="256">
        <f>SUM(AX34:BB34)</f>
        <v>0</v>
      </c>
      <c r="BL34" s="262">
        <f>SUM(BC34:BD34)</f>
        <v>0</v>
      </c>
      <c r="BM34" s="257">
        <f t="shared" si="5"/>
        <v>202.49999999999997</v>
      </c>
      <c r="BO34" s="714">
        <f t="shared" si="6"/>
        <v>67.499999999999986</v>
      </c>
    </row>
    <row r="35" spans="2:67" ht="15" customHeight="1" x14ac:dyDescent="0.25">
      <c r="B35" s="156">
        <f t="shared" si="16"/>
        <v>5</v>
      </c>
      <c r="C35" s="180" t="s">
        <v>69</v>
      </c>
      <c r="D35" s="181" t="str">
        <f>C35</f>
        <v>B2R</v>
      </c>
      <c r="E35" s="200" t="s">
        <v>70</v>
      </c>
      <c r="G35" s="477">
        <f>SUM('DUoS (t)'!G35,'TUoS (t)'!G35,'JSO (t)'!G35)</f>
        <v>0.56159999999999999</v>
      </c>
      <c r="H35" s="479">
        <f>SUM('DUoS (t)'!H35,'TUoS (t)'!H35,'JSO (t)'!H35)</f>
        <v>0</v>
      </c>
      <c r="I35" s="465">
        <f>SUM('DUoS (t)'!I35,'TUoS (t)'!I35,'JSO (t)'!I35)</f>
        <v>0.16930000000000001</v>
      </c>
      <c r="J35" s="461">
        <f>SUM('DUoS (t)'!J35,'TUoS (t)'!J35,'JSO (t)'!J35)</f>
        <v>0</v>
      </c>
      <c r="K35" s="466">
        <f>SUM('DUoS (t)'!K35,'TUoS (t)'!K35,'JSO (t)'!K35)</f>
        <v>8.4599999999999995E-2</v>
      </c>
      <c r="L35" s="461">
        <f>SUM('DUoS (t)'!L35,'TUoS (t)'!L35,'JSO (t)'!L35)</f>
        <v>0</v>
      </c>
      <c r="M35" s="461">
        <f>SUM('DUoS (t)'!M35,'TUoS (t)'!M35,'JSO (t)'!M35)</f>
        <v>0</v>
      </c>
      <c r="N35" s="461">
        <f>SUM('DUoS (t)'!N35,'TUoS (t)'!N35,'JSO (t)'!N35)</f>
        <v>0</v>
      </c>
      <c r="O35" s="462">
        <f>SUM('DUoS (t)'!O35,'TUoS (t)'!O35,'JSO (t)'!O35)</f>
        <v>0</v>
      </c>
      <c r="P35" s="461">
        <f>SUM('DUoS (t)'!P35,'TUoS (t)'!P35,'JSO (t)'!P35)</f>
        <v>0</v>
      </c>
      <c r="Q35" s="461">
        <f>SUM('DUoS (t)'!Q35,'TUoS (t)'!Q35,'JSO (t)'!Q35)</f>
        <v>0</v>
      </c>
      <c r="R35" s="462">
        <f>SUM('DUoS (t)'!R35,'TUoS (t)'!R35,'JSO (t)'!R35)</f>
        <v>0</v>
      </c>
      <c r="S35" s="479">
        <f>SUM('DUoS (t)'!S35,'TUoS (t)'!S35,'JSO (t)'!S35)</f>
        <v>0</v>
      </c>
      <c r="T35" s="461">
        <f>SUM('DUoS (t)'!T35,'TUoS (t)'!T35,'JSO (t)'!T35)</f>
        <v>0</v>
      </c>
      <c r="U35" s="480">
        <f>SUM('DUoS (t)'!U35,'TUoS (t)'!U35,'JSO (t)'!U35)</f>
        <v>0</v>
      </c>
      <c r="V35" s="481">
        <f>SUM('DUoS (t)'!V35,'TUoS (t)'!V35,'JSO (t)'!V35)</f>
        <v>0</v>
      </c>
      <c r="X35" s="183">
        <f>'Q (t)'!G35</f>
        <v>8452305</v>
      </c>
      <c r="Y35" s="184">
        <f>'Q (t)'!H35</f>
        <v>0</v>
      </c>
      <c r="Z35" s="178">
        <f>'Q (t)'!I35</f>
        <v>163500</v>
      </c>
      <c r="AA35" s="178">
        <f>'Q (t)'!J35</f>
        <v>0</v>
      </c>
      <c r="AB35" s="179">
        <f>'Q (t)'!K35</f>
        <v>147200</v>
      </c>
      <c r="AC35" s="178">
        <f>'Q (t)'!L35</f>
        <v>0</v>
      </c>
      <c r="AD35" s="178">
        <f>'Q (t)'!M35</f>
        <v>0</v>
      </c>
      <c r="AE35" s="178">
        <f>'Q (t)'!N35</f>
        <v>0</v>
      </c>
      <c r="AF35" s="179">
        <f>'Q (t)'!O35</f>
        <v>0</v>
      </c>
      <c r="AG35" s="178">
        <f>'Q (t)'!P35</f>
        <v>0</v>
      </c>
      <c r="AH35" s="178">
        <f>'Q (t)'!Q35</f>
        <v>0</v>
      </c>
      <c r="AI35" s="179">
        <f>'Q (t)'!R35</f>
        <v>0</v>
      </c>
      <c r="AJ35" s="184">
        <f>'Q (t)'!S35</f>
        <v>0</v>
      </c>
      <c r="AK35" s="178">
        <f>'Q (t)'!T35</f>
        <v>0</v>
      </c>
      <c r="AL35" s="184">
        <f>'Q (t)'!U35</f>
        <v>0</v>
      </c>
      <c r="AM35" s="179">
        <f>'Q (t)'!V35</f>
        <v>0</v>
      </c>
      <c r="AO35" s="183">
        <f t="shared" si="2"/>
        <v>4746.814488</v>
      </c>
      <c r="AP35" s="184">
        <f t="shared" si="0"/>
        <v>0</v>
      </c>
      <c r="AQ35" s="178">
        <f t="shared" si="0"/>
        <v>27680.55</v>
      </c>
      <c r="AR35" s="178">
        <f t="shared" si="0"/>
        <v>0</v>
      </c>
      <c r="AS35" s="179">
        <f t="shared" si="0"/>
        <v>12453.119999999999</v>
      </c>
      <c r="AT35" s="178">
        <f t="shared" si="0"/>
        <v>0</v>
      </c>
      <c r="AU35" s="178">
        <f t="shared" si="0"/>
        <v>0</v>
      </c>
      <c r="AV35" s="178">
        <f t="shared" si="0"/>
        <v>0</v>
      </c>
      <c r="AW35" s="179">
        <f t="shared" si="0"/>
        <v>0</v>
      </c>
      <c r="AX35" s="178">
        <f t="shared" si="1"/>
        <v>0</v>
      </c>
      <c r="AY35" s="178">
        <f t="shared" si="1"/>
        <v>0</v>
      </c>
      <c r="AZ35" s="179">
        <f t="shared" si="1"/>
        <v>0</v>
      </c>
      <c r="BA35" s="184">
        <f t="shared" si="1"/>
        <v>0</v>
      </c>
      <c r="BB35" s="178">
        <f t="shared" si="1"/>
        <v>0</v>
      </c>
      <c r="BC35" s="184">
        <f t="shared" si="1"/>
        <v>0</v>
      </c>
      <c r="BD35" s="178">
        <f t="shared" si="1"/>
        <v>0</v>
      </c>
      <c r="BE35" s="244">
        <f t="shared" si="3"/>
        <v>23157</v>
      </c>
      <c r="BF35" s="245">
        <f t="shared" si="4"/>
        <v>310700</v>
      </c>
      <c r="BH35" s="255">
        <f>SUM(AO35)</f>
        <v>4746.814488</v>
      </c>
      <c r="BI35" s="255">
        <f>SUM(AP35:AS35)</f>
        <v>40133.67</v>
      </c>
      <c r="BJ35" s="255">
        <f>SUM(AT35:AW35)</f>
        <v>0</v>
      </c>
      <c r="BK35" s="256">
        <f>SUM(AX35:BB35)</f>
        <v>0</v>
      </c>
      <c r="BL35" s="262">
        <f>SUM(BC35:BD35)</f>
        <v>0</v>
      </c>
      <c r="BM35" s="257">
        <f t="shared" si="5"/>
        <v>44880.484488000002</v>
      </c>
      <c r="BO35" s="714">
        <f t="shared" si="6"/>
        <v>144.44957994206632</v>
      </c>
    </row>
    <row r="36" spans="2:67" ht="15" customHeight="1" x14ac:dyDescent="0.25">
      <c r="B36" s="156">
        <f t="shared" si="16"/>
        <v>6</v>
      </c>
      <c r="C36" s="180" t="s">
        <v>71</v>
      </c>
      <c r="D36" s="181" t="str">
        <f>C36</f>
        <v>B2RCL</v>
      </c>
      <c r="E36" s="200" t="s">
        <v>72</v>
      </c>
      <c r="G36" s="477">
        <f>SUM('DUoS (t)'!G36,'TUoS (t)'!G36,'JSO (t)'!G36)</f>
        <v>0.56159999999999999</v>
      </c>
      <c r="H36" s="479">
        <f>SUM('DUoS (t)'!H36,'TUoS (t)'!H36,'JSO (t)'!H36)</f>
        <v>0</v>
      </c>
      <c r="I36" s="465">
        <f>SUM('DUoS (t)'!I36,'TUoS (t)'!I36,'JSO (t)'!I36)</f>
        <v>0.16930000000000001</v>
      </c>
      <c r="J36" s="461">
        <f>SUM('DUoS (t)'!J36,'TUoS (t)'!J36,'JSO (t)'!J36)</f>
        <v>0</v>
      </c>
      <c r="K36" s="466">
        <f>SUM('DUoS (t)'!K36,'TUoS (t)'!K36,'JSO (t)'!K36)</f>
        <v>8.4599999999999995E-2</v>
      </c>
      <c r="L36" s="483">
        <f>SUM('DUoS (t)'!L36,'TUoS (t)'!L36,'JSO (t)'!L36)</f>
        <v>6.7499999999999991E-2</v>
      </c>
      <c r="M36" s="461">
        <f>SUM('DUoS (t)'!M36,'TUoS (t)'!M36,'JSO (t)'!M36)</f>
        <v>0</v>
      </c>
      <c r="N36" s="461">
        <f>SUM('DUoS (t)'!N36,'TUoS (t)'!N36,'JSO (t)'!N36)</f>
        <v>0</v>
      </c>
      <c r="O36" s="462">
        <f>SUM('DUoS (t)'!O36,'TUoS (t)'!O36,'JSO (t)'!O36)</f>
        <v>0</v>
      </c>
      <c r="P36" s="461">
        <f>SUM('DUoS (t)'!P36,'TUoS (t)'!P36,'JSO (t)'!P36)</f>
        <v>0</v>
      </c>
      <c r="Q36" s="461">
        <f>SUM('DUoS (t)'!Q36,'TUoS (t)'!Q36,'JSO (t)'!Q36)</f>
        <v>0</v>
      </c>
      <c r="R36" s="462">
        <f>SUM('DUoS (t)'!R36,'TUoS (t)'!R36,'JSO (t)'!R36)</f>
        <v>0</v>
      </c>
      <c r="S36" s="479">
        <f>SUM('DUoS (t)'!S36,'TUoS (t)'!S36,'JSO (t)'!S36)</f>
        <v>0</v>
      </c>
      <c r="T36" s="461">
        <f>SUM('DUoS (t)'!T36,'TUoS (t)'!T36,'JSO (t)'!T36)</f>
        <v>0</v>
      </c>
      <c r="U36" s="480">
        <f>SUM('DUoS (t)'!U36,'TUoS (t)'!U36,'JSO (t)'!U36)</f>
        <v>0</v>
      </c>
      <c r="V36" s="481">
        <f>SUM('DUoS (t)'!V36,'TUoS (t)'!V36,'JSO (t)'!V36)</f>
        <v>0</v>
      </c>
      <c r="X36" s="183">
        <f>'Q (t)'!G36</f>
        <v>0</v>
      </c>
      <c r="Y36" s="184">
        <f>'Q (t)'!H36</f>
        <v>0</v>
      </c>
      <c r="Z36" s="178">
        <f>'Q (t)'!I36</f>
        <v>0</v>
      </c>
      <c r="AA36" s="178">
        <f>'Q (t)'!J36</f>
        <v>0</v>
      </c>
      <c r="AB36" s="179">
        <f>'Q (t)'!K36</f>
        <v>0</v>
      </c>
      <c r="AC36" s="178">
        <f>'Q (t)'!L36</f>
        <v>3000</v>
      </c>
      <c r="AD36" s="178">
        <f>'Q (t)'!M36</f>
        <v>0</v>
      </c>
      <c r="AE36" s="178">
        <f>'Q (t)'!N36</f>
        <v>0</v>
      </c>
      <c r="AF36" s="179">
        <f>'Q (t)'!O36</f>
        <v>0</v>
      </c>
      <c r="AG36" s="178">
        <f>'Q (t)'!P36</f>
        <v>0</v>
      </c>
      <c r="AH36" s="178">
        <f>'Q (t)'!Q36</f>
        <v>0</v>
      </c>
      <c r="AI36" s="179">
        <f>'Q (t)'!R36</f>
        <v>0</v>
      </c>
      <c r="AJ36" s="184">
        <f>'Q (t)'!S36</f>
        <v>0</v>
      </c>
      <c r="AK36" s="178">
        <f>'Q (t)'!T36</f>
        <v>0</v>
      </c>
      <c r="AL36" s="184">
        <f>'Q (t)'!U36</f>
        <v>0</v>
      </c>
      <c r="AM36" s="179">
        <f>'Q (t)'!V36</f>
        <v>0</v>
      </c>
      <c r="AO36" s="183">
        <f t="shared" si="2"/>
        <v>0</v>
      </c>
      <c r="AP36" s="184">
        <f t="shared" ref="AP36:AW53" si="17">H36*Y36</f>
        <v>0</v>
      </c>
      <c r="AQ36" s="178">
        <f t="shared" si="17"/>
        <v>0</v>
      </c>
      <c r="AR36" s="178">
        <f t="shared" si="17"/>
        <v>0</v>
      </c>
      <c r="AS36" s="179">
        <f t="shared" si="17"/>
        <v>0</v>
      </c>
      <c r="AT36" s="178">
        <f t="shared" si="17"/>
        <v>202.49999999999997</v>
      </c>
      <c r="AU36" s="178">
        <f t="shared" si="17"/>
        <v>0</v>
      </c>
      <c r="AV36" s="178">
        <f t="shared" si="17"/>
        <v>0</v>
      </c>
      <c r="AW36" s="179">
        <f t="shared" si="17"/>
        <v>0</v>
      </c>
      <c r="AX36" s="178">
        <f t="shared" si="1"/>
        <v>0</v>
      </c>
      <c r="AY36" s="178">
        <f t="shared" si="1"/>
        <v>0</v>
      </c>
      <c r="AZ36" s="179">
        <f t="shared" si="1"/>
        <v>0</v>
      </c>
      <c r="BA36" s="184">
        <f t="shared" si="1"/>
        <v>0</v>
      </c>
      <c r="BB36" s="178">
        <f t="shared" si="1"/>
        <v>0</v>
      </c>
      <c r="BC36" s="184">
        <f t="shared" si="1"/>
        <v>0</v>
      </c>
      <c r="BD36" s="178">
        <f t="shared" si="1"/>
        <v>0</v>
      </c>
      <c r="BE36" s="244">
        <f t="shared" si="3"/>
        <v>0</v>
      </c>
      <c r="BF36" s="245">
        <f t="shared" si="4"/>
        <v>3000</v>
      </c>
      <c r="BH36" s="255">
        <f>SUM(AO36)</f>
        <v>0</v>
      </c>
      <c r="BI36" s="255">
        <f>SUM(AP36:AS36)</f>
        <v>0</v>
      </c>
      <c r="BJ36" s="255">
        <f>SUM(AT36:AW36)</f>
        <v>202.49999999999997</v>
      </c>
      <c r="BK36" s="256">
        <f>SUM(AX36:BB36)</f>
        <v>0</v>
      </c>
      <c r="BL36" s="262">
        <f>SUM(BC36:BD36)</f>
        <v>0</v>
      </c>
      <c r="BM36" s="257">
        <f t="shared" si="5"/>
        <v>202.49999999999997</v>
      </c>
      <c r="BO36" s="714">
        <f t="shared" si="6"/>
        <v>67.499999999999986</v>
      </c>
    </row>
    <row r="37" spans="2:67" ht="15" customHeight="1" x14ac:dyDescent="0.25">
      <c r="B37" s="156">
        <f t="shared" si="16"/>
        <v>7</v>
      </c>
      <c r="C37" s="180" t="s">
        <v>73</v>
      </c>
      <c r="D37" s="181" t="str">
        <f>C37</f>
        <v>BCL</v>
      </c>
      <c r="E37" s="200" t="s">
        <v>74</v>
      </c>
      <c r="G37" s="477">
        <f>SUM('DUoS (t)'!G37,'TUoS (t)'!G37,'JSO (t)'!G37)</f>
        <v>0</v>
      </c>
      <c r="H37" s="479">
        <f>SUM('DUoS (t)'!H37,'TUoS (t)'!H37,'JSO (t)'!H37)</f>
        <v>0</v>
      </c>
      <c r="I37" s="461">
        <f>SUM('DUoS (t)'!I37,'TUoS (t)'!I37,'JSO (t)'!I37)</f>
        <v>0</v>
      </c>
      <c r="J37" s="461">
        <f>SUM('DUoS (t)'!J37,'TUoS (t)'!J37,'JSO (t)'!J37)</f>
        <v>0</v>
      </c>
      <c r="K37" s="462">
        <f>SUM('DUoS (t)'!K37,'TUoS (t)'!K37,'JSO (t)'!K37)</f>
        <v>0</v>
      </c>
      <c r="L37" s="483">
        <f>SUM('DUoS (t)'!L37,'TUoS (t)'!L37,'JSO (t)'!L37)</f>
        <v>6.7499999999999991E-2</v>
      </c>
      <c r="M37" s="461">
        <f>SUM('DUoS (t)'!M37,'TUoS (t)'!M37,'JSO (t)'!M37)</f>
        <v>0</v>
      </c>
      <c r="N37" s="461">
        <f>SUM('DUoS (t)'!N37,'TUoS (t)'!N37,'JSO (t)'!N37)</f>
        <v>0</v>
      </c>
      <c r="O37" s="462">
        <f>SUM('DUoS (t)'!O37,'TUoS (t)'!O37,'JSO (t)'!O37)</f>
        <v>0</v>
      </c>
      <c r="P37" s="461">
        <f>SUM('DUoS (t)'!P37,'TUoS (t)'!P37,'JSO (t)'!P37)</f>
        <v>0</v>
      </c>
      <c r="Q37" s="461">
        <f>SUM('DUoS (t)'!Q37,'TUoS (t)'!Q37,'JSO (t)'!Q37)</f>
        <v>0</v>
      </c>
      <c r="R37" s="462">
        <f>SUM('DUoS (t)'!R37,'TUoS (t)'!R37,'JSO (t)'!R37)</f>
        <v>0</v>
      </c>
      <c r="S37" s="479">
        <f>SUM('DUoS (t)'!S37,'TUoS (t)'!S37,'JSO (t)'!S37)</f>
        <v>0</v>
      </c>
      <c r="T37" s="461">
        <f>SUM('DUoS (t)'!T37,'TUoS (t)'!T37,'JSO (t)'!T37)</f>
        <v>0</v>
      </c>
      <c r="U37" s="480">
        <f>SUM('DUoS (t)'!U37,'TUoS (t)'!U37,'JSO (t)'!U37)</f>
        <v>0</v>
      </c>
      <c r="V37" s="481">
        <f>SUM('DUoS (t)'!V37,'TUoS (t)'!V37,'JSO (t)'!V37)</f>
        <v>0</v>
      </c>
      <c r="X37" s="183">
        <f>'Q (t)'!G37</f>
        <v>0</v>
      </c>
      <c r="Y37" s="184">
        <f>'Q (t)'!H37</f>
        <v>0</v>
      </c>
      <c r="Z37" s="178">
        <f>'Q (t)'!I37</f>
        <v>0</v>
      </c>
      <c r="AA37" s="178">
        <f>'Q (t)'!J37</f>
        <v>0</v>
      </c>
      <c r="AB37" s="179">
        <f>'Q (t)'!K37</f>
        <v>0</v>
      </c>
      <c r="AC37" s="178">
        <f>'Q (t)'!L37</f>
        <v>0</v>
      </c>
      <c r="AD37" s="178">
        <f>'Q (t)'!M37</f>
        <v>0</v>
      </c>
      <c r="AE37" s="178">
        <f>'Q (t)'!N37</f>
        <v>0</v>
      </c>
      <c r="AF37" s="179">
        <f>'Q (t)'!O37</f>
        <v>0</v>
      </c>
      <c r="AG37" s="178">
        <f>'Q (t)'!P37</f>
        <v>0</v>
      </c>
      <c r="AH37" s="178">
        <f>'Q (t)'!Q37</f>
        <v>0</v>
      </c>
      <c r="AI37" s="179">
        <f>'Q (t)'!R37</f>
        <v>0</v>
      </c>
      <c r="AJ37" s="184">
        <f>'Q (t)'!S37</f>
        <v>0</v>
      </c>
      <c r="AK37" s="178">
        <f>'Q (t)'!T37</f>
        <v>0</v>
      </c>
      <c r="AL37" s="184">
        <f>'Q (t)'!U37</f>
        <v>0</v>
      </c>
      <c r="AM37" s="179">
        <f>'Q (t)'!V37</f>
        <v>0</v>
      </c>
      <c r="AO37" s="183">
        <f t="shared" si="2"/>
        <v>0</v>
      </c>
      <c r="AP37" s="184">
        <f t="shared" si="17"/>
        <v>0</v>
      </c>
      <c r="AQ37" s="178">
        <f t="shared" si="17"/>
        <v>0</v>
      </c>
      <c r="AR37" s="178">
        <f t="shared" si="17"/>
        <v>0</v>
      </c>
      <c r="AS37" s="179">
        <f t="shared" si="17"/>
        <v>0</v>
      </c>
      <c r="AT37" s="178">
        <f t="shared" si="17"/>
        <v>0</v>
      </c>
      <c r="AU37" s="178">
        <f t="shared" si="17"/>
        <v>0</v>
      </c>
      <c r="AV37" s="178">
        <f t="shared" si="17"/>
        <v>0</v>
      </c>
      <c r="AW37" s="179">
        <f t="shared" si="17"/>
        <v>0</v>
      </c>
      <c r="AX37" s="178">
        <f t="shared" si="1"/>
        <v>0</v>
      </c>
      <c r="AY37" s="178">
        <f t="shared" si="1"/>
        <v>0</v>
      </c>
      <c r="AZ37" s="179">
        <f t="shared" si="1"/>
        <v>0</v>
      </c>
      <c r="BA37" s="184">
        <f t="shared" si="1"/>
        <v>0</v>
      </c>
      <c r="BB37" s="178">
        <f t="shared" si="1"/>
        <v>0</v>
      </c>
      <c r="BC37" s="184">
        <f t="shared" si="1"/>
        <v>0</v>
      </c>
      <c r="BD37" s="178">
        <f t="shared" si="1"/>
        <v>0</v>
      </c>
      <c r="BE37" s="244">
        <f t="shared" si="3"/>
        <v>0</v>
      </c>
      <c r="BF37" s="245">
        <f t="shared" si="4"/>
        <v>0</v>
      </c>
      <c r="BH37" s="255">
        <f>SUM(AO37)</f>
        <v>0</v>
      </c>
      <c r="BI37" s="255">
        <f>SUM(AP37:AS37)</f>
        <v>0</v>
      </c>
      <c r="BJ37" s="255">
        <f>SUM(AT37:AW37)</f>
        <v>0</v>
      </c>
      <c r="BK37" s="256">
        <f>SUM(AX37:BB37)</f>
        <v>0</v>
      </c>
      <c r="BL37" s="262">
        <f>SUM(BC37:BD37)</f>
        <v>0</v>
      </c>
      <c r="BM37" s="257">
        <f t="shared" si="5"/>
        <v>0</v>
      </c>
      <c r="BO37" s="714" t="str">
        <f t="shared" si="6"/>
        <v/>
      </c>
    </row>
    <row r="38" spans="2:67" ht="15" customHeight="1" x14ac:dyDescent="0.25">
      <c r="B38" s="156"/>
      <c r="C38" s="201" t="s">
        <v>75</v>
      </c>
      <c r="D38" s="202"/>
      <c r="E38" s="202"/>
      <c r="G38" s="482">
        <f>SUM('DUoS (t)'!G38,'TUoS (t)'!G38,'JSO (t)'!G38)</f>
        <v>0</v>
      </c>
      <c r="H38" s="479">
        <f>SUM('DUoS (t)'!H38,'TUoS (t)'!H38,'JSO (t)'!H38)</f>
        <v>0</v>
      </c>
      <c r="I38" s="461">
        <f>SUM('DUoS (t)'!I38,'TUoS (t)'!I38,'JSO (t)'!I38)</f>
        <v>0</v>
      </c>
      <c r="J38" s="461">
        <f>SUM('DUoS (t)'!J38,'TUoS (t)'!J38,'JSO (t)'!J38)</f>
        <v>0</v>
      </c>
      <c r="K38" s="462">
        <f>SUM('DUoS (t)'!K38,'TUoS (t)'!K38,'JSO (t)'!K38)</f>
        <v>0</v>
      </c>
      <c r="L38" s="461">
        <f>SUM('DUoS (t)'!L38,'TUoS (t)'!L38,'JSO (t)'!L38)</f>
        <v>0</v>
      </c>
      <c r="M38" s="461">
        <f>SUM('DUoS (t)'!M38,'TUoS (t)'!M38,'JSO (t)'!M38)</f>
        <v>0</v>
      </c>
      <c r="N38" s="461">
        <f>SUM('DUoS (t)'!N38,'TUoS (t)'!N38,'JSO (t)'!N38)</f>
        <v>0</v>
      </c>
      <c r="O38" s="462">
        <f>SUM('DUoS (t)'!O38,'TUoS (t)'!O38,'JSO (t)'!O38)</f>
        <v>0</v>
      </c>
      <c r="P38" s="461">
        <f>SUM('DUoS (t)'!P38,'TUoS (t)'!P38,'JSO (t)'!P38)</f>
        <v>0</v>
      </c>
      <c r="Q38" s="461">
        <f>SUM('DUoS (t)'!Q38,'TUoS (t)'!Q38,'JSO (t)'!Q38)</f>
        <v>0</v>
      </c>
      <c r="R38" s="462">
        <f>SUM('DUoS (t)'!R38,'TUoS (t)'!R38,'JSO (t)'!R38)</f>
        <v>0</v>
      </c>
      <c r="S38" s="479">
        <f>SUM('DUoS (t)'!S38,'TUoS (t)'!S38,'JSO (t)'!S38)</f>
        <v>0</v>
      </c>
      <c r="T38" s="461">
        <f>SUM('DUoS (t)'!T38,'TUoS (t)'!T38,'JSO (t)'!T38)</f>
        <v>0</v>
      </c>
      <c r="U38" s="479">
        <f>SUM('DUoS (t)'!U38,'TUoS (t)'!U38,'JSO (t)'!U38)</f>
        <v>0</v>
      </c>
      <c r="V38" s="462">
        <f>SUM('DUoS (t)'!V38,'TUoS (t)'!V38,'JSO (t)'!V38)</f>
        <v>0</v>
      </c>
      <c r="X38" s="183">
        <f>'Q (t)'!G38</f>
        <v>0</v>
      </c>
      <c r="Y38" s="184">
        <f>'Q (t)'!H38</f>
        <v>0</v>
      </c>
      <c r="Z38" s="178">
        <f>'Q (t)'!I38</f>
        <v>0</v>
      </c>
      <c r="AA38" s="178">
        <f>'Q (t)'!J38</f>
        <v>0</v>
      </c>
      <c r="AB38" s="179">
        <f>'Q (t)'!K38</f>
        <v>0</v>
      </c>
      <c r="AC38" s="178">
        <f>'Q (t)'!L38</f>
        <v>0</v>
      </c>
      <c r="AD38" s="178">
        <f>'Q (t)'!M38</f>
        <v>0</v>
      </c>
      <c r="AE38" s="178">
        <f>'Q (t)'!N38</f>
        <v>0</v>
      </c>
      <c r="AF38" s="179">
        <f>'Q (t)'!O38</f>
        <v>0</v>
      </c>
      <c r="AG38" s="178">
        <f>'Q (t)'!P38</f>
        <v>0</v>
      </c>
      <c r="AH38" s="178">
        <f>'Q (t)'!Q38</f>
        <v>0</v>
      </c>
      <c r="AI38" s="179">
        <f>'Q (t)'!R38</f>
        <v>0</v>
      </c>
      <c r="AJ38" s="184">
        <f>'Q (t)'!S38</f>
        <v>0</v>
      </c>
      <c r="AK38" s="178">
        <f>'Q (t)'!T38</f>
        <v>0</v>
      </c>
      <c r="AL38" s="184">
        <f>'Q (t)'!U38</f>
        <v>0</v>
      </c>
      <c r="AM38" s="179">
        <f>'Q (t)'!V38</f>
        <v>0</v>
      </c>
      <c r="AO38" s="183">
        <f t="shared" si="2"/>
        <v>0</v>
      </c>
      <c r="AP38" s="184">
        <f t="shared" si="17"/>
        <v>0</v>
      </c>
      <c r="AQ38" s="178">
        <f t="shared" si="17"/>
        <v>0</v>
      </c>
      <c r="AR38" s="178">
        <f t="shared" si="17"/>
        <v>0</v>
      </c>
      <c r="AS38" s="179">
        <f t="shared" si="17"/>
        <v>0</v>
      </c>
      <c r="AT38" s="178">
        <f t="shared" si="17"/>
        <v>0</v>
      </c>
      <c r="AU38" s="178">
        <f t="shared" si="17"/>
        <v>0</v>
      </c>
      <c r="AV38" s="178">
        <f t="shared" si="17"/>
        <v>0</v>
      </c>
      <c r="AW38" s="179">
        <f t="shared" si="17"/>
        <v>0</v>
      </c>
      <c r="AX38" s="178">
        <f t="shared" si="1"/>
        <v>0</v>
      </c>
      <c r="AY38" s="178">
        <f t="shared" si="1"/>
        <v>0</v>
      </c>
      <c r="AZ38" s="179">
        <f t="shared" si="1"/>
        <v>0</v>
      </c>
      <c r="BA38" s="184">
        <f t="shared" si="1"/>
        <v>0</v>
      </c>
      <c r="BB38" s="178">
        <f t="shared" si="1"/>
        <v>0</v>
      </c>
      <c r="BC38" s="184">
        <f t="shared" si="1"/>
        <v>0</v>
      </c>
      <c r="BD38" s="178">
        <f t="shared" si="1"/>
        <v>0</v>
      </c>
      <c r="BE38" s="244">
        <f t="shared" si="3"/>
        <v>0</v>
      </c>
      <c r="BF38" s="245">
        <f t="shared" si="4"/>
        <v>0</v>
      </c>
      <c r="BH38" s="252">
        <f>SUBTOTAL(9,BH39:BH41)</f>
        <v>6307.7688159999998</v>
      </c>
      <c r="BI38" s="252">
        <f>SUBTOTAL(9,BI39:BI41)</f>
        <v>70246.01999999999</v>
      </c>
      <c r="BJ38" s="252">
        <f>SUBTOTAL(9,BJ39:BJ41)</f>
        <v>0</v>
      </c>
      <c r="BK38" s="252">
        <f>SUBTOTAL(9,BK39:BK41)</f>
        <v>3171.5136722000007</v>
      </c>
      <c r="BL38" s="252">
        <f>SUBTOTAL(9,BL39:BL41)</f>
        <v>0</v>
      </c>
      <c r="BM38" s="257">
        <f t="shared" si="5"/>
        <v>79725.302488199988</v>
      </c>
      <c r="BO38" s="714" t="str">
        <f t="shared" si="6"/>
        <v/>
      </c>
    </row>
    <row r="39" spans="2:67" ht="15" customHeight="1" x14ac:dyDescent="0.25">
      <c r="B39" s="156">
        <f>B37+1</f>
        <v>8</v>
      </c>
      <c r="C39" s="180" t="s">
        <v>76</v>
      </c>
      <c r="D39" s="181" t="str">
        <f>C39</f>
        <v>SBTOU</v>
      </c>
      <c r="E39" s="200" t="s">
        <v>77</v>
      </c>
      <c r="G39" s="477">
        <f>SUM('DUoS (t)'!G39,'TUoS (t)'!G39,'JSO (t)'!G39)</f>
        <v>0.56159999999999999</v>
      </c>
      <c r="H39" s="479">
        <f>SUM('DUoS (t)'!H39,'TUoS (t)'!H39,'JSO (t)'!H39)</f>
        <v>0</v>
      </c>
      <c r="I39" s="483">
        <f>SUM('DUoS (t)'!I39,'TUoS (t)'!I39,'JSO (t)'!I39)</f>
        <v>0.22519999999999998</v>
      </c>
      <c r="J39" s="483">
        <f>SUM('DUoS (t)'!J39,'TUoS (t)'!J39,'JSO (t)'!J39)</f>
        <v>0.15679999999999999</v>
      </c>
      <c r="K39" s="484">
        <f>SUM('DUoS (t)'!K39,'TUoS (t)'!K39,'JSO (t)'!K39)</f>
        <v>8.4599999999999995E-2</v>
      </c>
      <c r="L39" s="461">
        <f>SUM('DUoS (t)'!L39,'TUoS (t)'!L39,'JSO (t)'!L39)</f>
        <v>0</v>
      </c>
      <c r="M39" s="461">
        <f>SUM('DUoS (t)'!M39,'TUoS (t)'!M39,'JSO (t)'!M39)</f>
        <v>0</v>
      </c>
      <c r="N39" s="461">
        <f>SUM('DUoS (t)'!N39,'TUoS (t)'!N39,'JSO (t)'!N39)</f>
        <v>0</v>
      </c>
      <c r="O39" s="462">
        <f>SUM('DUoS (t)'!O39,'TUoS (t)'!O39,'JSO (t)'!O39)</f>
        <v>0</v>
      </c>
      <c r="P39" s="461">
        <f>SUM('DUoS (t)'!P39,'TUoS (t)'!P39,'JSO (t)'!P39)</f>
        <v>0</v>
      </c>
      <c r="Q39" s="461">
        <f>SUM('DUoS (t)'!Q39,'TUoS (t)'!Q39,'JSO (t)'!Q39)</f>
        <v>0</v>
      </c>
      <c r="R39" s="462">
        <f>SUM('DUoS (t)'!R39,'TUoS (t)'!R39,'JSO (t)'!R39)</f>
        <v>0</v>
      </c>
      <c r="S39" s="479">
        <f>SUM('DUoS (t)'!S39,'TUoS (t)'!S39,'JSO (t)'!S39)</f>
        <v>0</v>
      </c>
      <c r="T39" s="461">
        <f>SUM('DUoS (t)'!T39,'TUoS (t)'!T39,'JSO (t)'!T39)</f>
        <v>0</v>
      </c>
      <c r="U39" s="480">
        <f>SUM('DUoS (t)'!U39,'TUoS (t)'!U39,'JSO (t)'!U39)</f>
        <v>0</v>
      </c>
      <c r="V39" s="481">
        <f>SUM('DUoS (t)'!V39,'TUoS (t)'!V39,'JSO (t)'!V39)</f>
        <v>0</v>
      </c>
      <c r="X39" s="183">
        <f>'Q (t)'!G39</f>
        <v>8194980</v>
      </c>
      <c r="Y39" s="184">
        <f>'Q (t)'!H39</f>
        <v>0</v>
      </c>
      <c r="Z39" s="178">
        <f>'Q (t)'!I39</f>
        <v>32400</v>
      </c>
      <c r="AA39" s="178">
        <f>'Q (t)'!J39</f>
        <v>231500</v>
      </c>
      <c r="AB39" s="179">
        <f>'Q (t)'!K39</f>
        <v>204400</v>
      </c>
      <c r="AC39" s="178">
        <f>'Q (t)'!L39</f>
        <v>0</v>
      </c>
      <c r="AD39" s="178">
        <f>'Q (t)'!M39</f>
        <v>0</v>
      </c>
      <c r="AE39" s="178">
        <f>'Q (t)'!N39</f>
        <v>0</v>
      </c>
      <c r="AF39" s="179">
        <f>'Q (t)'!O39</f>
        <v>0</v>
      </c>
      <c r="AG39" s="178">
        <f>'Q (t)'!P39</f>
        <v>0</v>
      </c>
      <c r="AH39" s="178">
        <f>'Q (t)'!Q39</f>
        <v>0</v>
      </c>
      <c r="AI39" s="179">
        <f>'Q (t)'!R39</f>
        <v>0</v>
      </c>
      <c r="AJ39" s="184">
        <f>'Q (t)'!S39</f>
        <v>0</v>
      </c>
      <c r="AK39" s="178">
        <f>'Q (t)'!T39</f>
        <v>0</v>
      </c>
      <c r="AL39" s="184">
        <f>'Q (t)'!U39</f>
        <v>0</v>
      </c>
      <c r="AM39" s="179">
        <f>'Q (t)'!V39</f>
        <v>0</v>
      </c>
      <c r="AO39" s="183">
        <f t="shared" si="2"/>
        <v>4602.3007680000001</v>
      </c>
      <c r="AP39" s="184">
        <f t="shared" si="17"/>
        <v>0</v>
      </c>
      <c r="AQ39" s="178">
        <f t="shared" si="17"/>
        <v>7296.48</v>
      </c>
      <c r="AR39" s="178">
        <f t="shared" si="17"/>
        <v>36299.199999999997</v>
      </c>
      <c r="AS39" s="179">
        <f t="shared" si="17"/>
        <v>17292.239999999998</v>
      </c>
      <c r="AT39" s="178">
        <f t="shared" si="17"/>
        <v>0</v>
      </c>
      <c r="AU39" s="178">
        <f t="shared" si="17"/>
        <v>0</v>
      </c>
      <c r="AV39" s="178">
        <f t="shared" si="17"/>
        <v>0</v>
      </c>
      <c r="AW39" s="179">
        <f t="shared" si="17"/>
        <v>0</v>
      </c>
      <c r="AX39" s="178">
        <f t="shared" si="1"/>
        <v>0</v>
      </c>
      <c r="AY39" s="178">
        <f t="shared" si="1"/>
        <v>0</v>
      </c>
      <c r="AZ39" s="179">
        <f t="shared" si="1"/>
        <v>0</v>
      </c>
      <c r="BA39" s="184">
        <f t="shared" si="1"/>
        <v>0</v>
      </c>
      <c r="BB39" s="178">
        <f t="shared" si="1"/>
        <v>0</v>
      </c>
      <c r="BC39" s="184">
        <f t="shared" si="1"/>
        <v>0</v>
      </c>
      <c r="BD39" s="178">
        <f t="shared" si="1"/>
        <v>0</v>
      </c>
      <c r="BE39" s="244">
        <f t="shared" si="3"/>
        <v>22452</v>
      </c>
      <c r="BF39" s="245">
        <f t="shared" si="4"/>
        <v>468300</v>
      </c>
      <c r="BH39" s="255">
        <f>SUM(AO39)</f>
        <v>4602.3007680000001</v>
      </c>
      <c r="BI39" s="255">
        <f>SUM(AP39:AS39)</f>
        <v>60887.919999999991</v>
      </c>
      <c r="BJ39" s="255">
        <f>SUM(AT39:AW39)</f>
        <v>0</v>
      </c>
      <c r="BK39" s="256">
        <f>SUM(AX39:BB39)</f>
        <v>0</v>
      </c>
      <c r="BL39" s="262">
        <f>SUM(BC39:BD39)</f>
        <v>0</v>
      </c>
      <c r="BM39" s="257">
        <f t="shared" si="5"/>
        <v>65490.220767999992</v>
      </c>
      <c r="BO39" s="714">
        <f t="shared" si="6"/>
        <v>139.84672382660685</v>
      </c>
    </row>
    <row r="40" spans="2:67" ht="15" customHeight="1" x14ac:dyDescent="0.25">
      <c r="B40" s="156">
        <f t="shared" si="16"/>
        <v>9</v>
      </c>
      <c r="C40" s="180" t="s">
        <v>78</v>
      </c>
      <c r="D40" s="181" t="str">
        <f>C40</f>
        <v>SBTOUD</v>
      </c>
      <c r="E40" s="200" t="s">
        <v>79</v>
      </c>
      <c r="G40" s="477">
        <f>SUM('DUoS (t)'!G40,'TUoS (t)'!G40,'JSO (t)'!G40)</f>
        <v>0.56159999999999999</v>
      </c>
      <c r="H40" s="479">
        <f>SUM('DUoS (t)'!H40,'TUoS (t)'!H40,'JSO (t)'!H40)</f>
        <v>0</v>
      </c>
      <c r="I40" s="483">
        <f>SUM('DUoS (t)'!I40,'TUoS (t)'!I40,'JSO (t)'!I40)</f>
        <v>0.18019999999999997</v>
      </c>
      <c r="J40" s="483">
        <f>SUM('DUoS (t)'!J40,'TUoS (t)'!J40,'JSO (t)'!J40)</f>
        <v>0.12540000000000001</v>
      </c>
      <c r="K40" s="484">
        <f>SUM('DUoS (t)'!K40,'TUoS (t)'!K40,'JSO (t)'!K40)</f>
        <v>6.7599999999999993E-2</v>
      </c>
      <c r="L40" s="461">
        <f>SUM('DUoS (t)'!L40,'TUoS (t)'!L40,'JSO (t)'!L40)</f>
        <v>0</v>
      </c>
      <c r="M40" s="461">
        <f>SUM('DUoS (t)'!M40,'TUoS (t)'!M40,'JSO (t)'!M40)</f>
        <v>0</v>
      </c>
      <c r="N40" s="461">
        <f>SUM('DUoS (t)'!N40,'TUoS (t)'!N40,'JSO (t)'!N40)</f>
        <v>0</v>
      </c>
      <c r="O40" s="462">
        <f>SUM('DUoS (t)'!O40,'TUoS (t)'!O40,'JSO (t)'!O40)</f>
        <v>0</v>
      </c>
      <c r="P40" s="461">
        <f>SUM('DUoS (t)'!P40,'TUoS (t)'!P40,'JSO (t)'!P40)</f>
        <v>0</v>
      </c>
      <c r="Q40" s="461">
        <f>SUM('DUoS (t)'!Q40,'TUoS (t)'!Q40,'JSO (t)'!Q40)</f>
        <v>0</v>
      </c>
      <c r="R40" s="462">
        <f>SUM('DUoS (t)'!R40,'TUoS (t)'!R40,'JSO (t)'!R40)</f>
        <v>0</v>
      </c>
      <c r="S40" s="479">
        <f>SUM('DUoS (t)'!S40,'TUoS (t)'!S40,'JSO (t)'!S40)</f>
        <v>0</v>
      </c>
      <c r="T40" s="483">
        <f>SUM('DUoS (t)'!T40,'TUoS (t)'!T40,'JSO (t)'!T40)</f>
        <v>7.9200000000000007E-2</v>
      </c>
      <c r="U40" s="480">
        <f>SUM('DUoS (t)'!U40,'TUoS (t)'!U40,'JSO (t)'!U40)</f>
        <v>0</v>
      </c>
      <c r="V40" s="481">
        <f>SUM('DUoS (t)'!V40,'TUoS (t)'!V40,'JSO (t)'!V40)</f>
        <v>0</v>
      </c>
      <c r="X40" s="183">
        <f>'Q (t)'!G40</f>
        <v>568305</v>
      </c>
      <c r="Y40" s="184">
        <f>'Q (t)'!H40</f>
        <v>0</v>
      </c>
      <c r="Z40" s="178">
        <f>'Q (t)'!I40</f>
        <v>4700</v>
      </c>
      <c r="AA40" s="178">
        <f>'Q (t)'!J40</f>
        <v>40800</v>
      </c>
      <c r="AB40" s="179">
        <f>'Q (t)'!K40</f>
        <v>27600</v>
      </c>
      <c r="AC40" s="178">
        <f>'Q (t)'!L40</f>
        <v>0</v>
      </c>
      <c r="AD40" s="178">
        <f>'Q (t)'!M40</f>
        <v>0</v>
      </c>
      <c r="AE40" s="178">
        <f>'Q (t)'!N40</f>
        <v>0</v>
      </c>
      <c r="AF40" s="179">
        <f>'Q (t)'!O40</f>
        <v>0</v>
      </c>
      <c r="AG40" s="178">
        <f>'Q (t)'!P40</f>
        <v>0</v>
      </c>
      <c r="AH40" s="178">
        <f>'Q (t)'!Q40</f>
        <v>0</v>
      </c>
      <c r="AI40" s="179">
        <f>'Q (t)'!R40</f>
        <v>0</v>
      </c>
      <c r="AJ40" s="184">
        <f>'Q (t)'!S40</f>
        <v>0</v>
      </c>
      <c r="AK40" s="178">
        <f>'Q (t)'!T40</f>
        <v>27963015</v>
      </c>
      <c r="AL40" s="184">
        <f>'Q (t)'!U40</f>
        <v>0</v>
      </c>
      <c r="AM40" s="179">
        <f>'Q (t)'!V40</f>
        <v>0</v>
      </c>
      <c r="AO40" s="183">
        <f t="shared" si="2"/>
        <v>319.16008799999997</v>
      </c>
      <c r="AP40" s="184">
        <f t="shared" si="17"/>
        <v>0</v>
      </c>
      <c r="AQ40" s="178">
        <f t="shared" si="17"/>
        <v>846.93999999999983</v>
      </c>
      <c r="AR40" s="178">
        <f t="shared" si="17"/>
        <v>5116.3200000000006</v>
      </c>
      <c r="AS40" s="179">
        <f t="shared" si="17"/>
        <v>1865.7599999999998</v>
      </c>
      <c r="AT40" s="178">
        <f t="shared" si="17"/>
        <v>0</v>
      </c>
      <c r="AU40" s="178">
        <f t="shared" si="17"/>
        <v>0</v>
      </c>
      <c r="AV40" s="178">
        <f t="shared" si="17"/>
        <v>0</v>
      </c>
      <c r="AW40" s="179">
        <f t="shared" si="17"/>
        <v>0</v>
      </c>
      <c r="AX40" s="178">
        <f t="shared" si="1"/>
        <v>0</v>
      </c>
      <c r="AY40" s="178">
        <f t="shared" si="1"/>
        <v>0</v>
      </c>
      <c r="AZ40" s="179">
        <f t="shared" si="1"/>
        <v>0</v>
      </c>
      <c r="BA40" s="184">
        <f t="shared" si="1"/>
        <v>0</v>
      </c>
      <c r="BB40" s="178">
        <f t="shared" si="1"/>
        <v>2214.6707880000004</v>
      </c>
      <c r="BC40" s="184">
        <f t="shared" si="1"/>
        <v>0</v>
      </c>
      <c r="BD40" s="178">
        <f t="shared" si="1"/>
        <v>0</v>
      </c>
      <c r="BE40" s="244">
        <f t="shared" si="3"/>
        <v>1557</v>
      </c>
      <c r="BF40" s="245">
        <f t="shared" si="4"/>
        <v>73100</v>
      </c>
      <c r="BH40" s="255">
        <f>SUM(AO40)</f>
        <v>319.16008799999997</v>
      </c>
      <c r="BI40" s="255">
        <f>SUM(AP40:AS40)</f>
        <v>7829.02</v>
      </c>
      <c r="BJ40" s="255">
        <f>SUM(AT40:AW40)</f>
        <v>0</v>
      </c>
      <c r="BK40" s="256">
        <f>SUM(AX40:BB40)</f>
        <v>2214.6707880000004</v>
      </c>
      <c r="BL40" s="262">
        <f>SUM(BC40:BD40)</f>
        <v>0</v>
      </c>
      <c r="BM40" s="257">
        <f t="shared" si="5"/>
        <v>10362.850876</v>
      </c>
      <c r="BO40" s="714">
        <f t="shared" si="6"/>
        <v>141.76266588235293</v>
      </c>
    </row>
    <row r="41" spans="2:67" ht="15" customHeight="1" x14ac:dyDescent="0.25">
      <c r="B41" s="162">
        <f t="shared" si="16"/>
        <v>10</v>
      </c>
      <c r="C41" s="187" t="s">
        <v>80</v>
      </c>
      <c r="D41" s="188" t="str">
        <f>C41</f>
        <v>SBD</v>
      </c>
      <c r="E41" s="203" t="s">
        <v>81</v>
      </c>
      <c r="G41" s="485">
        <f>SUM('DUoS (t)'!G41,'TUoS (t)'!G41,'JSO (t)'!G41)</f>
        <v>5.5205000000000002</v>
      </c>
      <c r="H41" s="486">
        <f>SUM('DUoS (t)'!H41,'TUoS (t)'!H41,'JSO (t)'!H41)</f>
        <v>8.8899999999999993E-2</v>
      </c>
      <c r="I41" s="487">
        <f>SUM('DUoS (t)'!I41,'TUoS (t)'!I41,'JSO (t)'!I41)</f>
        <v>0</v>
      </c>
      <c r="J41" s="487">
        <f>SUM('DUoS (t)'!J41,'TUoS (t)'!J41,'JSO (t)'!J41)</f>
        <v>0</v>
      </c>
      <c r="K41" s="488">
        <f>SUM('DUoS (t)'!K41,'TUoS (t)'!K41,'JSO (t)'!K41)</f>
        <v>0</v>
      </c>
      <c r="L41" s="487">
        <f>SUM('DUoS (t)'!L41,'TUoS (t)'!L41,'JSO (t)'!L41)</f>
        <v>0</v>
      </c>
      <c r="M41" s="487">
        <f>SUM('DUoS (t)'!M41,'TUoS (t)'!M41,'JSO (t)'!M41)</f>
        <v>0</v>
      </c>
      <c r="N41" s="487">
        <f>SUM('DUoS (t)'!N41,'TUoS (t)'!N41,'JSO (t)'!N41)</f>
        <v>0</v>
      </c>
      <c r="O41" s="488">
        <f>SUM('DUoS (t)'!O41,'TUoS (t)'!O41,'JSO (t)'!O41)</f>
        <v>0</v>
      </c>
      <c r="P41" s="487">
        <f>SUM('DUoS (t)'!P41,'TUoS (t)'!P41,'JSO (t)'!P41)</f>
        <v>0</v>
      </c>
      <c r="Q41" s="489">
        <f>SUM('DUoS (t)'!Q41,'TUoS (t)'!Q41,'JSO (t)'!Q41)</f>
        <v>0.3962</v>
      </c>
      <c r="R41" s="490">
        <f>SUM('DUoS (t)'!R41,'TUoS (t)'!R41,'JSO (t)'!R41)</f>
        <v>0.19600000000000001</v>
      </c>
      <c r="S41" s="491">
        <f>SUM('DUoS (t)'!S41,'TUoS (t)'!S41,'JSO (t)'!S41)</f>
        <v>0</v>
      </c>
      <c r="T41" s="487">
        <f>SUM('DUoS (t)'!T41,'TUoS (t)'!T41,'JSO (t)'!T41)</f>
        <v>0</v>
      </c>
      <c r="U41" s="492">
        <f>SUM('DUoS (t)'!U41,'TUoS (t)'!U41,'JSO (t)'!U41)</f>
        <v>0</v>
      </c>
      <c r="V41" s="493">
        <f>SUM('DUoS (t)'!V41,'TUoS (t)'!V41,'JSO (t)'!V41)</f>
        <v>0</v>
      </c>
      <c r="X41" s="190">
        <f>'Q (t)'!G41</f>
        <v>251120</v>
      </c>
      <c r="Y41" s="197">
        <f>'Q (t)'!H41</f>
        <v>17200</v>
      </c>
      <c r="Z41" s="192">
        <f>'Q (t)'!I41</f>
        <v>0</v>
      </c>
      <c r="AA41" s="192">
        <f>'Q (t)'!J41</f>
        <v>0</v>
      </c>
      <c r="AB41" s="193">
        <f>'Q (t)'!K41</f>
        <v>0</v>
      </c>
      <c r="AC41" s="192">
        <f>'Q (t)'!L41</f>
        <v>0</v>
      </c>
      <c r="AD41" s="192">
        <f>'Q (t)'!M41</f>
        <v>0</v>
      </c>
      <c r="AE41" s="192">
        <f>'Q (t)'!N41</f>
        <v>0</v>
      </c>
      <c r="AF41" s="193">
        <f>'Q (t)'!O41</f>
        <v>0</v>
      </c>
      <c r="AG41" s="192">
        <f>'Q (t)'!P41</f>
        <v>0</v>
      </c>
      <c r="AH41" s="192">
        <f>'Q (t)'!Q41</f>
        <v>1070741</v>
      </c>
      <c r="AI41" s="193">
        <f>'Q (t)'!R41</f>
        <v>2717425</v>
      </c>
      <c r="AJ41" s="197">
        <f>'Q (t)'!S41</f>
        <v>0</v>
      </c>
      <c r="AK41" s="192">
        <f>'Q (t)'!T41</f>
        <v>0</v>
      </c>
      <c r="AL41" s="197">
        <f>'Q (t)'!U41</f>
        <v>0</v>
      </c>
      <c r="AM41" s="193">
        <f>'Q (t)'!V41</f>
        <v>0</v>
      </c>
      <c r="AO41" s="190">
        <f t="shared" si="2"/>
        <v>1386.3079599999999</v>
      </c>
      <c r="AP41" s="197">
        <f t="shared" si="17"/>
        <v>1529.08</v>
      </c>
      <c r="AQ41" s="192">
        <f t="shared" si="17"/>
        <v>0</v>
      </c>
      <c r="AR41" s="192">
        <f t="shared" si="17"/>
        <v>0</v>
      </c>
      <c r="AS41" s="193">
        <f t="shared" si="17"/>
        <v>0</v>
      </c>
      <c r="AT41" s="192">
        <f t="shared" si="17"/>
        <v>0</v>
      </c>
      <c r="AU41" s="192">
        <f t="shared" si="17"/>
        <v>0</v>
      </c>
      <c r="AV41" s="192">
        <f t="shared" si="17"/>
        <v>0</v>
      </c>
      <c r="AW41" s="193">
        <f t="shared" si="17"/>
        <v>0</v>
      </c>
      <c r="AX41" s="192">
        <f t="shared" si="1"/>
        <v>0</v>
      </c>
      <c r="AY41" s="192">
        <f t="shared" si="1"/>
        <v>424.22758419999997</v>
      </c>
      <c r="AZ41" s="193">
        <f t="shared" si="1"/>
        <v>532.61530000000005</v>
      </c>
      <c r="BA41" s="197">
        <f t="shared" si="1"/>
        <v>0</v>
      </c>
      <c r="BB41" s="192">
        <f t="shared" si="1"/>
        <v>0</v>
      </c>
      <c r="BC41" s="197">
        <f t="shared" si="1"/>
        <v>0</v>
      </c>
      <c r="BD41" s="192">
        <f t="shared" si="1"/>
        <v>0</v>
      </c>
      <c r="BE41" s="246">
        <f t="shared" si="3"/>
        <v>688</v>
      </c>
      <c r="BF41" s="247">
        <f t="shared" si="4"/>
        <v>17200</v>
      </c>
      <c r="BH41" s="255">
        <f>SUM(AO41)</f>
        <v>1386.3079599999999</v>
      </c>
      <c r="BI41" s="255">
        <f>SUM(AP41:AS41)</f>
        <v>1529.08</v>
      </c>
      <c r="BJ41" s="255">
        <f>SUM(AT41:AW41)</f>
        <v>0</v>
      </c>
      <c r="BK41" s="256">
        <f>SUM(AX41:BB41)</f>
        <v>956.84288420000007</v>
      </c>
      <c r="BL41" s="262">
        <f>SUM(BC41:BD41)</f>
        <v>0</v>
      </c>
      <c r="BM41" s="257">
        <f t="shared" si="5"/>
        <v>3872.2308442000003</v>
      </c>
      <c r="BO41" s="714">
        <f t="shared" si="6"/>
        <v>225.12970024418607</v>
      </c>
    </row>
    <row r="42" spans="2:67" ht="15" customHeight="1" x14ac:dyDescent="0.25">
      <c r="B42" s="30" t="s">
        <v>82</v>
      </c>
      <c r="C42" s="14" t="s">
        <v>83</v>
      </c>
      <c r="D42" s="14"/>
      <c r="E42" s="99"/>
      <c r="G42" s="494">
        <f>SUM('DUoS (t)'!G42,'TUoS (t)'!G42,'JSO (t)'!G42)</f>
        <v>0</v>
      </c>
      <c r="H42" s="495">
        <f>SUM('DUoS (t)'!H42,'TUoS (t)'!H42,'JSO (t)'!H42)</f>
        <v>0</v>
      </c>
      <c r="I42" s="496">
        <f>SUM('DUoS (t)'!I42,'TUoS (t)'!I42,'JSO (t)'!I42)</f>
        <v>0</v>
      </c>
      <c r="J42" s="496">
        <f>SUM('DUoS (t)'!J42,'TUoS (t)'!J42,'JSO (t)'!J42)</f>
        <v>0</v>
      </c>
      <c r="K42" s="497">
        <f>SUM('DUoS (t)'!K42,'TUoS (t)'!K42,'JSO (t)'!K42)</f>
        <v>0</v>
      </c>
      <c r="L42" s="496">
        <f>SUM('DUoS (t)'!L42,'TUoS (t)'!L42,'JSO (t)'!L42)</f>
        <v>0</v>
      </c>
      <c r="M42" s="496">
        <f>SUM('DUoS (t)'!M42,'TUoS (t)'!M42,'JSO (t)'!M42)</f>
        <v>0</v>
      </c>
      <c r="N42" s="496">
        <f>SUM('DUoS (t)'!N42,'TUoS (t)'!N42,'JSO (t)'!N42)</f>
        <v>0</v>
      </c>
      <c r="O42" s="497">
        <f>SUM('DUoS (t)'!O42,'TUoS (t)'!O42,'JSO (t)'!O42)</f>
        <v>0</v>
      </c>
      <c r="P42" s="496">
        <f>SUM('DUoS (t)'!P42,'TUoS (t)'!P42,'JSO (t)'!P42)</f>
        <v>0</v>
      </c>
      <c r="Q42" s="496">
        <f>SUM('DUoS (t)'!Q42,'TUoS (t)'!Q42,'JSO (t)'!Q42)</f>
        <v>0</v>
      </c>
      <c r="R42" s="497">
        <f>SUM('DUoS (t)'!R42,'TUoS (t)'!R42,'JSO (t)'!R42)</f>
        <v>0</v>
      </c>
      <c r="S42" s="495">
        <f>SUM('DUoS (t)'!S42,'TUoS (t)'!S42,'JSO (t)'!S42)</f>
        <v>0</v>
      </c>
      <c r="T42" s="496">
        <f>SUM('DUoS (t)'!T42,'TUoS (t)'!T42,'JSO (t)'!T42)</f>
        <v>0</v>
      </c>
      <c r="U42" s="495">
        <f>SUM('DUoS (t)'!U42,'TUoS (t)'!U42,'JSO (t)'!U42)</f>
        <v>0</v>
      </c>
      <c r="V42" s="497">
        <f>SUM('DUoS (t)'!V42,'TUoS (t)'!V42,'JSO (t)'!V42)</f>
        <v>0</v>
      </c>
      <c r="X42" s="205">
        <f>'Q (t)'!G42</f>
        <v>0</v>
      </c>
      <c r="Y42" s="206">
        <f>'Q (t)'!H42</f>
        <v>0</v>
      </c>
      <c r="Z42" s="207">
        <f>'Q (t)'!I42</f>
        <v>0</v>
      </c>
      <c r="AA42" s="207">
        <f>'Q (t)'!J42</f>
        <v>0</v>
      </c>
      <c r="AB42" s="208">
        <f>'Q (t)'!K42</f>
        <v>0</v>
      </c>
      <c r="AC42" s="207">
        <f>'Q (t)'!L42</f>
        <v>0</v>
      </c>
      <c r="AD42" s="207">
        <f>'Q (t)'!M42</f>
        <v>0</v>
      </c>
      <c r="AE42" s="207">
        <f>'Q (t)'!N42</f>
        <v>0</v>
      </c>
      <c r="AF42" s="208">
        <f>'Q (t)'!O42</f>
        <v>0</v>
      </c>
      <c r="AG42" s="207">
        <f>'Q (t)'!P42</f>
        <v>0</v>
      </c>
      <c r="AH42" s="207">
        <f>'Q (t)'!Q42</f>
        <v>0</v>
      </c>
      <c r="AI42" s="208">
        <f>'Q (t)'!R42</f>
        <v>0</v>
      </c>
      <c r="AJ42" s="206">
        <f>'Q (t)'!S42</f>
        <v>0</v>
      </c>
      <c r="AK42" s="207">
        <f>'Q (t)'!T42</f>
        <v>0</v>
      </c>
      <c r="AL42" s="206">
        <f>'Q (t)'!U42</f>
        <v>0</v>
      </c>
      <c r="AM42" s="208">
        <f>'Q (t)'!V42</f>
        <v>0</v>
      </c>
      <c r="AO42" s="205">
        <f t="shared" si="2"/>
        <v>0</v>
      </c>
      <c r="AP42" s="206">
        <f t="shared" si="17"/>
        <v>0</v>
      </c>
      <c r="AQ42" s="207">
        <f t="shared" si="17"/>
        <v>0</v>
      </c>
      <c r="AR42" s="207">
        <f t="shared" si="17"/>
        <v>0</v>
      </c>
      <c r="AS42" s="208">
        <f t="shared" si="17"/>
        <v>0</v>
      </c>
      <c r="AT42" s="207">
        <f t="shared" si="17"/>
        <v>0</v>
      </c>
      <c r="AU42" s="207">
        <f t="shared" si="17"/>
        <v>0</v>
      </c>
      <c r="AV42" s="207">
        <f t="shared" si="17"/>
        <v>0</v>
      </c>
      <c r="AW42" s="208">
        <f t="shared" si="17"/>
        <v>0</v>
      </c>
      <c r="AX42" s="207">
        <f t="shared" si="1"/>
        <v>0</v>
      </c>
      <c r="AY42" s="207">
        <f t="shared" si="1"/>
        <v>0</v>
      </c>
      <c r="AZ42" s="208">
        <f t="shared" si="1"/>
        <v>0</v>
      </c>
      <c r="BA42" s="206">
        <f t="shared" si="1"/>
        <v>0</v>
      </c>
      <c r="BB42" s="207">
        <f t="shared" si="1"/>
        <v>0</v>
      </c>
      <c r="BC42" s="206">
        <f t="shared" si="1"/>
        <v>0</v>
      </c>
      <c r="BD42" s="207">
        <f t="shared" si="1"/>
        <v>0</v>
      </c>
      <c r="BE42" s="242">
        <f t="shared" si="3"/>
        <v>0</v>
      </c>
      <c r="BF42" s="243">
        <f t="shared" si="4"/>
        <v>0</v>
      </c>
      <c r="BH42" s="253">
        <f>SUBTOTAL(9,BH43:BH69)</f>
        <v>14201.704554000002</v>
      </c>
      <c r="BI42" s="253">
        <f>SUBTOTAL(9,BI43:BI69)</f>
        <v>145724.59620000006</v>
      </c>
      <c r="BJ42" s="253">
        <f>SUBTOTAL(9,BJ43:BJ69)</f>
        <v>0</v>
      </c>
      <c r="BK42" s="253">
        <f>SUBTOTAL(9,BK43:BK69)</f>
        <v>99138.692191499998</v>
      </c>
      <c r="BL42" s="253">
        <f>SUBTOTAL(9,BL43:BL69)</f>
        <v>0</v>
      </c>
      <c r="BM42" s="257">
        <f t="shared" si="5"/>
        <v>259064.99294550007</v>
      </c>
      <c r="BO42" s="714" t="str">
        <f t="shared" si="6"/>
        <v/>
      </c>
    </row>
    <row r="43" spans="2:67" ht="15" customHeight="1" x14ac:dyDescent="0.25">
      <c r="B43" s="19"/>
      <c r="C43" s="36" t="s">
        <v>84</v>
      </c>
      <c r="D43" s="37"/>
      <c r="E43" s="85"/>
      <c r="G43" s="482">
        <f>SUM('DUoS (t)'!G43,'TUoS (t)'!G43,'JSO (t)'!G43)</f>
        <v>0</v>
      </c>
      <c r="H43" s="479">
        <f>SUM('DUoS (t)'!H43,'TUoS (t)'!H43,'JSO (t)'!H43)</f>
        <v>0</v>
      </c>
      <c r="I43" s="461">
        <f>SUM('DUoS (t)'!I43,'TUoS (t)'!I43,'JSO (t)'!I43)</f>
        <v>0</v>
      </c>
      <c r="J43" s="461">
        <f>SUM('DUoS (t)'!J43,'TUoS (t)'!J43,'JSO (t)'!J43)</f>
        <v>0</v>
      </c>
      <c r="K43" s="462">
        <f>SUM('DUoS (t)'!K43,'TUoS (t)'!K43,'JSO (t)'!K43)</f>
        <v>0</v>
      </c>
      <c r="L43" s="461">
        <f>SUM('DUoS (t)'!L43,'TUoS (t)'!L43,'JSO (t)'!L43)</f>
        <v>0</v>
      </c>
      <c r="M43" s="461">
        <f>SUM('DUoS (t)'!M43,'TUoS (t)'!M43,'JSO (t)'!M43)</f>
        <v>0</v>
      </c>
      <c r="N43" s="461">
        <f>SUM('DUoS (t)'!N43,'TUoS (t)'!N43,'JSO (t)'!N43)</f>
        <v>0</v>
      </c>
      <c r="O43" s="462">
        <f>SUM('DUoS (t)'!O43,'TUoS (t)'!O43,'JSO (t)'!O43)</f>
        <v>0</v>
      </c>
      <c r="P43" s="461">
        <f>SUM('DUoS (t)'!P43,'TUoS (t)'!P43,'JSO (t)'!P43)</f>
        <v>0</v>
      </c>
      <c r="Q43" s="461">
        <f>SUM('DUoS (t)'!Q43,'TUoS (t)'!Q43,'JSO (t)'!Q43)</f>
        <v>0</v>
      </c>
      <c r="R43" s="462">
        <f>SUM('DUoS (t)'!R43,'TUoS (t)'!R43,'JSO (t)'!R43)</f>
        <v>0</v>
      </c>
      <c r="S43" s="479">
        <f>SUM('DUoS (t)'!S43,'TUoS (t)'!S43,'JSO (t)'!S43)</f>
        <v>0</v>
      </c>
      <c r="T43" s="461">
        <f>SUM('DUoS (t)'!T43,'TUoS (t)'!T43,'JSO (t)'!T43)</f>
        <v>0</v>
      </c>
      <c r="U43" s="479">
        <f>SUM('DUoS (t)'!U43,'TUoS (t)'!U43,'JSO (t)'!U43)</f>
        <v>0</v>
      </c>
      <c r="V43" s="462">
        <f>SUM('DUoS (t)'!V43,'TUoS (t)'!V43,'JSO (t)'!V43)</f>
        <v>0</v>
      </c>
      <c r="X43" s="183">
        <f>'Q (t)'!G43</f>
        <v>0</v>
      </c>
      <c r="Y43" s="184">
        <f>'Q (t)'!H43</f>
        <v>0</v>
      </c>
      <c r="Z43" s="178">
        <f>'Q (t)'!I43</f>
        <v>0</v>
      </c>
      <c r="AA43" s="178">
        <f>'Q (t)'!J43</f>
        <v>0</v>
      </c>
      <c r="AB43" s="179">
        <f>'Q (t)'!K43</f>
        <v>0</v>
      </c>
      <c r="AC43" s="178">
        <f>'Q (t)'!L43</f>
        <v>0</v>
      </c>
      <c r="AD43" s="178">
        <f>'Q (t)'!M43</f>
        <v>0</v>
      </c>
      <c r="AE43" s="178">
        <f>'Q (t)'!N43</f>
        <v>0</v>
      </c>
      <c r="AF43" s="179">
        <f>'Q (t)'!O43</f>
        <v>0</v>
      </c>
      <c r="AG43" s="178">
        <f>'Q (t)'!P43</f>
        <v>0</v>
      </c>
      <c r="AH43" s="178">
        <f>'Q (t)'!Q43</f>
        <v>0</v>
      </c>
      <c r="AI43" s="179">
        <f>'Q (t)'!R43</f>
        <v>0</v>
      </c>
      <c r="AJ43" s="184">
        <f>'Q (t)'!S43</f>
        <v>0</v>
      </c>
      <c r="AK43" s="178">
        <f>'Q (t)'!T43</f>
        <v>0</v>
      </c>
      <c r="AL43" s="184">
        <f>'Q (t)'!U43</f>
        <v>0</v>
      </c>
      <c r="AM43" s="179">
        <f>'Q (t)'!V43</f>
        <v>0</v>
      </c>
      <c r="AO43" s="183">
        <f t="shared" si="2"/>
        <v>0</v>
      </c>
      <c r="AP43" s="184">
        <f t="shared" si="17"/>
        <v>0</v>
      </c>
      <c r="AQ43" s="178">
        <f t="shared" si="17"/>
        <v>0</v>
      </c>
      <c r="AR43" s="178">
        <f t="shared" si="17"/>
        <v>0</v>
      </c>
      <c r="AS43" s="179">
        <f t="shared" si="17"/>
        <v>0</v>
      </c>
      <c r="AT43" s="178">
        <f t="shared" si="17"/>
        <v>0</v>
      </c>
      <c r="AU43" s="178">
        <f t="shared" si="17"/>
        <v>0</v>
      </c>
      <c r="AV43" s="178">
        <f t="shared" si="17"/>
        <v>0</v>
      </c>
      <c r="AW43" s="179">
        <f t="shared" si="17"/>
        <v>0</v>
      </c>
      <c r="AX43" s="178">
        <f t="shared" si="1"/>
        <v>0</v>
      </c>
      <c r="AY43" s="178">
        <f t="shared" si="1"/>
        <v>0</v>
      </c>
      <c r="AZ43" s="179">
        <f t="shared" si="1"/>
        <v>0</v>
      </c>
      <c r="BA43" s="184">
        <f t="shared" si="1"/>
        <v>0</v>
      </c>
      <c r="BB43" s="178">
        <f t="shared" si="1"/>
        <v>0</v>
      </c>
      <c r="BC43" s="184">
        <f t="shared" si="1"/>
        <v>0</v>
      </c>
      <c r="BD43" s="178">
        <f t="shared" si="1"/>
        <v>0</v>
      </c>
      <c r="BE43" s="244">
        <f t="shared" si="3"/>
        <v>0</v>
      </c>
      <c r="BF43" s="245">
        <f t="shared" si="4"/>
        <v>0</v>
      </c>
      <c r="BH43" s="252">
        <f>SUBTOTAL(9,BH44:BH47)</f>
        <v>0</v>
      </c>
      <c r="BI43" s="252">
        <f>SUBTOTAL(9,BI44:BI47)</f>
        <v>0</v>
      </c>
      <c r="BJ43" s="252">
        <f>SUBTOTAL(9,BJ44:BJ47)</f>
        <v>0</v>
      </c>
      <c r="BK43" s="252">
        <f>SUBTOTAL(9,BK44:BK47)</f>
        <v>0</v>
      </c>
      <c r="BL43" s="252">
        <f>SUBTOTAL(9,BL44:BL47)</f>
        <v>0</v>
      </c>
      <c r="BM43" s="257">
        <f t="shared" si="5"/>
        <v>0</v>
      </c>
      <c r="BO43" s="714" t="str">
        <f t="shared" si="6"/>
        <v/>
      </c>
    </row>
    <row r="44" spans="2:67" ht="15" customHeight="1" x14ac:dyDescent="0.25">
      <c r="B44" s="19">
        <f t="shared" ref="B44:B53" si="18">B43+1</f>
        <v>1</v>
      </c>
      <c r="C44" s="44" t="s">
        <v>85</v>
      </c>
      <c r="D44" s="45" t="str">
        <f>C44</f>
        <v>LBSR</v>
      </c>
      <c r="E44" s="76" t="s">
        <v>86</v>
      </c>
      <c r="G44" s="477">
        <f>SUM('DUoS (t)'!G44,'TUoS (t)'!G44,'JSO (t)'!G44)</f>
        <v>0.56159999999999999</v>
      </c>
      <c r="H44" s="478">
        <f>SUM('DUoS (t)'!H44,'TUoS (t)'!H44,'JSO (t)'!H44)</f>
        <v>0.18009999999999998</v>
      </c>
      <c r="I44" s="461">
        <f>SUM('DUoS (t)'!I44,'TUoS (t)'!I44,'JSO (t)'!I44)</f>
        <v>0</v>
      </c>
      <c r="J44" s="461">
        <f>SUM('DUoS (t)'!J44,'TUoS (t)'!J44,'JSO (t)'!J44)</f>
        <v>0</v>
      </c>
      <c r="K44" s="462">
        <f>SUM('DUoS (t)'!K44,'TUoS (t)'!K44,'JSO (t)'!K44)</f>
        <v>0</v>
      </c>
      <c r="L44" s="461">
        <f>SUM('DUoS (t)'!L44,'TUoS (t)'!L44,'JSO (t)'!L44)</f>
        <v>0</v>
      </c>
      <c r="M44" s="461">
        <f>SUM('DUoS (t)'!M44,'TUoS (t)'!M44,'JSO (t)'!M44)</f>
        <v>0</v>
      </c>
      <c r="N44" s="461">
        <f>SUM('DUoS (t)'!N44,'TUoS (t)'!N44,'JSO (t)'!N44)</f>
        <v>0</v>
      </c>
      <c r="O44" s="462">
        <f>SUM('DUoS (t)'!O44,'TUoS (t)'!O44,'JSO (t)'!O44)</f>
        <v>0</v>
      </c>
      <c r="P44" s="461">
        <f>SUM('DUoS (t)'!P44,'TUoS (t)'!P44,'JSO (t)'!P44)</f>
        <v>0</v>
      </c>
      <c r="Q44" s="461">
        <f>SUM('DUoS (t)'!Q44,'TUoS (t)'!Q44,'JSO (t)'!Q44)</f>
        <v>0</v>
      </c>
      <c r="R44" s="462">
        <f>SUM('DUoS (t)'!R44,'TUoS (t)'!R44,'JSO (t)'!R44)</f>
        <v>0</v>
      </c>
      <c r="S44" s="479">
        <f>SUM('DUoS (t)'!S44,'TUoS (t)'!S44,'JSO (t)'!S44)</f>
        <v>0</v>
      </c>
      <c r="T44" s="461">
        <f>SUM('DUoS (t)'!T44,'TUoS (t)'!T44,'JSO (t)'!T44)</f>
        <v>0</v>
      </c>
      <c r="U44" s="480">
        <f>SUM('DUoS (t)'!U44,'TUoS (t)'!U44,'JSO (t)'!U44)</f>
        <v>0</v>
      </c>
      <c r="V44" s="481">
        <f>SUM('DUoS (t)'!V44,'TUoS (t)'!V44,'JSO (t)'!V44)</f>
        <v>0</v>
      </c>
      <c r="X44" s="183">
        <f>'Q (t)'!G44</f>
        <v>0</v>
      </c>
      <c r="Y44" s="184">
        <f>'Q (t)'!H44</f>
        <v>0</v>
      </c>
      <c r="Z44" s="178">
        <f>'Q (t)'!I44</f>
        <v>0</v>
      </c>
      <c r="AA44" s="178">
        <f>'Q (t)'!J44</f>
        <v>0</v>
      </c>
      <c r="AB44" s="179">
        <f>'Q (t)'!K44</f>
        <v>0</v>
      </c>
      <c r="AC44" s="178">
        <f>'Q (t)'!L44</f>
        <v>0</v>
      </c>
      <c r="AD44" s="178">
        <f>'Q (t)'!M44</f>
        <v>0</v>
      </c>
      <c r="AE44" s="178">
        <f>'Q (t)'!N44</f>
        <v>0</v>
      </c>
      <c r="AF44" s="179">
        <f>'Q (t)'!O44</f>
        <v>0</v>
      </c>
      <c r="AG44" s="178">
        <f>'Q (t)'!P44</f>
        <v>0</v>
      </c>
      <c r="AH44" s="178">
        <f>'Q (t)'!Q44</f>
        <v>0</v>
      </c>
      <c r="AI44" s="179">
        <f>'Q (t)'!R44</f>
        <v>0</v>
      </c>
      <c r="AJ44" s="184">
        <f>'Q (t)'!S44</f>
        <v>0</v>
      </c>
      <c r="AK44" s="178">
        <f>'Q (t)'!T44</f>
        <v>0</v>
      </c>
      <c r="AL44" s="184">
        <f>'Q (t)'!U44</f>
        <v>0</v>
      </c>
      <c r="AM44" s="179">
        <f>'Q (t)'!V44</f>
        <v>0</v>
      </c>
      <c r="AO44" s="183">
        <f t="shared" si="2"/>
        <v>0</v>
      </c>
      <c r="AP44" s="184">
        <f t="shared" si="17"/>
        <v>0</v>
      </c>
      <c r="AQ44" s="178">
        <f t="shared" si="17"/>
        <v>0</v>
      </c>
      <c r="AR44" s="178">
        <f t="shared" si="17"/>
        <v>0</v>
      </c>
      <c r="AS44" s="179">
        <f t="shared" si="17"/>
        <v>0</v>
      </c>
      <c r="AT44" s="178">
        <f t="shared" si="17"/>
        <v>0</v>
      </c>
      <c r="AU44" s="178">
        <f t="shared" si="17"/>
        <v>0</v>
      </c>
      <c r="AV44" s="178">
        <f t="shared" si="17"/>
        <v>0</v>
      </c>
      <c r="AW44" s="179">
        <f t="shared" si="17"/>
        <v>0</v>
      </c>
      <c r="AX44" s="178">
        <f t="shared" si="1"/>
        <v>0</v>
      </c>
      <c r="AY44" s="178">
        <f t="shared" si="1"/>
        <v>0</v>
      </c>
      <c r="AZ44" s="179">
        <f t="shared" si="1"/>
        <v>0</v>
      </c>
      <c r="BA44" s="184">
        <f t="shared" si="1"/>
        <v>0</v>
      </c>
      <c r="BB44" s="178">
        <f t="shared" si="1"/>
        <v>0</v>
      </c>
      <c r="BC44" s="184">
        <f t="shared" si="1"/>
        <v>0</v>
      </c>
      <c r="BD44" s="178">
        <f t="shared" si="1"/>
        <v>0</v>
      </c>
      <c r="BE44" s="244">
        <f t="shared" si="3"/>
        <v>0</v>
      </c>
      <c r="BF44" s="245">
        <f t="shared" si="4"/>
        <v>0</v>
      </c>
      <c r="BH44" s="255">
        <f>SUM(AO44)</f>
        <v>0</v>
      </c>
      <c r="BI44" s="255">
        <f>SUM(AP44:AS44)</f>
        <v>0</v>
      </c>
      <c r="BJ44" s="255">
        <f>SUM(AT44:AW44)</f>
        <v>0</v>
      </c>
      <c r="BK44" s="256">
        <f>SUM(AX44:BB44)</f>
        <v>0</v>
      </c>
      <c r="BL44" s="262">
        <f>SUM(BC44:BD44)</f>
        <v>0</v>
      </c>
      <c r="BM44" s="257">
        <f t="shared" si="5"/>
        <v>0</v>
      </c>
      <c r="BO44" s="714" t="str">
        <f t="shared" si="6"/>
        <v/>
      </c>
    </row>
    <row r="45" spans="2:67" ht="15" customHeight="1" x14ac:dyDescent="0.25">
      <c r="B45" s="19">
        <f t="shared" si="18"/>
        <v>2</v>
      </c>
      <c r="C45" s="44" t="s">
        <v>87</v>
      </c>
      <c r="D45" s="45" t="str">
        <f>C45</f>
        <v>LBSRCL</v>
      </c>
      <c r="E45" s="76" t="s">
        <v>88</v>
      </c>
      <c r="G45" s="477">
        <f>SUM('DUoS (t)'!G45,'TUoS (t)'!G45,'JSO (t)'!G45)</f>
        <v>0.56159999999999999</v>
      </c>
      <c r="H45" s="478">
        <f>SUM('DUoS (t)'!H45,'TUoS (t)'!H45,'JSO (t)'!H45)</f>
        <v>0.18009999999999998</v>
      </c>
      <c r="I45" s="461">
        <f>SUM('DUoS (t)'!I45,'TUoS (t)'!I45,'JSO (t)'!I45)</f>
        <v>0</v>
      </c>
      <c r="J45" s="461">
        <f>SUM('DUoS (t)'!J45,'TUoS (t)'!J45,'JSO (t)'!J45)</f>
        <v>0</v>
      </c>
      <c r="K45" s="462">
        <f>SUM('DUoS (t)'!K45,'TUoS (t)'!K45,'JSO (t)'!K45)</f>
        <v>0</v>
      </c>
      <c r="L45" s="483">
        <f>SUM('DUoS (t)'!L45,'TUoS (t)'!L45,'JSO (t)'!L45)</f>
        <v>6.7499999999999991E-2</v>
      </c>
      <c r="M45" s="461">
        <f>SUM('DUoS (t)'!M45,'TUoS (t)'!M45,'JSO (t)'!M45)</f>
        <v>0</v>
      </c>
      <c r="N45" s="461">
        <f>SUM('DUoS (t)'!N45,'TUoS (t)'!N45,'JSO (t)'!N45)</f>
        <v>0</v>
      </c>
      <c r="O45" s="462">
        <f>SUM('DUoS (t)'!O45,'TUoS (t)'!O45,'JSO (t)'!O45)</f>
        <v>0</v>
      </c>
      <c r="P45" s="461">
        <f>SUM('DUoS (t)'!P45,'TUoS (t)'!P45,'JSO (t)'!P45)</f>
        <v>0</v>
      </c>
      <c r="Q45" s="461">
        <f>SUM('DUoS (t)'!Q45,'TUoS (t)'!Q45,'JSO (t)'!Q45)</f>
        <v>0</v>
      </c>
      <c r="R45" s="462">
        <f>SUM('DUoS (t)'!R45,'TUoS (t)'!R45,'JSO (t)'!R45)</f>
        <v>0</v>
      </c>
      <c r="S45" s="479">
        <f>SUM('DUoS (t)'!S45,'TUoS (t)'!S45,'JSO (t)'!S45)</f>
        <v>0</v>
      </c>
      <c r="T45" s="461">
        <f>SUM('DUoS (t)'!T45,'TUoS (t)'!T45,'JSO (t)'!T45)</f>
        <v>0</v>
      </c>
      <c r="U45" s="480">
        <f>SUM('DUoS (t)'!U45,'TUoS (t)'!U45,'JSO (t)'!U45)</f>
        <v>0</v>
      </c>
      <c r="V45" s="481">
        <f>SUM('DUoS (t)'!V45,'TUoS (t)'!V45,'JSO (t)'!V45)</f>
        <v>0</v>
      </c>
      <c r="X45" s="183">
        <f>'Q (t)'!G45</f>
        <v>0</v>
      </c>
      <c r="Y45" s="184">
        <f>'Q (t)'!H45</f>
        <v>0</v>
      </c>
      <c r="Z45" s="178">
        <f>'Q (t)'!I45</f>
        <v>0</v>
      </c>
      <c r="AA45" s="178">
        <f>'Q (t)'!J45</f>
        <v>0</v>
      </c>
      <c r="AB45" s="179">
        <f>'Q (t)'!K45</f>
        <v>0</v>
      </c>
      <c r="AC45" s="178">
        <f>'Q (t)'!L45</f>
        <v>0</v>
      </c>
      <c r="AD45" s="178">
        <f>'Q (t)'!M45</f>
        <v>0</v>
      </c>
      <c r="AE45" s="178">
        <f>'Q (t)'!N45</f>
        <v>0</v>
      </c>
      <c r="AF45" s="179">
        <f>'Q (t)'!O45</f>
        <v>0</v>
      </c>
      <c r="AG45" s="178">
        <f>'Q (t)'!P45</f>
        <v>0</v>
      </c>
      <c r="AH45" s="178">
        <f>'Q (t)'!Q45</f>
        <v>0</v>
      </c>
      <c r="AI45" s="179">
        <f>'Q (t)'!R45</f>
        <v>0</v>
      </c>
      <c r="AJ45" s="184">
        <f>'Q (t)'!S45</f>
        <v>0</v>
      </c>
      <c r="AK45" s="178">
        <f>'Q (t)'!T45</f>
        <v>0</v>
      </c>
      <c r="AL45" s="184">
        <f>'Q (t)'!U45</f>
        <v>0</v>
      </c>
      <c r="AM45" s="179">
        <f>'Q (t)'!V45</f>
        <v>0</v>
      </c>
      <c r="AO45" s="183">
        <f t="shared" si="2"/>
        <v>0</v>
      </c>
      <c r="AP45" s="184">
        <f t="shared" si="17"/>
        <v>0</v>
      </c>
      <c r="AQ45" s="178">
        <f t="shared" si="17"/>
        <v>0</v>
      </c>
      <c r="AR45" s="178">
        <f t="shared" si="17"/>
        <v>0</v>
      </c>
      <c r="AS45" s="179">
        <f t="shared" si="17"/>
        <v>0</v>
      </c>
      <c r="AT45" s="178">
        <f t="shared" si="17"/>
        <v>0</v>
      </c>
      <c r="AU45" s="178">
        <f t="shared" si="17"/>
        <v>0</v>
      </c>
      <c r="AV45" s="178">
        <f t="shared" si="17"/>
        <v>0</v>
      </c>
      <c r="AW45" s="179">
        <f t="shared" si="17"/>
        <v>0</v>
      </c>
      <c r="AX45" s="178">
        <f t="shared" si="1"/>
        <v>0</v>
      </c>
      <c r="AY45" s="178">
        <f t="shared" si="1"/>
        <v>0</v>
      </c>
      <c r="AZ45" s="179">
        <f t="shared" si="1"/>
        <v>0</v>
      </c>
      <c r="BA45" s="184">
        <f t="shared" si="1"/>
        <v>0</v>
      </c>
      <c r="BB45" s="178">
        <f t="shared" si="1"/>
        <v>0</v>
      </c>
      <c r="BC45" s="184">
        <f t="shared" si="1"/>
        <v>0</v>
      </c>
      <c r="BD45" s="178">
        <f t="shared" si="1"/>
        <v>0</v>
      </c>
      <c r="BE45" s="244">
        <f t="shared" si="3"/>
        <v>0</v>
      </c>
      <c r="BF45" s="245">
        <f t="shared" si="4"/>
        <v>0</v>
      </c>
      <c r="BH45" s="255">
        <f>SUM(AO45)</f>
        <v>0</v>
      </c>
      <c r="BI45" s="255">
        <f>SUM(AP45:AS45)</f>
        <v>0</v>
      </c>
      <c r="BJ45" s="255">
        <f>SUM(AT45:AW45)</f>
        <v>0</v>
      </c>
      <c r="BK45" s="256">
        <f>SUM(AX45:BB45)</f>
        <v>0</v>
      </c>
      <c r="BL45" s="262">
        <f>SUM(BC45:BD45)</f>
        <v>0</v>
      </c>
      <c r="BM45" s="257">
        <f t="shared" si="5"/>
        <v>0</v>
      </c>
      <c r="BO45" s="714" t="str">
        <f t="shared" si="6"/>
        <v/>
      </c>
    </row>
    <row r="46" spans="2:67" ht="15" customHeight="1" x14ac:dyDescent="0.25">
      <c r="B46" s="19">
        <f t="shared" si="18"/>
        <v>3</v>
      </c>
      <c r="C46" s="44" t="s">
        <v>89</v>
      </c>
      <c r="D46" s="45" t="str">
        <f>C46</f>
        <v>LB2R</v>
      </c>
      <c r="E46" s="76" t="s">
        <v>90</v>
      </c>
      <c r="G46" s="477">
        <f>SUM('DUoS (t)'!G46,'TUoS (t)'!G46,'JSO (t)'!G46)</f>
        <v>0.56159999999999999</v>
      </c>
      <c r="H46" s="479">
        <f>SUM('DUoS (t)'!H46,'TUoS (t)'!H46,'JSO (t)'!H46)</f>
        <v>0</v>
      </c>
      <c r="I46" s="483">
        <f>SUM('DUoS (t)'!I46,'TUoS (t)'!I46,'JSO (t)'!I46)</f>
        <v>0.20310000000000003</v>
      </c>
      <c r="J46" s="461">
        <f>SUM('DUoS (t)'!J46,'TUoS (t)'!J46,'JSO (t)'!J46)</f>
        <v>0</v>
      </c>
      <c r="K46" s="484">
        <f>SUM('DUoS (t)'!K46,'TUoS (t)'!K46,'JSO (t)'!K46)</f>
        <v>0.10149999999999999</v>
      </c>
      <c r="L46" s="461">
        <f>SUM('DUoS (t)'!L46,'TUoS (t)'!L46,'JSO (t)'!L46)</f>
        <v>0</v>
      </c>
      <c r="M46" s="461">
        <f>SUM('DUoS (t)'!M46,'TUoS (t)'!M46,'JSO (t)'!M46)</f>
        <v>0</v>
      </c>
      <c r="N46" s="461">
        <f>SUM('DUoS (t)'!N46,'TUoS (t)'!N46,'JSO (t)'!N46)</f>
        <v>0</v>
      </c>
      <c r="O46" s="462">
        <f>SUM('DUoS (t)'!O46,'TUoS (t)'!O46,'JSO (t)'!O46)</f>
        <v>0</v>
      </c>
      <c r="P46" s="461">
        <f>SUM('DUoS (t)'!P46,'TUoS (t)'!P46,'JSO (t)'!P46)</f>
        <v>0</v>
      </c>
      <c r="Q46" s="461">
        <f>SUM('DUoS (t)'!Q46,'TUoS (t)'!Q46,'JSO (t)'!Q46)</f>
        <v>0</v>
      </c>
      <c r="R46" s="462">
        <f>SUM('DUoS (t)'!R46,'TUoS (t)'!R46,'JSO (t)'!R46)</f>
        <v>0</v>
      </c>
      <c r="S46" s="479">
        <f>SUM('DUoS (t)'!S46,'TUoS (t)'!S46,'JSO (t)'!S46)</f>
        <v>0</v>
      </c>
      <c r="T46" s="461">
        <f>SUM('DUoS (t)'!T46,'TUoS (t)'!T46,'JSO (t)'!T46)</f>
        <v>0</v>
      </c>
      <c r="U46" s="480">
        <f>SUM('DUoS (t)'!U46,'TUoS (t)'!U46,'JSO (t)'!U46)</f>
        <v>0</v>
      </c>
      <c r="V46" s="481">
        <f>SUM('DUoS (t)'!V46,'TUoS (t)'!V46,'JSO (t)'!V46)</f>
        <v>0</v>
      </c>
      <c r="X46" s="183">
        <f>'Q (t)'!G46</f>
        <v>0</v>
      </c>
      <c r="Y46" s="184">
        <f>'Q (t)'!H46</f>
        <v>0</v>
      </c>
      <c r="Z46" s="178">
        <f>'Q (t)'!I46</f>
        <v>0</v>
      </c>
      <c r="AA46" s="178">
        <f>'Q (t)'!J46</f>
        <v>0</v>
      </c>
      <c r="AB46" s="179">
        <f>'Q (t)'!K46</f>
        <v>0</v>
      </c>
      <c r="AC46" s="178">
        <f>'Q (t)'!L46</f>
        <v>0</v>
      </c>
      <c r="AD46" s="178">
        <f>'Q (t)'!M46</f>
        <v>0</v>
      </c>
      <c r="AE46" s="178">
        <f>'Q (t)'!N46</f>
        <v>0</v>
      </c>
      <c r="AF46" s="179">
        <f>'Q (t)'!O46</f>
        <v>0</v>
      </c>
      <c r="AG46" s="178">
        <f>'Q (t)'!P46</f>
        <v>0</v>
      </c>
      <c r="AH46" s="178">
        <f>'Q (t)'!Q46</f>
        <v>0</v>
      </c>
      <c r="AI46" s="179">
        <f>'Q (t)'!R46</f>
        <v>0</v>
      </c>
      <c r="AJ46" s="184">
        <f>'Q (t)'!S46</f>
        <v>0</v>
      </c>
      <c r="AK46" s="178">
        <f>'Q (t)'!T46</f>
        <v>0</v>
      </c>
      <c r="AL46" s="184">
        <f>'Q (t)'!U46</f>
        <v>0</v>
      </c>
      <c r="AM46" s="179">
        <f>'Q (t)'!V46</f>
        <v>0</v>
      </c>
      <c r="AO46" s="183">
        <f t="shared" si="2"/>
        <v>0</v>
      </c>
      <c r="AP46" s="184">
        <f t="shared" si="17"/>
        <v>0</v>
      </c>
      <c r="AQ46" s="178">
        <f t="shared" si="17"/>
        <v>0</v>
      </c>
      <c r="AR46" s="178">
        <f t="shared" si="17"/>
        <v>0</v>
      </c>
      <c r="AS46" s="179">
        <f t="shared" si="17"/>
        <v>0</v>
      </c>
      <c r="AT46" s="178">
        <f t="shared" si="17"/>
        <v>0</v>
      </c>
      <c r="AU46" s="178">
        <f t="shared" si="17"/>
        <v>0</v>
      </c>
      <c r="AV46" s="178">
        <f t="shared" si="17"/>
        <v>0</v>
      </c>
      <c r="AW46" s="179">
        <f t="shared" si="17"/>
        <v>0</v>
      </c>
      <c r="AX46" s="178">
        <f t="shared" si="1"/>
        <v>0</v>
      </c>
      <c r="AY46" s="178">
        <f t="shared" si="1"/>
        <v>0</v>
      </c>
      <c r="AZ46" s="179">
        <f t="shared" si="1"/>
        <v>0</v>
      </c>
      <c r="BA46" s="184">
        <f t="shared" si="1"/>
        <v>0</v>
      </c>
      <c r="BB46" s="178">
        <f t="shared" si="1"/>
        <v>0</v>
      </c>
      <c r="BC46" s="184">
        <f t="shared" si="1"/>
        <v>0</v>
      </c>
      <c r="BD46" s="178">
        <f t="shared" si="1"/>
        <v>0</v>
      </c>
      <c r="BE46" s="244">
        <f t="shared" si="3"/>
        <v>0</v>
      </c>
      <c r="BF46" s="245">
        <f t="shared" si="4"/>
        <v>0</v>
      </c>
      <c r="BH46" s="255">
        <f>SUM(AO46)</f>
        <v>0</v>
      </c>
      <c r="BI46" s="255">
        <f>SUM(AP46:AS46)</f>
        <v>0</v>
      </c>
      <c r="BJ46" s="255">
        <f>SUM(AT46:AW46)</f>
        <v>0</v>
      </c>
      <c r="BK46" s="256">
        <f>SUM(AX46:BB46)</f>
        <v>0</v>
      </c>
      <c r="BL46" s="262">
        <f>SUM(BC46:BD46)</f>
        <v>0</v>
      </c>
      <c r="BM46" s="257">
        <f t="shared" si="5"/>
        <v>0</v>
      </c>
      <c r="BO46" s="714" t="str">
        <f t="shared" si="6"/>
        <v/>
      </c>
    </row>
    <row r="47" spans="2:67" ht="15" customHeight="1" x14ac:dyDescent="0.25">
      <c r="B47" s="19">
        <f t="shared" si="18"/>
        <v>4</v>
      </c>
      <c r="C47" s="44" t="s">
        <v>91</v>
      </c>
      <c r="D47" s="45" t="str">
        <f>C47</f>
        <v>LB2RCL</v>
      </c>
      <c r="E47" s="104" t="s">
        <v>92</v>
      </c>
      <c r="G47" s="477">
        <f>SUM('DUoS (t)'!G47,'TUoS (t)'!G47,'JSO (t)'!G47)</f>
        <v>0.56159999999999999</v>
      </c>
      <c r="H47" s="479">
        <f>SUM('DUoS (t)'!H47,'TUoS (t)'!H47,'JSO (t)'!H47)</f>
        <v>0</v>
      </c>
      <c r="I47" s="483">
        <f>SUM('DUoS (t)'!I47,'TUoS (t)'!I47,'JSO (t)'!I47)</f>
        <v>0.20310000000000003</v>
      </c>
      <c r="J47" s="461">
        <f>SUM('DUoS (t)'!J47,'TUoS (t)'!J47,'JSO (t)'!J47)</f>
        <v>0</v>
      </c>
      <c r="K47" s="484">
        <f>SUM('DUoS (t)'!K47,'TUoS (t)'!K47,'JSO (t)'!K47)</f>
        <v>0.10149999999999999</v>
      </c>
      <c r="L47" s="483">
        <f>SUM('DUoS (t)'!L47,'TUoS (t)'!L47,'JSO (t)'!L47)</f>
        <v>6.7499999999999991E-2</v>
      </c>
      <c r="M47" s="461">
        <f>SUM('DUoS (t)'!M47,'TUoS (t)'!M47,'JSO (t)'!M47)</f>
        <v>0</v>
      </c>
      <c r="N47" s="461">
        <f>SUM('DUoS (t)'!N47,'TUoS (t)'!N47,'JSO (t)'!N47)</f>
        <v>0</v>
      </c>
      <c r="O47" s="462">
        <f>SUM('DUoS (t)'!O47,'TUoS (t)'!O47,'JSO (t)'!O47)</f>
        <v>0</v>
      </c>
      <c r="P47" s="461">
        <f>SUM('DUoS (t)'!P47,'TUoS (t)'!P47,'JSO (t)'!P47)</f>
        <v>0</v>
      </c>
      <c r="Q47" s="461">
        <f>SUM('DUoS (t)'!Q47,'TUoS (t)'!Q47,'JSO (t)'!Q47)</f>
        <v>0</v>
      </c>
      <c r="R47" s="462">
        <f>SUM('DUoS (t)'!R47,'TUoS (t)'!R47,'JSO (t)'!R47)</f>
        <v>0</v>
      </c>
      <c r="S47" s="479">
        <f>SUM('DUoS (t)'!S47,'TUoS (t)'!S47,'JSO (t)'!S47)</f>
        <v>0</v>
      </c>
      <c r="T47" s="461">
        <f>SUM('DUoS (t)'!T47,'TUoS (t)'!T47,'JSO (t)'!T47)</f>
        <v>0</v>
      </c>
      <c r="U47" s="480">
        <f>SUM('DUoS (t)'!U47,'TUoS (t)'!U47,'JSO (t)'!U47)</f>
        <v>0</v>
      </c>
      <c r="V47" s="481">
        <f>SUM('DUoS (t)'!V47,'TUoS (t)'!V47,'JSO (t)'!V47)</f>
        <v>0</v>
      </c>
      <c r="X47" s="183">
        <f>'Q (t)'!G47</f>
        <v>0</v>
      </c>
      <c r="Y47" s="184">
        <f>'Q (t)'!H47</f>
        <v>0</v>
      </c>
      <c r="Z47" s="178">
        <f>'Q (t)'!I47</f>
        <v>0</v>
      </c>
      <c r="AA47" s="178">
        <f>'Q (t)'!J47</f>
        <v>0</v>
      </c>
      <c r="AB47" s="179">
        <f>'Q (t)'!K47</f>
        <v>0</v>
      </c>
      <c r="AC47" s="178">
        <f>'Q (t)'!L47</f>
        <v>0</v>
      </c>
      <c r="AD47" s="178">
        <f>'Q (t)'!M47</f>
        <v>0</v>
      </c>
      <c r="AE47" s="178">
        <f>'Q (t)'!N47</f>
        <v>0</v>
      </c>
      <c r="AF47" s="179">
        <f>'Q (t)'!O47</f>
        <v>0</v>
      </c>
      <c r="AG47" s="178">
        <f>'Q (t)'!P47</f>
        <v>0</v>
      </c>
      <c r="AH47" s="178">
        <f>'Q (t)'!Q47</f>
        <v>0</v>
      </c>
      <c r="AI47" s="179">
        <f>'Q (t)'!R47</f>
        <v>0</v>
      </c>
      <c r="AJ47" s="184">
        <f>'Q (t)'!S47</f>
        <v>0</v>
      </c>
      <c r="AK47" s="178">
        <f>'Q (t)'!T47</f>
        <v>0</v>
      </c>
      <c r="AL47" s="184">
        <f>'Q (t)'!U47</f>
        <v>0</v>
      </c>
      <c r="AM47" s="179">
        <f>'Q (t)'!V47</f>
        <v>0</v>
      </c>
      <c r="AO47" s="183">
        <f t="shared" si="2"/>
        <v>0</v>
      </c>
      <c r="AP47" s="184">
        <f t="shared" si="17"/>
        <v>0</v>
      </c>
      <c r="AQ47" s="178">
        <f t="shared" si="17"/>
        <v>0</v>
      </c>
      <c r="AR47" s="178">
        <f t="shared" si="17"/>
        <v>0</v>
      </c>
      <c r="AS47" s="179">
        <f t="shared" si="17"/>
        <v>0</v>
      </c>
      <c r="AT47" s="178">
        <f t="shared" si="17"/>
        <v>0</v>
      </c>
      <c r="AU47" s="178">
        <f t="shared" si="17"/>
        <v>0</v>
      </c>
      <c r="AV47" s="178">
        <f t="shared" si="17"/>
        <v>0</v>
      </c>
      <c r="AW47" s="179">
        <f t="shared" si="17"/>
        <v>0</v>
      </c>
      <c r="AX47" s="178">
        <f t="shared" si="1"/>
        <v>0</v>
      </c>
      <c r="AY47" s="178">
        <f t="shared" si="1"/>
        <v>0</v>
      </c>
      <c r="AZ47" s="179">
        <f t="shared" si="1"/>
        <v>0</v>
      </c>
      <c r="BA47" s="184">
        <f t="shared" si="1"/>
        <v>0</v>
      </c>
      <c r="BB47" s="178">
        <f t="shared" si="1"/>
        <v>0</v>
      </c>
      <c r="BC47" s="184">
        <f t="shared" si="1"/>
        <v>0</v>
      </c>
      <c r="BD47" s="178">
        <f t="shared" si="1"/>
        <v>0</v>
      </c>
      <c r="BE47" s="244">
        <f t="shared" si="3"/>
        <v>0</v>
      </c>
      <c r="BF47" s="245">
        <f t="shared" si="4"/>
        <v>0</v>
      </c>
      <c r="BH47" s="255">
        <f>SUM(AO47)</f>
        <v>0</v>
      </c>
      <c r="BI47" s="255">
        <f>SUM(AP47:AS47)</f>
        <v>0</v>
      </c>
      <c r="BJ47" s="255">
        <f>SUM(AT47:AW47)</f>
        <v>0</v>
      </c>
      <c r="BK47" s="256">
        <f>SUM(AX47:BB47)</f>
        <v>0</v>
      </c>
      <c r="BL47" s="262">
        <f>SUM(BC47:BD47)</f>
        <v>0</v>
      </c>
      <c r="BM47" s="257">
        <f t="shared" si="5"/>
        <v>0</v>
      </c>
      <c r="BO47" s="714" t="str">
        <f t="shared" si="6"/>
        <v/>
      </c>
    </row>
    <row r="48" spans="2:67" ht="15" customHeight="1" x14ac:dyDescent="0.25">
      <c r="B48" s="19"/>
      <c r="C48" s="36" t="s">
        <v>93</v>
      </c>
      <c r="D48" s="37"/>
      <c r="E48" s="85"/>
      <c r="G48" s="482">
        <f>SUM('DUoS (t)'!G48,'TUoS (t)'!G48,'JSO (t)'!G48)</f>
        <v>0</v>
      </c>
      <c r="H48" s="479">
        <f>SUM('DUoS (t)'!H48,'TUoS (t)'!H48,'JSO (t)'!H48)</f>
        <v>0</v>
      </c>
      <c r="I48" s="461">
        <f>SUM('DUoS (t)'!I48,'TUoS (t)'!I48,'JSO (t)'!I48)</f>
        <v>0</v>
      </c>
      <c r="J48" s="461">
        <f>SUM('DUoS (t)'!J48,'TUoS (t)'!J48,'JSO (t)'!J48)</f>
        <v>0</v>
      </c>
      <c r="K48" s="462">
        <f>SUM('DUoS (t)'!K48,'TUoS (t)'!K48,'JSO (t)'!K48)</f>
        <v>0</v>
      </c>
      <c r="L48" s="461">
        <f>SUM('DUoS (t)'!L48,'TUoS (t)'!L48,'JSO (t)'!L48)</f>
        <v>0</v>
      </c>
      <c r="M48" s="461">
        <f>SUM('DUoS (t)'!M48,'TUoS (t)'!M48,'JSO (t)'!M48)</f>
        <v>0</v>
      </c>
      <c r="N48" s="461">
        <f>SUM('DUoS (t)'!N48,'TUoS (t)'!N48,'JSO (t)'!N48)</f>
        <v>0</v>
      </c>
      <c r="O48" s="462">
        <f>SUM('DUoS (t)'!O48,'TUoS (t)'!O48,'JSO (t)'!O48)</f>
        <v>0</v>
      </c>
      <c r="P48" s="461">
        <f>SUM('DUoS (t)'!P48,'TUoS (t)'!P48,'JSO (t)'!P48)</f>
        <v>0</v>
      </c>
      <c r="Q48" s="461">
        <f>SUM('DUoS (t)'!Q48,'TUoS (t)'!Q48,'JSO (t)'!Q48)</f>
        <v>0</v>
      </c>
      <c r="R48" s="462">
        <f>SUM('DUoS (t)'!R48,'TUoS (t)'!R48,'JSO (t)'!R48)</f>
        <v>0</v>
      </c>
      <c r="S48" s="479">
        <f>SUM('DUoS (t)'!S48,'TUoS (t)'!S48,'JSO (t)'!S48)</f>
        <v>0</v>
      </c>
      <c r="T48" s="461">
        <f>SUM('DUoS (t)'!T48,'TUoS (t)'!T48,'JSO (t)'!T48)</f>
        <v>0</v>
      </c>
      <c r="U48" s="479">
        <f>SUM('DUoS (t)'!U48,'TUoS (t)'!U48,'JSO (t)'!U48)</f>
        <v>0</v>
      </c>
      <c r="V48" s="462">
        <f>SUM('DUoS (t)'!V48,'TUoS (t)'!V48,'JSO (t)'!V48)</f>
        <v>0</v>
      </c>
      <c r="X48" s="183">
        <f>'Q (t)'!G48</f>
        <v>0</v>
      </c>
      <c r="Y48" s="184">
        <f>'Q (t)'!H48</f>
        <v>0</v>
      </c>
      <c r="Z48" s="178">
        <f>'Q (t)'!I48</f>
        <v>0</v>
      </c>
      <c r="AA48" s="178">
        <f>'Q (t)'!J48</f>
        <v>0</v>
      </c>
      <c r="AB48" s="179">
        <f>'Q (t)'!K48</f>
        <v>0</v>
      </c>
      <c r="AC48" s="178">
        <f>'Q (t)'!L48</f>
        <v>0</v>
      </c>
      <c r="AD48" s="178">
        <f>'Q (t)'!M48</f>
        <v>0</v>
      </c>
      <c r="AE48" s="178">
        <f>'Q (t)'!N48</f>
        <v>0</v>
      </c>
      <c r="AF48" s="179">
        <f>'Q (t)'!O48</f>
        <v>0</v>
      </c>
      <c r="AG48" s="178">
        <f>'Q (t)'!P48</f>
        <v>0</v>
      </c>
      <c r="AH48" s="178">
        <f>'Q (t)'!Q48</f>
        <v>0</v>
      </c>
      <c r="AI48" s="179">
        <f>'Q (t)'!R48</f>
        <v>0</v>
      </c>
      <c r="AJ48" s="184">
        <f>'Q (t)'!S48</f>
        <v>0</v>
      </c>
      <c r="AK48" s="178">
        <f>'Q (t)'!T48</f>
        <v>0</v>
      </c>
      <c r="AL48" s="184">
        <f>'Q (t)'!U48</f>
        <v>0</v>
      </c>
      <c r="AM48" s="179">
        <f>'Q (t)'!V48</f>
        <v>0</v>
      </c>
      <c r="AO48" s="183">
        <f t="shared" si="2"/>
        <v>0</v>
      </c>
      <c r="AP48" s="184">
        <f t="shared" si="17"/>
        <v>0</v>
      </c>
      <c r="AQ48" s="178">
        <f t="shared" si="17"/>
        <v>0</v>
      </c>
      <c r="AR48" s="178">
        <f t="shared" si="17"/>
        <v>0</v>
      </c>
      <c r="AS48" s="179">
        <f t="shared" si="17"/>
        <v>0</v>
      </c>
      <c r="AT48" s="178">
        <f t="shared" si="17"/>
        <v>0</v>
      </c>
      <c r="AU48" s="178">
        <f t="shared" si="17"/>
        <v>0</v>
      </c>
      <c r="AV48" s="178">
        <f t="shared" si="17"/>
        <v>0</v>
      </c>
      <c r="AW48" s="179">
        <f t="shared" si="17"/>
        <v>0</v>
      </c>
      <c r="AX48" s="178">
        <f t="shared" si="1"/>
        <v>0</v>
      </c>
      <c r="AY48" s="178">
        <f t="shared" si="1"/>
        <v>0</v>
      </c>
      <c r="AZ48" s="179">
        <f t="shared" si="1"/>
        <v>0</v>
      </c>
      <c r="BA48" s="184">
        <f t="shared" si="1"/>
        <v>0</v>
      </c>
      <c r="BB48" s="178">
        <f t="shared" si="1"/>
        <v>0</v>
      </c>
      <c r="BC48" s="184">
        <f t="shared" si="1"/>
        <v>0</v>
      </c>
      <c r="BD48" s="178">
        <f t="shared" si="1"/>
        <v>0</v>
      </c>
      <c r="BE48" s="244">
        <f t="shared" si="3"/>
        <v>0</v>
      </c>
      <c r="BF48" s="245">
        <f t="shared" si="4"/>
        <v>0</v>
      </c>
      <c r="BH48" s="252">
        <f>SUBTOTAL(9,BH49:BH69)</f>
        <v>14201.704554000002</v>
      </c>
      <c r="BI48" s="252">
        <f>SUBTOTAL(9,BI49:BI69)</f>
        <v>145724.59620000006</v>
      </c>
      <c r="BJ48" s="252">
        <f>SUBTOTAL(9,BJ49:BJ69)</f>
        <v>0</v>
      </c>
      <c r="BK48" s="252">
        <f>SUBTOTAL(9,BK49:BK69)</f>
        <v>99138.692191499998</v>
      </c>
      <c r="BL48" s="252">
        <f>SUBTOTAL(9,BL49:BL69)</f>
        <v>0</v>
      </c>
      <c r="BM48" s="257">
        <f t="shared" si="5"/>
        <v>259064.99294550007</v>
      </c>
      <c r="BO48" s="714" t="str">
        <f t="shared" si="6"/>
        <v/>
      </c>
    </row>
    <row r="49" spans="2:67" ht="15" customHeight="1" x14ac:dyDescent="0.25">
      <c r="B49" s="19">
        <f>B47+1</f>
        <v>5</v>
      </c>
      <c r="C49" s="44" t="s">
        <v>579</v>
      </c>
      <c r="D49" s="45" t="s">
        <v>580</v>
      </c>
      <c r="E49" s="105" t="s">
        <v>94</v>
      </c>
      <c r="G49" s="477">
        <f>SUM('DUoS (t)'!G49,'TUoS (t)'!G49,'JSO (t)'!G49)</f>
        <v>6.7949999999999999</v>
      </c>
      <c r="H49" s="479">
        <f>SUM('DUoS (t)'!H49,'TUoS (t)'!H49,'JSO (t)'!H49)</f>
        <v>0</v>
      </c>
      <c r="I49" s="483">
        <f>SUM('DUoS (t)'!I49,'TUoS (t)'!I49,'JSO (t)'!I49)</f>
        <v>6.7299999999999999E-2</v>
      </c>
      <c r="J49" s="461">
        <f>SUM('DUoS (t)'!J49,'TUoS (t)'!J49,'JSO (t)'!J49)</f>
        <v>0</v>
      </c>
      <c r="K49" s="484">
        <f>SUM('DUoS (t)'!K49,'TUoS (t)'!K49,'JSO (t)'!K49)</f>
        <v>4.2000000000000003E-2</v>
      </c>
      <c r="L49" s="461">
        <f>SUM('DUoS (t)'!L49,'TUoS (t)'!L49,'JSO (t)'!L49)</f>
        <v>0</v>
      </c>
      <c r="M49" s="461">
        <f>SUM('DUoS (t)'!M49,'TUoS (t)'!M49,'JSO (t)'!M49)</f>
        <v>0</v>
      </c>
      <c r="N49" s="461">
        <f>SUM('DUoS (t)'!N49,'TUoS (t)'!N49,'JSO (t)'!N49)</f>
        <v>0</v>
      </c>
      <c r="O49" s="462">
        <f>SUM('DUoS (t)'!O49,'TUoS (t)'!O49,'JSO (t)'!O49)</f>
        <v>0</v>
      </c>
      <c r="P49" s="461">
        <f>SUM('DUoS (t)'!P49,'TUoS (t)'!P49,'JSO (t)'!P49)</f>
        <v>0</v>
      </c>
      <c r="Q49" s="461">
        <f>SUM('DUoS (t)'!Q49,'TUoS (t)'!Q49,'JSO (t)'!Q49)</f>
        <v>0</v>
      </c>
      <c r="R49" s="462">
        <f>SUM('DUoS (t)'!R49,'TUoS (t)'!R49,'JSO (t)'!R49)</f>
        <v>0</v>
      </c>
      <c r="S49" s="478">
        <f>SUM('DUoS (t)'!S49,'TUoS (t)'!S49,'JSO (t)'!S49)</f>
        <v>0.25990000000000002</v>
      </c>
      <c r="T49" s="483">
        <f>SUM('DUoS (t)'!T49,'TUoS (t)'!T49,'JSO (t)'!T49)</f>
        <v>0.1028</v>
      </c>
      <c r="U49" s="480">
        <f>SUM('DUoS (t)'!U49,'TUoS (t)'!U49,'JSO (t)'!U49)</f>
        <v>0</v>
      </c>
      <c r="V49" s="481">
        <f>SUM('DUoS (t)'!V49,'TUoS (t)'!V49,'JSO (t)'!V49)</f>
        <v>0</v>
      </c>
      <c r="X49" s="183">
        <f>'Q (t)'!G49</f>
        <v>1834125</v>
      </c>
      <c r="Y49" s="184">
        <f>'Q (t)'!H49</f>
        <v>0</v>
      </c>
      <c r="Z49" s="178">
        <f>'Q (t)'!I49</f>
        <v>1289849</v>
      </c>
      <c r="AA49" s="178">
        <f>'Q (t)'!J49</f>
        <v>0</v>
      </c>
      <c r="AB49" s="179">
        <f>'Q (t)'!K49</f>
        <v>1151747</v>
      </c>
      <c r="AC49" s="178">
        <f>'Q (t)'!L49</f>
        <v>0</v>
      </c>
      <c r="AD49" s="178">
        <f>'Q (t)'!M49</f>
        <v>0</v>
      </c>
      <c r="AE49" s="178">
        <f>'Q (t)'!N49</f>
        <v>0</v>
      </c>
      <c r="AF49" s="179">
        <f>'Q (t)'!O49</f>
        <v>0</v>
      </c>
      <c r="AG49" s="178">
        <f>'Q (t)'!P49</f>
        <v>0</v>
      </c>
      <c r="AH49" s="178">
        <f>'Q (t)'!Q49</f>
        <v>0</v>
      </c>
      <c r="AI49" s="179">
        <f>'Q (t)'!R49</f>
        <v>0</v>
      </c>
      <c r="AJ49" s="184">
        <f>'Q (t)'!S49</f>
        <v>227186585</v>
      </c>
      <c r="AK49" s="178">
        <f>'Q (t)'!T49</f>
        <v>311083660</v>
      </c>
      <c r="AL49" s="184">
        <f>'Q (t)'!U49</f>
        <v>0</v>
      </c>
      <c r="AM49" s="179">
        <f>'Q (t)'!V49</f>
        <v>0</v>
      </c>
      <c r="AO49" s="183">
        <f t="shared" si="2"/>
        <v>12462.879375</v>
      </c>
      <c r="AP49" s="184">
        <f t="shared" si="17"/>
        <v>0</v>
      </c>
      <c r="AQ49" s="178">
        <f t="shared" si="17"/>
        <v>86806.837700000004</v>
      </c>
      <c r="AR49" s="178">
        <f t="shared" si="17"/>
        <v>0</v>
      </c>
      <c r="AS49" s="179">
        <f t="shared" si="17"/>
        <v>48373.374000000003</v>
      </c>
      <c r="AT49" s="178">
        <f t="shared" si="17"/>
        <v>0</v>
      </c>
      <c r="AU49" s="178">
        <f t="shared" si="17"/>
        <v>0</v>
      </c>
      <c r="AV49" s="178">
        <f t="shared" si="17"/>
        <v>0</v>
      </c>
      <c r="AW49" s="179">
        <f t="shared" si="17"/>
        <v>0</v>
      </c>
      <c r="AX49" s="178">
        <f t="shared" si="1"/>
        <v>0</v>
      </c>
      <c r="AY49" s="178">
        <f t="shared" si="1"/>
        <v>0</v>
      </c>
      <c r="AZ49" s="179">
        <f t="shared" si="1"/>
        <v>0</v>
      </c>
      <c r="BA49" s="184">
        <f t="shared" si="1"/>
        <v>59045.793441500005</v>
      </c>
      <c r="BB49" s="178">
        <f t="shared" si="1"/>
        <v>31979.400247999998</v>
      </c>
      <c r="BC49" s="184">
        <f t="shared" si="1"/>
        <v>0</v>
      </c>
      <c r="BD49" s="178">
        <f t="shared" si="1"/>
        <v>0</v>
      </c>
      <c r="BE49" s="244">
        <f t="shared" si="3"/>
        <v>5025</v>
      </c>
      <c r="BF49" s="245">
        <f t="shared" si="4"/>
        <v>2441596</v>
      </c>
      <c r="BH49" s="255">
        <f t="shared" ref="BH49:BH69" si="19">SUM(AO49)</f>
        <v>12462.879375</v>
      </c>
      <c r="BI49" s="255">
        <f t="shared" ref="BI49:BI69" si="20">SUM(AP49:AS49)</f>
        <v>135180.21170000001</v>
      </c>
      <c r="BJ49" s="255">
        <f t="shared" ref="BJ49:BJ69" si="21">SUM(AT49:AW49)</f>
        <v>0</v>
      </c>
      <c r="BK49" s="256">
        <f t="shared" ref="BK49:BK69" si="22">SUM(AX49:BB49)</f>
        <v>91025.193689500011</v>
      </c>
      <c r="BL49" s="262">
        <f t="shared" ref="BL49:BL69" si="23">SUM(BC49:BD49)</f>
        <v>0</v>
      </c>
      <c r="BM49" s="257">
        <f t="shared" si="5"/>
        <v>238668.28476450001</v>
      </c>
      <c r="BO49" s="714">
        <f t="shared" si="6"/>
        <v>97.750932080696401</v>
      </c>
    </row>
    <row r="50" spans="2:67" ht="15" customHeight="1" x14ac:dyDescent="0.25">
      <c r="B50" s="19">
        <f t="shared" si="18"/>
        <v>6</v>
      </c>
      <c r="C50" s="44" t="s">
        <v>577</v>
      </c>
      <c r="D50" s="45" t="s">
        <v>581</v>
      </c>
      <c r="E50" s="105" t="s">
        <v>95</v>
      </c>
      <c r="G50" s="477">
        <f>SUM('DUoS (t)'!G50,'TUoS (t)'!G50,'JSO (t)'!G50)</f>
        <v>6.7949999999999999</v>
      </c>
      <c r="H50" s="479">
        <f>SUM('DUoS (t)'!H50,'TUoS (t)'!H50,'JSO (t)'!H50)</f>
        <v>0</v>
      </c>
      <c r="I50" s="483">
        <f>SUM('DUoS (t)'!I50,'TUoS (t)'!I50,'JSO (t)'!I50)</f>
        <v>6.7299999999999999E-2</v>
      </c>
      <c r="J50" s="461">
        <f>SUM('DUoS (t)'!J50,'TUoS (t)'!J50,'JSO (t)'!J50)</f>
        <v>0</v>
      </c>
      <c r="K50" s="484">
        <f>SUM('DUoS (t)'!K50,'TUoS (t)'!K50,'JSO (t)'!K50)</f>
        <v>4.2000000000000003E-2</v>
      </c>
      <c r="L50" s="461">
        <f>SUM('DUoS (t)'!L50,'TUoS (t)'!L50,'JSO (t)'!L50)</f>
        <v>0</v>
      </c>
      <c r="M50" s="461">
        <f>SUM('DUoS (t)'!M50,'TUoS (t)'!M50,'JSO (t)'!M50)</f>
        <v>0</v>
      </c>
      <c r="N50" s="461">
        <f>SUM('DUoS (t)'!N50,'TUoS (t)'!N50,'JSO (t)'!N50)</f>
        <v>0</v>
      </c>
      <c r="O50" s="462">
        <f>SUM('DUoS (t)'!O50,'TUoS (t)'!O50,'JSO (t)'!O50)</f>
        <v>0</v>
      </c>
      <c r="P50" s="483">
        <f>SUM('DUoS (t)'!P50,'TUoS (t)'!P50,'JSO (t)'!P50)</f>
        <v>0.94229999999999992</v>
      </c>
      <c r="Q50" s="461">
        <f>SUM('DUoS (t)'!Q50,'TUoS (t)'!Q50,'JSO (t)'!Q50)</f>
        <v>0</v>
      </c>
      <c r="R50" s="462">
        <f>SUM('DUoS (t)'!R50,'TUoS (t)'!R50,'JSO (t)'!R50)</f>
        <v>0</v>
      </c>
      <c r="S50" s="479">
        <f>SUM('DUoS (t)'!S50,'TUoS (t)'!S50,'JSO (t)'!S50)</f>
        <v>0</v>
      </c>
      <c r="T50" s="483">
        <f>SUM('DUoS (t)'!T50,'TUoS (t)'!T50,'JSO (t)'!T50)</f>
        <v>0.1028</v>
      </c>
      <c r="U50" s="479">
        <f>SUM('DUoS (t)'!U50,'TUoS (t)'!U50,'JSO (t)'!U50)</f>
        <v>0</v>
      </c>
      <c r="V50" s="462">
        <f>SUM('DUoS (t)'!V50,'TUoS (t)'!V50,'JSO (t)'!V50)</f>
        <v>0</v>
      </c>
      <c r="X50" s="183">
        <f>'Q (t)'!G50</f>
        <v>101105</v>
      </c>
      <c r="Y50" s="184">
        <f>'Q (t)'!H50</f>
        <v>0</v>
      </c>
      <c r="Z50" s="178">
        <f>'Q (t)'!I50</f>
        <v>72420</v>
      </c>
      <c r="AA50" s="178">
        <f>'Q (t)'!J50</f>
        <v>0</v>
      </c>
      <c r="AB50" s="179">
        <f>'Q (t)'!K50</f>
        <v>52230</v>
      </c>
      <c r="AC50" s="178">
        <f>'Q (t)'!L50</f>
        <v>0</v>
      </c>
      <c r="AD50" s="178">
        <f>'Q (t)'!M50</f>
        <v>0</v>
      </c>
      <c r="AE50" s="178">
        <f>'Q (t)'!N50</f>
        <v>0</v>
      </c>
      <c r="AF50" s="179">
        <f>'Q (t)'!O50</f>
        <v>0</v>
      </c>
      <c r="AG50" s="178">
        <f>'Q (t)'!P50</f>
        <v>3434193</v>
      </c>
      <c r="AH50" s="178">
        <f>'Q (t)'!Q50</f>
        <v>0</v>
      </c>
      <c r="AI50" s="179">
        <f>'Q (t)'!R50</f>
        <v>0</v>
      </c>
      <c r="AJ50" s="184">
        <f>'Q (t)'!S50</f>
        <v>0</v>
      </c>
      <c r="AK50" s="178">
        <f>'Q (t)'!T50</f>
        <v>27420260</v>
      </c>
      <c r="AL50" s="184">
        <f>'Q (t)'!U50</f>
        <v>0</v>
      </c>
      <c r="AM50" s="179">
        <f>'Q (t)'!V50</f>
        <v>0</v>
      </c>
      <c r="AO50" s="183">
        <f t="shared" si="2"/>
        <v>687.00847499999998</v>
      </c>
      <c r="AP50" s="184">
        <f t="shared" si="17"/>
        <v>0</v>
      </c>
      <c r="AQ50" s="178">
        <f>I50*Z50</f>
        <v>4873.866</v>
      </c>
      <c r="AR50" s="178">
        <f t="shared" si="17"/>
        <v>0</v>
      </c>
      <c r="AS50" s="179">
        <f t="shared" si="17"/>
        <v>2193.6600000000003</v>
      </c>
      <c r="AT50" s="178">
        <f t="shared" si="17"/>
        <v>0</v>
      </c>
      <c r="AU50" s="178">
        <f t="shared" si="17"/>
        <v>0</v>
      </c>
      <c r="AV50" s="178">
        <f t="shared" si="17"/>
        <v>0</v>
      </c>
      <c r="AW50" s="179">
        <f t="shared" si="17"/>
        <v>0</v>
      </c>
      <c r="AX50" s="178">
        <f t="shared" si="1"/>
        <v>3236.0400638999995</v>
      </c>
      <c r="AY50" s="178">
        <f t="shared" si="1"/>
        <v>0</v>
      </c>
      <c r="AZ50" s="179">
        <f t="shared" si="1"/>
        <v>0</v>
      </c>
      <c r="BA50" s="184">
        <f t="shared" si="1"/>
        <v>0</v>
      </c>
      <c r="BB50" s="178">
        <f t="shared" si="1"/>
        <v>2818.8027280000001</v>
      </c>
      <c r="BC50" s="184">
        <f t="shared" si="1"/>
        <v>0</v>
      </c>
      <c r="BD50" s="178">
        <f t="shared" si="1"/>
        <v>0</v>
      </c>
      <c r="BE50" s="244">
        <f t="shared" si="3"/>
        <v>277</v>
      </c>
      <c r="BF50" s="245">
        <f t="shared" si="4"/>
        <v>124650</v>
      </c>
      <c r="BH50" s="255">
        <f t="shared" si="19"/>
        <v>687.00847499999998</v>
      </c>
      <c r="BI50" s="255">
        <f t="shared" si="20"/>
        <v>7067.5259999999998</v>
      </c>
      <c r="BJ50" s="255">
        <f t="shared" si="21"/>
        <v>0</v>
      </c>
      <c r="BK50" s="256">
        <f t="shared" si="22"/>
        <v>6054.8427918999996</v>
      </c>
      <c r="BL50" s="262">
        <f t="shared" si="23"/>
        <v>0</v>
      </c>
      <c r="BM50" s="257">
        <f t="shared" si="5"/>
        <v>13809.377266899999</v>
      </c>
      <c r="BO50" s="714">
        <f t="shared" si="6"/>
        <v>110.78521674207781</v>
      </c>
    </row>
    <row r="51" spans="2:67" ht="15" customHeight="1" x14ac:dyDescent="0.25">
      <c r="B51" s="19">
        <f t="shared" si="18"/>
        <v>7</v>
      </c>
      <c r="C51" s="833" t="s">
        <v>578</v>
      </c>
      <c r="D51" s="834" t="s">
        <v>582</v>
      </c>
      <c r="E51" s="835" t="s">
        <v>96</v>
      </c>
      <c r="G51" s="482">
        <f>SUM('DUoS (t)'!G51,'TUoS (t)'!G51,'JSO (t)'!G51)</f>
        <v>0</v>
      </c>
      <c r="H51" s="479">
        <f>SUM('DUoS (t)'!H51,'TUoS (t)'!H51,'JSO (t)'!H51)</f>
        <v>0</v>
      </c>
      <c r="I51" s="461">
        <f>SUM('DUoS (t)'!I51,'TUoS (t)'!I51,'JSO (t)'!I51)</f>
        <v>0</v>
      </c>
      <c r="J51" s="461">
        <f>SUM('DUoS (t)'!J51,'TUoS (t)'!J51,'JSO (t)'!J51)</f>
        <v>0</v>
      </c>
      <c r="K51" s="462">
        <f>SUM('DUoS (t)'!K51,'TUoS (t)'!K51,'JSO (t)'!K51)</f>
        <v>0</v>
      </c>
      <c r="L51" s="461">
        <f>SUM('DUoS (t)'!L51,'TUoS (t)'!L51,'JSO (t)'!L51)</f>
        <v>0</v>
      </c>
      <c r="M51" s="461">
        <f>SUM('DUoS (t)'!M51,'TUoS (t)'!M51,'JSO (t)'!M51)</f>
        <v>0</v>
      </c>
      <c r="N51" s="461">
        <f>SUM('DUoS (t)'!N51,'TUoS (t)'!N51,'JSO (t)'!N51)</f>
        <v>0</v>
      </c>
      <c r="O51" s="462">
        <f>SUM('DUoS (t)'!O51,'TUoS (t)'!O51,'JSO (t)'!O51)</f>
        <v>0</v>
      </c>
      <c r="P51" s="461">
        <f>SUM('DUoS (t)'!P51,'TUoS (t)'!P51,'JSO (t)'!P51)</f>
        <v>0</v>
      </c>
      <c r="Q51" s="461">
        <f>SUM('DUoS (t)'!Q51,'TUoS (t)'!Q51,'JSO (t)'!Q51)</f>
        <v>0</v>
      </c>
      <c r="R51" s="462">
        <f>SUM('DUoS (t)'!R51,'TUoS (t)'!R51,'JSO (t)'!R51)</f>
        <v>0</v>
      </c>
      <c r="S51" s="479">
        <f>SUM('DUoS (t)'!S51,'TUoS (t)'!S51,'JSO (t)'!S51)</f>
        <v>0</v>
      </c>
      <c r="T51" s="461">
        <f>SUM('DUoS (t)'!T51,'TUoS (t)'!T51,'JSO (t)'!T51)</f>
        <v>0</v>
      </c>
      <c r="U51" s="479">
        <f>SUM('DUoS (t)'!U51,'TUoS (t)'!U51,'JSO (t)'!U51)</f>
        <v>0</v>
      </c>
      <c r="V51" s="462">
        <f>SUM('DUoS (t)'!V51,'TUoS (t)'!V51,'JSO (t)'!V51)</f>
        <v>0</v>
      </c>
      <c r="X51" s="183">
        <f>'Q (t)'!G51</f>
        <v>0</v>
      </c>
      <c r="Y51" s="184">
        <f>'Q (t)'!H51</f>
        <v>0</v>
      </c>
      <c r="Z51" s="178">
        <f>'Q (t)'!I51</f>
        <v>0</v>
      </c>
      <c r="AA51" s="178">
        <f>'Q (t)'!J51</f>
        <v>0</v>
      </c>
      <c r="AB51" s="179">
        <f>'Q (t)'!K51</f>
        <v>0</v>
      </c>
      <c r="AC51" s="178">
        <f>'Q (t)'!L51</f>
        <v>0</v>
      </c>
      <c r="AD51" s="178">
        <f>'Q (t)'!M51</f>
        <v>0</v>
      </c>
      <c r="AE51" s="178">
        <f>'Q (t)'!N51</f>
        <v>0</v>
      </c>
      <c r="AF51" s="179">
        <f>'Q (t)'!O51</f>
        <v>0</v>
      </c>
      <c r="AG51" s="178">
        <f>'Q (t)'!P51</f>
        <v>0</v>
      </c>
      <c r="AH51" s="178">
        <f>'Q (t)'!Q51</f>
        <v>0</v>
      </c>
      <c r="AI51" s="179">
        <f>'Q (t)'!R51</f>
        <v>0</v>
      </c>
      <c r="AJ51" s="184">
        <f>'Q (t)'!S51</f>
        <v>0</v>
      </c>
      <c r="AK51" s="178">
        <f>'Q (t)'!T51</f>
        <v>0</v>
      </c>
      <c r="AL51" s="184">
        <f>'Q (t)'!U51</f>
        <v>0</v>
      </c>
      <c r="AM51" s="179">
        <f>'Q (t)'!V51</f>
        <v>0</v>
      </c>
      <c r="AO51" s="183">
        <f t="shared" si="2"/>
        <v>0</v>
      </c>
      <c r="AP51" s="184">
        <f t="shared" si="17"/>
        <v>0</v>
      </c>
      <c r="AQ51" s="178">
        <f t="shared" si="17"/>
        <v>0</v>
      </c>
      <c r="AR51" s="178">
        <f t="shared" si="17"/>
        <v>0</v>
      </c>
      <c r="AS51" s="179">
        <f t="shared" si="17"/>
        <v>0</v>
      </c>
      <c r="AT51" s="178">
        <f t="shared" si="17"/>
        <v>0</v>
      </c>
      <c r="AU51" s="178">
        <f t="shared" si="17"/>
        <v>0</v>
      </c>
      <c r="AV51" s="178">
        <f t="shared" si="17"/>
        <v>0</v>
      </c>
      <c r="AW51" s="179">
        <f t="shared" si="17"/>
        <v>0</v>
      </c>
      <c r="AX51" s="178">
        <f t="shared" si="1"/>
        <v>0</v>
      </c>
      <c r="AY51" s="178">
        <f t="shared" si="1"/>
        <v>0</v>
      </c>
      <c r="AZ51" s="179">
        <f t="shared" si="1"/>
        <v>0</v>
      </c>
      <c r="BA51" s="184">
        <f t="shared" si="1"/>
        <v>0</v>
      </c>
      <c r="BB51" s="178">
        <f t="shared" si="1"/>
        <v>0</v>
      </c>
      <c r="BC51" s="184">
        <f t="shared" si="1"/>
        <v>0</v>
      </c>
      <c r="BD51" s="178">
        <f t="shared" si="1"/>
        <v>0</v>
      </c>
      <c r="BE51" s="244">
        <f t="shared" si="3"/>
        <v>0</v>
      </c>
      <c r="BF51" s="245">
        <f t="shared" si="4"/>
        <v>0</v>
      </c>
      <c r="BH51" s="255">
        <f t="shared" si="19"/>
        <v>0</v>
      </c>
      <c r="BI51" s="255">
        <f t="shared" si="20"/>
        <v>0</v>
      </c>
      <c r="BJ51" s="255">
        <f t="shared" si="21"/>
        <v>0</v>
      </c>
      <c r="BK51" s="256">
        <f t="shared" si="22"/>
        <v>0</v>
      </c>
      <c r="BL51" s="262">
        <f t="shared" si="23"/>
        <v>0</v>
      </c>
      <c r="BM51" s="257">
        <f t="shared" si="5"/>
        <v>0</v>
      </c>
      <c r="BO51" s="714" t="str">
        <f t="shared" si="6"/>
        <v/>
      </c>
    </row>
    <row r="52" spans="2:67" ht="15" customHeight="1" x14ac:dyDescent="0.25">
      <c r="B52" s="19">
        <f t="shared" si="18"/>
        <v>8</v>
      </c>
      <c r="C52" s="44" t="s">
        <v>97</v>
      </c>
      <c r="D52" s="45" t="s">
        <v>97</v>
      </c>
      <c r="E52" s="105" t="s">
        <v>98</v>
      </c>
      <c r="G52" s="477">
        <f>SUM('DUoS (t)'!G52,'TUoS (t)'!G52,'JSO (t)'!G52)</f>
        <v>5.4794</v>
      </c>
      <c r="H52" s="478">
        <f>SUM('DUoS (t)'!H52,'TUoS (t)'!H52,'JSO (t)'!H52)</f>
        <v>8.6999999999999994E-2</v>
      </c>
      <c r="I52" s="461">
        <f>SUM('DUoS (t)'!I52,'TUoS (t)'!I52,'JSO (t)'!I52)</f>
        <v>0</v>
      </c>
      <c r="J52" s="461">
        <f>SUM('DUoS (t)'!J52,'TUoS (t)'!J52,'JSO (t)'!J52)</f>
        <v>0</v>
      </c>
      <c r="K52" s="462">
        <f>SUM('DUoS (t)'!K52,'TUoS (t)'!K52,'JSO (t)'!K52)</f>
        <v>0</v>
      </c>
      <c r="L52" s="461">
        <f>SUM('DUoS (t)'!L52,'TUoS (t)'!L52,'JSO (t)'!L52)</f>
        <v>0</v>
      </c>
      <c r="M52" s="461">
        <f>SUM('DUoS (t)'!M52,'TUoS (t)'!M52,'JSO (t)'!M52)</f>
        <v>0</v>
      </c>
      <c r="N52" s="461">
        <f>SUM('DUoS (t)'!N52,'TUoS (t)'!N52,'JSO (t)'!N52)</f>
        <v>0</v>
      </c>
      <c r="O52" s="462">
        <f>SUM('DUoS (t)'!O52,'TUoS (t)'!O52,'JSO (t)'!O52)</f>
        <v>0</v>
      </c>
      <c r="P52" s="461">
        <f>SUM('DUoS (t)'!P52,'TUoS (t)'!P52,'JSO (t)'!P52)</f>
        <v>0</v>
      </c>
      <c r="Q52" s="483">
        <f>SUM('DUoS (t)'!Q52,'TUoS (t)'!Q52,'JSO (t)'!Q52)</f>
        <v>0.3962</v>
      </c>
      <c r="R52" s="484">
        <f>SUM('DUoS (t)'!R52,'TUoS (t)'!R52,'JSO (t)'!R52)</f>
        <v>0.19600000000000001</v>
      </c>
      <c r="S52" s="479">
        <f>SUM('DUoS (t)'!S52,'TUoS (t)'!S52,'JSO (t)'!S52)</f>
        <v>0</v>
      </c>
      <c r="T52" s="461">
        <f>SUM('DUoS (t)'!T52,'TUoS (t)'!T52,'JSO (t)'!T52)</f>
        <v>0</v>
      </c>
      <c r="U52" s="479">
        <f>SUM('DUoS (t)'!U52,'TUoS (t)'!U52,'JSO (t)'!U52)</f>
        <v>0</v>
      </c>
      <c r="V52" s="462">
        <f>SUM('DUoS (t)'!V52,'TUoS (t)'!V52,'JSO (t)'!V52)</f>
        <v>0</v>
      </c>
      <c r="X52" s="183">
        <f>'Q (t)'!G52</f>
        <v>12410</v>
      </c>
      <c r="Y52" s="184">
        <f>'Q (t)'!H52</f>
        <v>10000</v>
      </c>
      <c r="Z52" s="178">
        <f>'Q (t)'!I52</f>
        <v>0</v>
      </c>
      <c r="AA52" s="178">
        <f>'Q (t)'!J52</f>
        <v>0</v>
      </c>
      <c r="AB52" s="179">
        <f>'Q (t)'!K52</f>
        <v>0</v>
      </c>
      <c r="AC52" s="178">
        <f>'Q (t)'!L52</f>
        <v>0</v>
      </c>
      <c r="AD52" s="178">
        <f>'Q (t)'!M52</f>
        <v>0</v>
      </c>
      <c r="AE52" s="178">
        <f>'Q (t)'!N52</f>
        <v>0</v>
      </c>
      <c r="AF52" s="179">
        <f>'Q (t)'!O52</f>
        <v>0</v>
      </c>
      <c r="AG52" s="178">
        <f>'Q (t)'!P52</f>
        <v>0</v>
      </c>
      <c r="AH52" s="178">
        <f>'Q (t)'!Q52</f>
        <v>757869</v>
      </c>
      <c r="AI52" s="179">
        <f>'Q (t)'!R52</f>
        <v>1631915</v>
      </c>
      <c r="AJ52" s="184">
        <f>'Q (t)'!S52</f>
        <v>0</v>
      </c>
      <c r="AK52" s="178">
        <f>'Q (t)'!T52</f>
        <v>0</v>
      </c>
      <c r="AL52" s="184">
        <f>'Q (t)'!U52</f>
        <v>0</v>
      </c>
      <c r="AM52" s="179">
        <f>'Q (t)'!V52</f>
        <v>0</v>
      </c>
      <c r="AO52" s="183">
        <f t="shared" si="2"/>
        <v>67.999354000000011</v>
      </c>
      <c r="AP52" s="184">
        <f t="shared" si="17"/>
        <v>869.99999999999989</v>
      </c>
      <c r="AQ52" s="178">
        <f t="shared" si="17"/>
        <v>0</v>
      </c>
      <c r="AR52" s="178">
        <f t="shared" si="17"/>
        <v>0</v>
      </c>
      <c r="AS52" s="179">
        <f t="shared" si="17"/>
        <v>0</v>
      </c>
      <c r="AT52" s="178">
        <f t="shared" si="17"/>
        <v>0</v>
      </c>
      <c r="AU52" s="178">
        <f t="shared" si="17"/>
        <v>0</v>
      </c>
      <c r="AV52" s="178">
        <f t="shared" si="17"/>
        <v>0</v>
      </c>
      <c r="AW52" s="179">
        <f t="shared" si="17"/>
        <v>0</v>
      </c>
      <c r="AX52" s="178">
        <f t="shared" si="1"/>
        <v>0</v>
      </c>
      <c r="AY52" s="178">
        <f t="shared" si="1"/>
        <v>300.26769780000001</v>
      </c>
      <c r="AZ52" s="179">
        <f t="shared" si="1"/>
        <v>319.85534000000001</v>
      </c>
      <c r="BA52" s="184">
        <f t="shared" si="1"/>
        <v>0</v>
      </c>
      <c r="BB52" s="178">
        <f t="shared" si="1"/>
        <v>0</v>
      </c>
      <c r="BC52" s="184">
        <f t="shared" si="1"/>
        <v>0</v>
      </c>
      <c r="BD52" s="178">
        <f t="shared" si="1"/>
        <v>0</v>
      </c>
      <c r="BE52" s="244">
        <f t="shared" si="3"/>
        <v>34</v>
      </c>
      <c r="BF52" s="245">
        <f t="shared" ref="BF52:BF79" si="24">SUM(Y52:AF52)</f>
        <v>10000</v>
      </c>
      <c r="BH52" s="255">
        <f t="shared" si="19"/>
        <v>67.999354000000011</v>
      </c>
      <c r="BI52" s="255">
        <f t="shared" si="20"/>
        <v>869.99999999999989</v>
      </c>
      <c r="BJ52" s="255">
        <f t="shared" si="21"/>
        <v>0</v>
      </c>
      <c r="BK52" s="256">
        <f t="shared" si="22"/>
        <v>620.12303780000002</v>
      </c>
      <c r="BL52" s="262">
        <f t="shared" si="23"/>
        <v>0</v>
      </c>
      <c r="BM52" s="257">
        <f t="shared" si="5"/>
        <v>1558.1223918000001</v>
      </c>
      <c r="BO52" s="714">
        <f t="shared" si="6"/>
        <v>155.81223918000001</v>
      </c>
    </row>
    <row r="53" spans="2:67" ht="15" customHeight="1" x14ac:dyDescent="0.25">
      <c r="B53" s="19">
        <f t="shared" si="18"/>
        <v>9</v>
      </c>
      <c r="C53" s="44" t="s">
        <v>583</v>
      </c>
      <c r="D53" s="45" t="s">
        <v>584</v>
      </c>
      <c r="E53" s="105" t="s">
        <v>99</v>
      </c>
      <c r="G53" s="477">
        <f>SUM('DUoS (t)'!G53,'TUoS (t)'!G53,'JSO (t)'!G53)</f>
        <v>6.7949999999999999</v>
      </c>
      <c r="H53" s="479">
        <f>SUM('DUoS (t)'!H53,'TUoS (t)'!H53,'JSO (t)'!H53)</f>
        <v>0</v>
      </c>
      <c r="I53" s="461">
        <f>SUM('DUoS (t)'!I53,'TUoS (t)'!I53,'JSO (t)'!I53)</f>
        <v>0</v>
      </c>
      <c r="J53" s="461">
        <f>SUM('DUoS (t)'!J53,'TUoS (t)'!J53,'JSO (t)'!J53)</f>
        <v>0</v>
      </c>
      <c r="K53" s="462">
        <f>SUM('DUoS (t)'!K53,'TUoS (t)'!K53,'JSO (t)'!K53)</f>
        <v>0</v>
      </c>
      <c r="L53" s="461">
        <f>SUM('DUoS (t)'!L53,'TUoS (t)'!L53,'JSO (t)'!L53)</f>
        <v>0</v>
      </c>
      <c r="M53" s="461">
        <f>SUM('DUoS (t)'!M53,'TUoS (t)'!M53,'JSO (t)'!M53)</f>
        <v>0</v>
      </c>
      <c r="N53" s="461">
        <f>SUM('DUoS (t)'!N53,'TUoS (t)'!N53,'JSO (t)'!N53)</f>
        <v>0</v>
      </c>
      <c r="O53" s="462">
        <f>SUM('DUoS (t)'!O53,'TUoS (t)'!O53,'JSO (t)'!O53)</f>
        <v>0</v>
      </c>
      <c r="P53" s="461">
        <f>SUM('DUoS (t)'!P53,'TUoS (t)'!P53,'JSO (t)'!P53)</f>
        <v>0</v>
      </c>
      <c r="Q53" s="461">
        <f>SUM('DUoS (t)'!Q53,'TUoS (t)'!Q53,'JSO (t)'!Q53)</f>
        <v>0</v>
      </c>
      <c r="R53" s="462">
        <f>SUM('DUoS (t)'!R53,'TUoS (t)'!R53,'JSO (t)'!R53)</f>
        <v>0</v>
      </c>
      <c r="S53" s="478">
        <f>SUM('DUoS (t)'!S53,'TUoS (t)'!S53,'JSO (t)'!S53)</f>
        <v>0.25990000000000002</v>
      </c>
      <c r="T53" s="483">
        <f>SUM('DUoS (t)'!T53,'TUoS (t)'!T53,'JSO (t)'!T53)</f>
        <v>0.1028</v>
      </c>
      <c r="U53" s="479">
        <f>SUM('DUoS (t)'!U53,'TUoS (t)'!U53,'JSO (t)'!U53)</f>
        <v>0</v>
      </c>
      <c r="V53" s="462">
        <f>SUM('DUoS (t)'!V53,'TUoS (t)'!V53,'JSO (t)'!V53)</f>
        <v>0</v>
      </c>
      <c r="X53" s="183">
        <f>'Q (t)'!G53</f>
        <v>1460</v>
      </c>
      <c r="Y53" s="184">
        <f>'Q (t)'!H53</f>
        <v>0</v>
      </c>
      <c r="Z53" s="178">
        <f>'Q (t)'!I53</f>
        <v>700</v>
      </c>
      <c r="AA53" s="178">
        <f>'Q (t)'!J53</f>
        <v>0</v>
      </c>
      <c r="AB53" s="179">
        <f>'Q (t)'!K53</f>
        <v>600</v>
      </c>
      <c r="AC53" s="178">
        <f>'Q (t)'!L53</f>
        <v>0</v>
      </c>
      <c r="AD53" s="178">
        <f>'Q (t)'!M53</f>
        <v>0</v>
      </c>
      <c r="AE53" s="178">
        <f>'Q (t)'!N53</f>
        <v>0</v>
      </c>
      <c r="AF53" s="179">
        <f>'Q (t)'!O53</f>
        <v>0</v>
      </c>
      <c r="AG53" s="178">
        <f>'Q (t)'!P53</f>
        <v>0</v>
      </c>
      <c r="AH53" s="178">
        <f>'Q (t)'!Q53</f>
        <v>0</v>
      </c>
      <c r="AI53" s="179">
        <f>'Q (t)'!R53</f>
        <v>0</v>
      </c>
      <c r="AJ53" s="184">
        <f>'Q (t)'!S53</f>
        <v>0</v>
      </c>
      <c r="AK53" s="178">
        <f>'Q (t)'!T53</f>
        <v>163155</v>
      </c>
      <c r="AL53" s="184">
        <f>'Q (t)'!U53</f>
        <v>0</v>
      </c>
      <c r="AM53" s="179">
        <f>'Q (t)'!V53</f>
        <v>0</v>
      </c>
      <c r="AO53" s="183">
        <f t="shared" si="2"/>
        <v>9.9207000000000001</v>
      </c>
      <c r="AP53" s="184">
        <f t="shared" si="17"/>
        <v>0</v>
      </c>
      <c r="AQ53" s="178">
        <f t="shared" si="17"/>
        <v>0</v>
      </c>
      <c r="AR53" s="178">
        <f t="shared" si="17"/>
        <v>0</v>
      </c>
      <c r="AS53" s="179">
        <f t="shared" si="17"/>
        <v>0</v>
      </c>
      <c r="AT53" s="178">
        <f t="shared" si="17"/>
        <v>0</v>
      </c>
      <c r="AU53" s="178">
        <f t="shared" si="17"/>
        <v>0</v>
      </c>
      <c r="AV53" s="178">
        <f t="shared" si="17"/>
        <v>0</v>
      </c>
      <c r="AW53" s="179">
        <f t="shared" si="17"/>
        <v>0</v>
      </c>
      <c r="AX53" s="178">
        <f t="shared" si="1"/>
        <v>0</v>
      </c>
      <c r="AY53" s="178">
        <f t="shared" si="1"/>
        <v>0</v>
      </c>
      <c r="AZ53" s="179">
        <f t="shared" si="1"/>
        <v>0</v>
      </c>
      <c r="BA53" s="184">
        <f t="shared" ref="BA53:BD114" si="25">S53*AJ53/1000</f>
        <v>0</v>
      </c>
      <c r="BB53" s="178">
        <f t="shared" si="25"/>
        <v>16.772333999999997</v>
      </c>
      <c r="BC53" s="184">
        <f t="shared" si="25"/>
        <v>0</v>
      </c>
      <c r="BD53" s="178">
        <f t="shared" si="25"/>
        <v>0</v>
      </c>
      <c r="BE53" s="244">
        <f t="shared" si="3"/>
        <v>4</v>
      </c>
      <c r="BF53" s="245">
        <f t="shared" si="24"/>
        <v>1300</v>
      </c>
      <c r="BH53" s="255">
        <f t="shared" si="19"/>
        <v>9.9207000000000001</v>
      </c>
      <c r="BI53" s="255">
        <f t="shared" si="20"/>
        <v>0</v>
      </c>
      <c r="BJ53" s="255">
        <f t="shared" si="21"/>
        <v>0</v>
      </c>
      <c r="BK53" s="256">
        <f t="shared" si="22"/>
        <v>16.772333999999997</v>
      </c>
      <c r="BL53" s="262">
        <f t="shared" si="23"/>
        <v>0</v>
      </c>
      <c r="BM53" s="257">
        <f t="shared" si="5"/>
        <v>26.693033999999997</v>
      </c>
      <c r="BO53" s="714">
        <f t="shared" si="6"/>
        <v>20.533103076923073</v>
      </c>
    </row>
    <row r="54" spans="2:67" ht="15" customHeight="1" x14ac:dyDescent="0.25">
      <c r="B54" s="19"/>
      <c r="C54" s="785"/>
      <c r="D54" s="772"/>
      <c r="E54" s="836" t="s">
        <v>100</v>
      </c>
      <c r="G54" s="482">
        <f>SUM('DUoS (t)'!G54,'TUoS (t)'!G54,'JSO (t)'!G54)</f>
        <v>0</v>
      </c>
      <c r="H54" s="479">
        <f>SUM('DUoS (t)'!H54,'TUoS (t)'!H54,'JSO (t)'!H54)</f>
        <v>0</v>
      </c>
      <c r="I54" s="461">
        <f>SUM('DUoS (t)'!I54,'TUoS (t)'!I54,'JSO (t)'!I54)</f>
        <v>0</v>
      </c>
      <c r="J54" s="461">
        <f>SUM('DUoS (t)'!J54,'TUoS (t)'!J54,'JSO (t)'!J54)</f>
        <v>0</v>
      </c>
      <c r="K54" s="462">
        <f>SUM('DUoS (t)'!K54,'TUoS (t)'!K54,'JSO (t)'!K54)</f>
        <v>0</v>
      </c>
      <c r="L54" s="461">
        <f>SUM('DUoS (t)'!L54,'TUoS (t)'!L54,'JSO (t)'!L54)</f>
        <v>0</v>
      </c>
      <c r="M54" s="461">
        <f>SUM('DUoS (t)'!M54,'TUoS (t)'!M54,'JSO (t)'!M54)</f>
        <v>0</v>
      </c>
      <c r="N54" s="461">
        <f>SUM('DUoS (t)'!N54,'TUoS (t)'!N54,'JSO (t)'!N54)</f>
        <v>0</v>
      </c>
      <c r="O54" s="462">
        <f>SUM('DUoS (t)'!O54,'TUoS (t)'!O54,'JSO (t)'!O54)</f>
        <v>0</v>
      </c>
      <c r="P54" s="461">
        <f>SUM('DUoS (t)'!P54,'TUoS (t)'!P54,'JSO (t)'!P54)</f>
        <v>0</v>
      </c>
      <c r="Q54" s="461">
        <f>SUM('DUoS (t)'!Q54,'TUoS (t)'!Q54,'JSO (t)'!Q54)</f>
        <v>0</v>
      </c>
      <c r="R54" s="462">
        <f>SUM('DUoS (t)'!R54,'TUoS (t)'!R54,'JSO (t)'!R54)</f>
        <v>0</v>
      </c>
      <c r="S54" s="479">
        <f>SUM('DUoS (t)'!S54,'TUoS (t)'!S54,'JSO (t)'!S54)</f>
        <v>0</v>
      </c>
      <c r="T54" s="461">
        <f>SUM('DUoS (t)'!T54,'TUoS (t)'!T54,'JSO (t)'!T54)</f>
        <v>0</v>
      </c>
      <c r="U54" s="479">
        <f>SUM('DUoS (t)'!U54,'TUoS (t)'!U54,'JSO (t)'!U54)</f>
        <v>0</v>
      </c>
      <c r="V54" s="462">
        <f>SUM('DUoS (t)'!V54,'TUoS (t)'!V54,'JSO (t)'!V54)</f>
        <v>0</v>
      </c>
      <c r="X54" s="183">
        <f>'Q (t)'!G54</f>
        <v>0</v>
      </c>
      <c r="Y54" s="184">
        <f>'Q (t)'!H54</f>
        <v>0</v>
      </c>
      <c r="Z54" s="178">
        <f>'Q (t)'!I54</f>
        <v>0</v>
      </c>
      <c r="AA54" s="178">
        <f>'Q (t)'!J54</f>
        <v>0</v>
      </c>
      <c r="AB54" s="179">
        <f>'Q (t)'!K54</f>
        <v>0</v>
      </c>
      <c r="AC54" s="178">
        <f>'Q (t)'!L54</f>
        <v>0</v>
      </c>
      <c r="AD54" s="178">
        <f>'Q (t)'!M54</f>
        <v>0</v>
      </c>
      <c r="AE54" s="178">
        <f>'Q (t)'!N54</f>
        <v>0</v>
      </c>
      <c r="AF54" s="179">
        <f>'Q (t)'!O54</f>
        <v>0</v>
      </c>
      <c r="AG54" s="178">
        <f>'Q (t)'!P54</f>
        <v>0</v>
      </c>
      <c r="AH54" s="178">
        <f>'Q (t)'!Q54</f>
        <v>0</v>
      </c>
      <c r="AI54" s="179">
        <f>'Q (t)'!R54</f>
        <v>0</v>
      </c>
      <c r="AJ54" s="184">
        <f>'Q (t)'!S54</f>
        <v>0</v>
      </c>
      <c r="AK54" s="178">
        <f>'Q (t)'!T54</f>
        <v>0</v>
      </c>
      <c r="AL54" s="184">
        <f>'Q (t)'!U54</f>
        <v>0</v>
      </c>
      <c r="AM54" s="179">
        <f>'Q (t)'!V54</f>
        <v>0</v>
      </c>
      <c r="AO54" s="183">
        <f t="shared" ref="AO54:AO68" si="26">G54*X54/1000</f>
        <v>0</v>
      </c>
      <c r="AP54" s="184">
        <f t="shared" ref="AP54:AP68" si="27">H54*Y54</f>
        <v>0</v>
      </c>
      <c r="AQ54" s="178">
        <f t="shared" ref="AQ54:AQ68" si="28">I54*Z54</f>
        <v>0</v>
      </c>
      <c r="AR54" s="178">
        <f t="shared" ref="AR54:AR68" si="29">J54*AA54</f>
        <v>0</v>
      </c>
      <c r="AS54" s="179">
        <f t="shared" ref="AS54:AS68" si="30">K54*AB54</f>
        <v>0</v>
      </c>
      <c r="AT54" s="178">
        <f t="shared" ref="AT54:AT68" si="31">L54*AC54</f>
        <v>0</v>
      </c>
      <c r="AU54" s="178">
        <f t="shared" ref="AU54:AU68" si="32">M54*AD54</f>
        <v>0</v>
      </c>
      <c r="AV54" s="178">
        <f t="shared" ref="AV54:AV68" si="33">N54*AE54</f>
        <v>0</v>
      </c>
      <c r="AW54" s="179">
        <f t="shared" ref="AW54:AW68" si="34">O54*AF54</f>
        <v>0</v>
      </c>
      <c r="AX54" s="178">
        <f t="shared" ref="AX54:AX68" si="35">P54*AG54/1000</f>
        <v>0</v>
      </c>
      <c r="AY54" s="178">
        <f t="shared" ref="AY54:AY68" si="36">Q54*AH54/1000</f>
        <v>0</v>
      </c>
      <c r="AZ54" s="179">
        <f t="shared" ref="AZ54:AZ68" si="37">R54*AI54/1000</f>
        <v>0</v>
      </c>
      <c r="BA54" s="184">
        <f t="shared" ref="BA54:BA68" si="38">S54*AJ54/1000</f>
        <v>0</v>
      </c>
      <c r="BB54" s="178">
        <f t="shared" ref="BB54:BB68" si="39">T54*AK54/1000</f>
        <v>0</v>
      </c>
      <c r="BC54" s="184">
        <f t="shared" ref="BC54:BC68" si="40">U54*AL54/1000</f>
        <v>0</v>
      </c>
      <c r="BD54" s="178">
        <f t="shared" ref="BD54:BD68" si="41">V54*AM54/1000</f>
        <v>0</v>
      </c>
      <c r="BE54" s="244">
        <f t="shared" ref="BE54:BE68" si="42">X54/$BE$7</f>
        <v>0</v>
      </c>
      <c r="BF54" s="245">
        <f t="shared" ref="BF54:BF68" si="43">SUM(Y54:AF54)</f>
        <v>0</v>
      </c>
      <c r="BH54" s="255">
        <f t="shared" ref="BH54:BH68" si="44">SUM(AO54)</f>
        <v>0</v>
      </c>
      <c r="BI54" s="255">
        <f t="shared" ref="BI54:BI68" si="45">SUM(AP54:AS54)</f>
        <v>0</v>
      </c>
      <c r="BJ54" s="255">
        <f t="shared" ref="BJ54:BJ68" si="46">SUM(AT54:AW54)</f>
        <v>0</v>
      </c>
      <c r="BK54" s="256">
        <f t="shared" ref="BK54:BK68" si="47">SUM(AX54:BB54)</f>
        <v>0</v>
      </c>
      <c r="BL54" s="262">
        <f t="shared" ref="BL54:BL68" si="48">SUM(BC54:BD54)</f>
        <v>0</v>
      </c>
      <c r="BM54" s="257">
        <f t="shared" ref="BM54:BM68" si="49">SUM(BH54:BL54)</f>
        <v>0</v>
      </c>
      <c r="BO54" s="714" t="str">
        <f t="shared" ref="BO54:BO68" si="50">IF(BF54=0,"",BM54*1000/BF54)</f>
        <v/>
      </c>
    </row>
    <row r="55" spans="2:67" ht="15" customHeight="1" x14ac:dyDescent="0.25">
      <c r="B55" s="19">
        <f>B53+1</f>
        <v>10</v>
      </c>
      <c r="C55" s="44" t="s">
        <v>705</v>
      </c>
      <c r="D55" s="45"/>
      <c r="E55" s="105" t="s">
        <v>94</v>
      </c>
      <c r="G55" s="477">
        <f>SUM('DUoS (t)'!G55,'TUoS (t)'!G55,'JSO (t)'!G55)</f>
        <v>128.43799999999999</v>
      </c>
      <c r="H55" s="479">
        <f>SUM('DUoS (t)'!H55,'TUoS (t)'!H55,'JSO (t)'!H55)</f>
        <v>0</v>
      </c>
      <c r="I55" s="483">
        <f>SUM('DUoS (t)'!I55,'TUoS (t)'!I55,'JSO (t)'!I55)</f>
        <v>6.7299999999999999E-2</v>
      </c>
      <c r="J55" s="461">
        <f>SUM('DUoS (t)'!J55,'TUoS (t)'!J55,'JSO (t)'!J55)</f>
        <v>0</v>
      </c>
      <c r="K55" s="484">
        <f>SUM('DUoS (t)'!K55,'TUoS (t)'!K55,'JSO (t)'!K55)</f>
        <v>4.2000000000000003E-2</v>
      </c>
      <c r="L55" s="461">
        <f>SUM('DUoS (t)'!L55,'TUoS (t)'!L55,'JSO (t)'!L55)</f>
        <v>0</v>
      </c>
      <c r="M55" s="461">
        <f>SUM('DUoS (t)'!M55,'TUoS (t)'!M55,'JSO (t)'!M55)</f>
        <v>0</v>
      </c>
      <c r="N55" s="461">
        <f>SUM('DUoS (t)'!N55,'TUoS (t)'!N55,'JSO (t)'!N55)</f>
        <v>0</v>
      </c>
      <c r="O55" s="462">
        <f>SUM('DUoS (t)'!O55,'TUoS (t)'!O55,'JSO (t)'!O55)</f>
        <v>0</v>
      </c>
      <c r="P55" s="461">
        <f>SUM('DUoS (t)'!P55,'TUoS (t)'!P55,'JSO (t)'!P55)</f>
        <v>0</v>
      </c>
      <c r="Q55" s="461">
        <f>SUM('DUoS (t)'!Q55,'TUoS (t)'!Q55,'JSO (t)'!Q55)</f>
        <v>0</v>
      </c>
      <c r="R55" s="462">
        <f>SUM('DUoS (t)'!R55,'TUoS (t)'!R55,'JSO (t)'!R55)</f>
        <v>0</v>
      </c>
      <c r="S55" s="478">
        <f>SUM('DUoS (t)'!S55,'TUoS (t)'!S55,'JSO (t)'!S55)</f>
        <v>0.25990000000000002</v>
      </c>
      <c r="T55" s="483">
        <f>SUM('DUoS (t)'!T55,'TUoS (t)'!T55,'JSO (t)'!T55)</f>
        <v>0</v>
      </c>
      <c r="U55" s="479">
        <f>SUM('DUoS (t)'!U55,'TUoS (t)'!U55,'JSO (t)'!U55)</f>
        <v>0</v>
      </c>
      <c r="V55" s="462">
        <f>SUM('DUoS (t)'!V55,'TUoS (t)'!V55,'JSO (t)'!V55)</f>
        <v>0</v>
      </c>
      <c r="X55" s="183">
        <f>'Q (t)'!G55</f>
        <v>365</v>
      </c>
      <c r="Y55" s="184">
        <f>'Q (t)'!H55</f>
        <v>0</v>
      </c>
      <c r="Z55" s="178">
        <f>'Q (t)'!I55</f>
        <v>894</v>
      </c>
      <c r="AA55" s="178">
        <f>'Q (t)'!J55</f>
        <v>0</v>
      </c>
      <c r="AB55" s="179">
        <f>'Q (t)'!K55</f>
        <v>1055</v>
      </c>
      <c r="AC55" s="178">
        <f>'Q (t)'!L55</f>
        <v>0</v>
      </c>
      <c r="AD55" s="178">
        <f>'Q (t)'!M55</f>
        <v>0</v>
      </c>
      <c r="AE55" s="178">
        <f>'Q (t)'!N55</f>
        <v>0</v>
      </c>
      <c r="AF55" s="179">
        <f>'Q (t)'!O55</f>
        <v>0</v>
      </c>
      <c r="AG55" s="178">
        <f>'Q (t)'!P55</f>
        <v>0</v>
      </c>
      <c r="AH55" s="178">
        <f>'Q (t)'!Q55</f>
        <v>0</v>
      </c>
      <c r="AI55" s="179">
        <f>'Q (t)'!R55</f>
        <v>0</v>
      </c>
      <c r="AJ55" s="184">
        <f>'Q (t)'!S55</f>
        <v>308790</v>
      </c>
      <c r="AK55" s="178">
        <f>'Q (t)'!T55</f>
        <v>327405</v>
      </c>
      <c r="AL55" s="184">
        <f>'Q (t)'!U55</f>
        <v>0</v>
      </c>
      <c r="AM55" s="179">
        <f>'Q (t)'!V55</f>
        <v>0</v>
      </c>
      <c r="AO55" s="183">
        <f t="shared" si="26"/>
        <v>46.879869999999997</v>
      </c>
      <c r="AP55" s="184">
        <f t="shared" si="27"/>
        <v>0</v>
      </c>
      <c r="AQ55" s="178">
        <f t="shared" si="28"/>
        <v>60.166199999999996</v>
      </c>
      <c r="AR55" s="178">
        <f t="shared" si="29"/>
        <v>0</v>
      </c>
      <c r="AS55" s="179">
        <f t="shared" si="30"/>
        <v>44.31</v>
      </c>
      <c r="AT55" s="178">
        <f t="shared" si="31"/>
        <v>0</v>
      </c>
      <c r="AU55" s="178">
        <f t="shared" si="32"/>
        <v>0</v>
      </c>
      <c r="AV55" s="178">
        <f t="shared" si="33"/>
        <v>0</v>
      </c>
      <c r="AW55" s="179">
        <f t="shared" si="34"/>
        <v>0</v>
      </c>
      <c r="AX55" s="178">
        <f t="shared" si="35"/>
        <v>0</v>
      </c>
      <c r="AY55" s="178">
        <f t="shared" si="36"/>
        <v>0</v>
      </c>
      <c r="AZ55" s="179">
        <f t="shared" si="37"/>
        <v>0</v>
      </c>
      <c r="BA55" s="184">
        <f t="shared" si="38"/>
        <v>80.254521000000011</v>
      </c>
      <c r="BB55" s="178">
        <f t="shared" si="39"/>
        <v>0</v>
      </c>
      <c r="BC55" s="184">
        <f t="shared" si="40"/>
        <v>0</v>
      </c>
      <c r="BD55" s="178">
        <f t="shared" si="41"/>
        <v>0</v>
      </c>
      <c r="BE55" s="244">
        <f t="shared" si="42"/>
        <v>1</v>
      </c>
      <c r="BF55" s="245">
        <f t="shared" si="43"/>
        <v>1949</v>
      </c>
      <c r="BH55" s="255">
        <f t="shared" si="44"/>
        <v>46.879869999999997</v>
      </c>
      <c r="BI55" s="255">
        <f t="shared" si="45"/>
        <v>104.47620000000001</v>
      </c>
      <c r="BJ55" s="255">
        <f t="shared" si="46"/>
        <v>0</v>
      </c>
      <c r="BK55" s="256">
        <f t="shared" si="47"/>
        <v>80.254521000000011</v>
      </c>
      <c r="BL55" s="262">
        <f t="shared" si="48"/>
        <v>0</v>
      </c>
      <c r="BM55" s="257">
        <f t="shared" si="49"/>
        <v>231.610591</v>
      </c>
      <c r="BO55" s="714">
        <f t="shared" si="50"/>
        <v>118.83560338635196</v>
      </c>
    </row>
    <row r="56" spans="2:67" ht="15" customHeight="1" x14ac:dyDescent="0.25">
      <c r="B56" s="19">
        <f t="shared" ref="B56:B69" si="51">B55+1</f>
        <v>11</v>
      </c>
      <c r="C56" s="44" t="s">
        <v>567</v>
      </c>
      <c r="D56" s="834"/>
      <c r="E56" s="105" t="s">
        <v>94</v>
      </c>
      <c r="G56" s="477">
        <f>SUM('DUoS (t)'!G56,'TUoS (t)'!G56,'JSO (t)'!G56)</f>
        <v>133.9068</v>
      </c>
      <c r="H56" s="479">
        <f>SUM('DUoS (t)'!H56,'TUoS (t)'!H56,'JSO (t)'!H56)</f>
        <v>0</v>
      </c>
      <c r="I56" s="483">
        <f>SUM('DUoS (t)'!I56,'TUoS (t)'!I56,'JSO (t)'!I56)</f>
        <v>6.7299999999999999E-2</v>
      </c>
      <c r="J56" s="461">
        <f>SUM('DUoS (t)'!J56,'TUoS (t)'!J56,'JSO (t)'!J56)</f>
        <v>0</v>
      </c>
      <c r="K56" s="484">
        <f>SUM('DUoS (t)'!K56,'TUoS (t)'!K56,'JSO (t)'!K56)</f>
        <v>4.2000000000000003E-2</v>
      </c>
      <c r="L56" s="461">
        <f>SUM('DUoS (t)'!L56,'TUoS (t)'!L56,'JSO (t)'!L56)</f>
        <v>0</v>
      </c>
      <c r="M56" s="461">
        <f>SUM('DUoS (t)'!M56,'TUoS (t)'!M56,'JSO (t)'!M56)</f>
        <v>0</v>
      </c>
      <c r="N56" s="461">
        <f>SUM('DUoS (t)'!N56,'TUoS (t)'!N56,'JSO (t)'!N56)</f>
        <v>0</v>
      </c>
      <c r="O56" s="462">
        <f>SUM('DUoS (t)'!O56,'TUoS (t)'!O56,'JSO (t)'!O56)</f>
        <v>0</v>
      </c>
      <c r="P56" s="461">
        <f>SUM('DUoS (t)'!P56,'TUoS (t)'!P56,'JSO (t)'!P56)</f>
        <v>0</v>
      </c>
      <c r="Q56" s="461">
        <f>SUM('DUoS (t)'!Q56,'TUoS (t)'!Q56,'JSO (t)'!Q56)</f>
        <v>0</v>
      </c>
      <c r="R56" s="462">
        <f>SUM('DUoS (t)'!R56,'TUoS (t)'!R56,'JSO (t)'!R56)</f>
        <v>0</v>
      </c>
      <c r="S56" s="478">
        <f>SUM('DUoS (t)'!S56,'TUoS (t)'!S56,'JSO (t)'!S56)</f>
        <v>0.25990000000000002</v>
      </c>
      <c r="T56" s="483">
        <f>SUM('DUoS (t)'!T56,'TUoS (t)'!T56,'JSO (t)'!T56)</f>
        <v>0</v>
      </c>
      <c r="U56" s="479">
        <f>SUM('DUoS (t)'!U56,'TUoS (t)'!U56,'JSO (t)'!U56)</f>
        <v>0</v>
      </c>
      <c r="V56" s="462">
        <f>SUM('DUoS (t)'!V56,'TUoS (t)'!V56,'JSO (t)'!V56)</f>
        <v>0</v>
      </c>
      <c r="X56" s="183">
        <f>'Q (t)'!G56</f>
        <v>365</v>
      </c>
      <c r="Y56" s="184">
        <f>'Q (t)'!H56</f>
        <v>0</v>
      </c>
      <c r="Z56" s="178">
        <f>'Q (t)'!I56</f>
        <v>591</v>
      </c>
      <c r="AA56" s="178">
        <f>'Q (t)'!J56</f>
        <v>0</v>
      </c>
      <c r="AB56" s="179">
        <f>'Q (t)'!K56</f>
        <v>1952</v>
      </c>
      <c r="AC56" s="178">
        <f>'Q (t)'!L56</f>
        <v>0</v>
      </c>
      <c r="AD56" s="178">
        <f>'Q (t)'!M56</f>
        <v>0</v>
      </c>
      <c r="AE56" s="178">
        <f>'Q (t)'!N56</f>
        <v>0</v>
      </c>
      <c r="AF56" s="179">
        <f>'Q (t)'!O56</f>
        <v>0</v>
      </c>
      <c r="AG56" s="178">
        <f>'Q (t)'!P56</f>
        <v>0</v>
      </c>
      <c r="AH56" s="178">
        <f>'Q (t)'!Q56</f>
        <v>0</v>
      </c>
      <c r="AI56" s="179">
        <f>'Q (t)'!R56</f>
        <v>0</v>
      </c>
      <c r="AJ56" s="184">
        <f>'Q (t)'!S56</f>
        <v>202575</v>
      </c>
      <c r="AK56" s="178">
        <f>'Q (t)'!T56</f>
        <v>325945</v>
      </c>
      <c r="AL56" s="184">
        <f>'Q (t)'!U56</f>
        <v>0</v>
      </c>
      <c r="AM56" s="179">
        <f>'Q (t)'!V56</f>
        <v>0</v>
      </c>
      <c r="AO56" s="183">
        <f t="shared" si="26"/>
        <v>48.875982</v>
      </c>
      <c r="AP56" s="184">
        <f t="shared" si="27"/>
        <v>0</v>
      </c>
      <c r="AQ56" s="178">
        <f t="shared" si="28"/>
        <v>39.774299999999997</v>
      </c>
      <c r="AR56" s="178">
        <f t="shared" si="29"/>
        <v>0</v>
      </c>
      <c r="AS56" s="179">
        <f t="shared" si="30"/>
        <v>81.984000000000009</v>
      </c>
      <c r="AT56" s="178">
        <f t="shared" si="31"/>
        <v>0</v>
      </c>
      <c r="AU56" s="178">
        <f t="shared" si="32"/>
        <v>0</v>
      </c>
      <c r="AV56" s="178">
        <f t="shared" si="33"/>
        <v>0</v>
      </c>
      <c r="AW56" s="179">
        <f t="shared" si="34"/>
        <v>0</v>
      </c>
      <c r="AX56" s="178">
        <f t="shared" si="35"/>
        <v>0</v>
      </c>
      <c r="AY56" s="178">
        <f t="shared" si="36"/>
        <v>0</v>
      </c>
      <c r="AZ56" s="179">
        <f t="shared" si="37"/>
        <v>0</v>
      </c>
      <c r="BA56" s="184">
        <f t="shared" si="38"/>
        <v>52.649242500000007</v>
      </c>
      <c r="BB56" s="178">
        <f t="shared" si="39"/>
        <v>0</v>
      </c>
      <c r="BC56" s="184">
        <f t="shared" si="40"/>
        <v>0</v>
      </c>
      <c r="BD56" s="178">
        <f t="shared" si="41"/>
        <v>0</v>
      </c>
      <c r="BE56" s="244">
        <f t="shared" si="42"/>
        <v>1</v>
      </c>
      <c r="BF56" s="245">
        <f t="shared" si="43"/>
        <v>2543</v>
      </c>
      <c r="BH56" s="255">
        <f t="shared" si="44"/>
        <v>48.875982</v>
      </c>
      <c r="BI56" s="255">
        <f t="shared" si="45"/>
        <v>121.75830000000001</v>
      </c>
      <c r="BJ56" s="255">
        <f t="shared" si="46"/>
        <v>0</v>
      </c>
      <c r="BK56" s="256">
        <f t="shared" si="47"/>
        <v>52.649242500000007</v>
      </c>
      <c r="BL56" s="262">
        <f t="shared" si="48"/>
        <v>0</v>
      </c>
      <c r="BM56" s="257">
        <f t="shared" si="49"/>
        <v>223.28352450000003</v>
      </c>
      <c r="BO56" s="714">
        <f t="shared" si="50"/>
        <v>87.803194848604022</v>
      </c>
    </row>
    <row r="57" spans="2:67" ht="15" customHeight="1" x14ac:dyDescent="0.25">
      <c r="B57" s="19">
        <f t="shared" si="51"/>
        <v>12</v>
      </c>
      <c r="C57" s="833" t="s">
        <v>568</v>
      </c>
      <c r="D57" s="834"/>
      <c r="E57" s="835" t="s">
        <v>94</v>
      </c>
      <c r="G57" s="482">
        <f>SUM('DUoS (t)'!G57,'TUoS (t)'!G57,'JSO (t)'!G57)</f>
        <v>0</v>
      </c>
      <c r="H57" s="479">
        <f>SUM('DUoS (t)'!H57,'TUoS (t)'!H57,'JSO (t)'!H57)</f>
        <v>0</v>
      </c>
      <c r="I57" s="461">
        <f>SUM('DUoS (t)'!I57,'TUoS (t)'!I57,'JSO (t)'!I57)</f>
        <v>0</v>
      </c>
      <c r="J57" s="461">
        <f>SUM('DUoS (t)'!J57,'TUoS (t)'!J57,'JSO (t)'!J57)</f>
        <v>0</v>
      </c>
      <c r="K57" s="462">
        <f>SUM('DUoS (t)'!K57,'TUoS (t)'!K57,'JSO (t)'!K57)</f>
        <v>0</v>
      </c>
      <c r="L57" s="461">
        <f>SUM('DUoS (t)'!L57,'TUoS (t)'!L57,'JSO (t)'!L57)</f>
        <v>0</v>
      </c>
      <c r="M57" s="461">
        <f>SUM('DUoS (t)'!M57,'TUoS (t)'!M57,'JSO (t)'!M57)</f>
        <v>0</v>
      </c>
      <c r="N57" s="461">
        <f>SUM('DUoS (t)'!N57,'TUoS (t)'!N57,'JSO (t)'!N57)</f>
        <v>0</v>
      </c>
      <c r="O57" s="462">
        <f>SUM('DUoS (t)'!O57,'TUoS (t)'!O57,'JSO (t)'!O57)</f>
        <v>0</v>
      </c>
      <c r="P57" s="461">
        <f>SUM('DUoS (t)'!P57,'TUoS (t)'!P57,'JSO (t)'!P57)</f>
        <v>0</v>
      </c>
      <c r="Q57" s="461">
        <f>SUM('DUoS (t)'!Q57,'TUoS (t)'!Q57,'JSO (t)'!Q57)</f>
        <v>0</v>
      </c>
      <c r="R57" s="462">
        <f>SUM('DUoS (t)'!R57,'TUoS (t)'!R57,'JSO (t)'!R57)</f>
        <v>0</v>
      </c>
      <c r="S57" s="479">
        <f>SUM('DUoS (t)'!S57,'TUoS (t)'!S57,'JSO (t)'!S57)</f>
        <v>0</v>
      </c>
      <c r="T57" s="461">
        <f>SUM('DUoS (t)'!T57,'TUoS (t)'!T57,'JSO (t)'!T57)</f>
        <v>0</v>
      </c>
      <c r="U57" s="479">
        <f>SUM('DUoS (t)'!U57,'TUoS (t)'!U57,'JSO (t)'!U57)</f>
        <v>0</v>
      </c>
      <c r="V57" s="462">
        <f>SUM('DUoS (t)'!V57,'TUoS (t)'!V57,'JSO (t)'!V57)</f>
        <v>0</v>
      </c>
      <c r="X57" s="183">
        <f>'Q (t)'!G57</f>
        <v>0</v>
      </c>
      <c r="Y57" s="184">
        <f>'Q (t)'!H57</f>
        <v>0</v>
      </c>
      <c r="Z57" s="178">
        <f>'Q (t)'!I57</f>
        <v>0</v>
      </c>
      <c r="AA57" s="178">
        <f>'Q (t)'!J57</f>
        <v>0</v>
      </c>
      <c r="AB57" s="179">
        <f>'Q (t)'!K57</f>
        <v>0</v>
      </c>
      <c r="AC57" s="178">
        <f>'Q (t)'!L57</f>
        <v>0</v>
      </c>
      <c r="AD57" s="178">
        <f>'Q (t)'!M57</f>
        <v>0</v>
      </c>
      <c r="AE57" s="178">
        <f>'Q (t)'!N57</f>
        <v>0</v>
      </c>
      <c r="AF57" s="179">
        <f>'Q (t)'!O57</f>
        <v>0</v>
      </c>
      <c r="AG57" s="178">
        <f>'Q (t)'!P57</f>
        <v>0</v>
      </c>
      <c r="AH57" s="178">
        <f>'Q (t)'!Q57</f>
        <v>0</v>
      </c>
      <c r="AI57" s="179">
        <f>'Q (t)'!R57</f>
        <v>0</v>
      </c>
      <c r="AJ57" s="184">
        <f>'Q (t)'!S57</f>
        <v>0</v>
      </c>
      <c r="AK57" s="178">
        <f>'Q (t)'!T57</f>
        <v>0</v>
      </c>
      <c r="AL57" s="184">
        <f>'Q (t)'!U57</f>
        <v>0</v>
      </c>
      <c r="AM57" s="179">
        <f>'Q (t)'!V57</f>
        <v>0</v>
      </c>
      <c r="AO57" s="183">
        <f t="shared" si="26"/>
        <v>0</v>
      </c>
      <c r="AP57" s="184">
        <f t="shared" si="27"/>
        <v>0</v>
      </c>
      <c r="AQ57" s="178">
        <f t="shared" si="28"/>
        <v>0</v>
      </c>
      <c r="AR57" s="178">
        <f t="shared" si="29"/>
        <v>0</v>
      </c>
      <c r="AS57" s="179">
        <f t="shared" si="30"/>
        <v>0</v>
      </c>
      <c r="AT57" s="178">
        <f t="shared" si="31"/>
        <v>0</v>
      </c>
      <c r="AU57" s="178">
        <f t="shared" si="32"/>
        <v>0</v>
      </c>
      <c r="AV57" s="178">
        <f t="shared" si="33"/>
        <v>0</v>
      </c>
      <c r="AW57" s="179">
        <f t="shared" si="34"/>
        <v>0</v>
      </c>
      <c r="AX57" s="178">
        <f t="shared" si="35"/>
        <v>0</v>
      </c>
      <c r="AY57" s="178">
        <f t="shared" si="36"/>
        <v>0</v>
      </c>
      <c r="AZ57" s="179">
        <f t="shared" si="37"/>
        <v>0</v>
      </c>
      <c r="BA57" s="184">
        <f t="shared" si="38"/>
        <v>0</v>
      </c>
      <c r="BB57" s="178">
        <f t="shared" si="39"/>
        <v>0</v>
      </c>
      <c r="BC57" s="184">
        <f t="shared" si="40"/>
        <v>0</v>
      </c>
      <c r="BD57" s="178">
        <f t="shared" si="41"/>
        <v>0</v>
      </c>
      <c r="BE57" s="244">
        <f t="shared" si="42"/>
        <v>0</v>
      </c>
      <c r="BF57" s="245">
        <f t="shared" si="43"/>
        <v>0</v>
      </c>
      <c r="BH57" s="255">
        <f t="shared" si="44"/>
        <v>0</v>
      </c>
      <c r="BI57" s="255">
        <f t="shared" si="45"/>
        <v>0</v>
      </c>
      <c r="BJ57" s="255">
        <f t="shared" si="46"/>
        <v>0</v>
      </c>
      <c r="BK57" s="256">
        <f t="shared" si="47"/>
        <v>0</v>
      </c>
      <c r="BL57" s="262">
        <f t="shared" si="48"/>
        <v>0</v>
      </c>
      <c r="BM57" s="257">
        <f t="shared" si="49"/>
        <v>0</v>
      </c>
      <c r="BO57" s="714" t="str">
        <f t="shared" si="50"/>
        <v/>
      </c>
    </row>
    <row r="58" spans="2:67" ht="15" customHeight="1" x14ac:dyDescent="0.25">
      <c r="B58" s="19">
        <f t="shared" si="51"/>
        <v>13</v>
      </c>
      <c r="C58" s="44" t="s">
        <v>569</v>
      </c>
      <c r="D58" s="834"/>
      <c r="E58" s="105" t="s">
        <v>94</v>
      </c>
      <c r="G58" s="477">
        <f>SUM('DUoS (t)'!G58,'TUoS (t)'!G58,'JSO (t)'!G58)</f>
        <v>130.07259999999999</v>
      </c>
      <c r="H58" s="479">
        <f>SUM('DUoS (t)'!H58,'TUoS (t)'!H58,'JSO (t)'!H58)</f>
        <v>0</v>
      </c>
      <c r="I58" s="483">
        <f>SUM('DUoS (t)'!I58,'TUoS (t)'!I58,'JSO (t)'!I58)</f>
        <v>6.7299999999999999E-2</v>
      </c>
      <c r="J58" s="461">
        <f>SUM('DUoS (t)'!J58,'TUoS (t)'!J58,'JSO (t)'!J58)</f>
        <v>0</v>
      </c>
      <c r="K58" s="484">
        <f>SUM('DUoS (t)'!K58,'TUoS (t)'!K58,'JSO (t)'!K58)</f>
        <v>4.2000000000000003E-2</v>
      </c>
      <c r="L58" s="461">
        <f>SUM('DUoS (t)'!L58,'TUoS (t)'!L58,'JSO (t)'!L58)</f>
        <v>0</v>
      </c>
      <c r="M58" s="461">
        <f>SUM('DUoS (t)'!M58,'TUoS (t)'!M58,'JSO (t)'!M58)</f>
        <v>0</v>
      </c>
      <c r="N58" s="461">
        <f>SUM('DUoS (t)'!N58,'TUoS (t)'!N58,'JSO (t)'!N58)</f>
        <v>0</v>
      </c>
      <c r="O58" s="462">
        <f>SUM('DUoS (t)'!O58,'TUoS (t)'!O58,'JSO (t)'!O58)</f>
        <v>0</v>
      </c>
      <c r="P58" s="461">
        <f>SUM('DUoS (t)'!P58,'TUoS (t)'!P58,'JSO (t)'!P58)</f>
        <v>0</v>
      </c>
      <c r="Q58" s="461">
        <f>SUM('DUoS (t)'!Q58,'TUoS (t)'!Q58,'JSO (t)'!Q58)</f>
        <v>0</v>
      </c>
      <c r="R58" s="462">
        <f>SUM('DUoS (t)'!R58,'TUoS (t)'!R58,'JSO (t)'!R58)</f>
        <v>0</v>
      </c>
      <c r="S58" s="478">
        <f>SUM('DUoS (t)'!S58,'TUoS (t)'!S58,'JSO (t)'!S58)</f>
        <v>0.25990000000000002</v>
      </c>
      <c r="T58" s="483">
        <f>SUM('DUoS (t)'!T58,'TUoS (t)'!T58,'JSO (t)'!T58)</f>
        <v>0</v>
      </c>
      <c r="U58" s="479">
        <f>SUM('DUoS (t)'!U58,'TUoS (t)'!U58,'JSO (t)'!U58)</f>
        <v>0</v>
      </c>
      <c r="V58" s="462">
        <f>SUM('DUoS (t)'!V58,'TUoS (t)'!V58,'JSO (t)'!V58)</f>
        <v>0</v>
      </c>
      <c r="X58" s="183">
        <f>'Q (t)'!G58</f>
        <v>365</v>
      </c>
      <c r="Y58" s="184">
        <f>'Q (t)'!H58</f>
        <v>0</v>
      </c>
      <c r="Z58" s="178">
        <f>'Q (t)'!I58</f>
        <v>983</v>
      </c>
      <c r="AA58" s="178">
        <f>'Q (t)'!J58</f>
        <v>0</v>
      </c>
      <c r="AB58" s="179">
        <f>'Q (t)'!K58</f>
        <v>1150</v>
      </c>
      <c r="AC58" s="178">
        <f>'Q (t)'!L58</f>
        <v>0</v>
      </c>
      <c r="AD58" s="178">
        <f>'Q (t)'!M58</f>
        <v>0</v>
      </c>
      <c r="AE58" s="178">
        <f>'Q (t)'!N58</f>
        <v>0</v>
      </c>
      <c r="AF58" s="179">
        <f>'Q (t)'!O58</f>
        <v>0</v>
      </c>
      <c r="AG58" s="178">
        <f>'Q (t)'!P58</f>
        <v>0</v>
      </c>
      <c r="AH58" s="178">
        <f>'Q (t)'!Q58</f>
        <v>0</v>
      </c>
      <c r="AI58" s="179">
        <f>'Q (t)'!R58</f>
        <v>0</v>
      </c>
      <c r="AJ58" s="184">
        <f>'Q (t)'!S58</f>
        <v>292365</v>
      </c>
      <c r="AK58" s="178">
        <f>'Q (t)'!T58</f>
        <v>347480</v>
      </c>
      <c r="AL58" s="184">
        <f>'Q (t)'!U58</f>
        <v>0</v>
      </c>
      <c r="AM58" s="179">
        <f>'Q (t)'!V58</f>
        <v>0</v>
      </c>
      <c r="AO58" s="183">
        <f t="shared" si="26"/>
        <v>47.476498999999997</v>
      </c>
      <c r="AP58" s="184">
        <f t="shared" si="27"/>
        <v>0</v>
      </c>
      <c r="AQ58" s="178">
        <f t="shared" si="28"/>
        <v>66.155900000000003</v>
      </c>
      <c r="AR58" s="178">
        <f t="shared" si="29"/>
        <v>0</v>
      </c>
      <c r="AS58" s="179">
        <f t="shared" si="30"/>
        <v>48.300000000000004</v>
      </c>
      <c r="AT58" s="178">
        <f t="shared" si="31"/>
        <v>0</v>
      </c>
      <c r="AU58" s="178">
        <f t="shared" si="32"/>
        <v>0</v>
      </c>
      <c r="AV58" s="178">
        <f t="shared" si="33"/>
        <v>0</v>
      </c>
      <c r="AW58" s="179">
        <f t="shared" si="34"/>
        <v>0</v>
      </c>
      <c r="AX58" s="178">
        <f t="shared" si="35"/>
        <v>0</v>
      </c>
      <c r="AY58" s="178">
        <f t="shared" si="36"/>
        <v>0</v>
      </c>
      <c r="AZ58" s="179">
        <f t="shared" si="37"/>
        <v>0</v>
      </c>
      <c r="BA58" s="184">
        <f t="shared" si="38"/>
        <v>75.985663500000015</v>
      </c>
      <c r="BB58" s="178">
        <f t="shared" si="39"/>
        <v>0</v>
      </c>
      <c r="BC58" s="184">
        <f t="shared" si="40"/>
        <v>0</v>
      </c>
      <c r="BD58" s="178">
        <f t="shared" si="41"/>
        <v>0</v>
      </c>
      <c r="BE58" s="244">
        <f t="shared" si="42"/>
        <v>1</v>
      </c>
      <c r="BF58" s="245">
        <f t="shared" si="43"/>
        <v>2133</v>
      </c>
      <c r="BH58" s="255">
        <f t="shared" si="44"/>
        <v>47.476498999999997</v>
      </c>
      <c r="BI58" s="255">
        <f t="shared" si="45"/>
        <v>114.45590000000001</v>
      </c>
      <c r="BJ58" s="255">
        <f t="shared" si="46"/>
        <v>0</v>
      </c>
      <c r="BK58" s="256">
        <f t="shared" si="47"/>
        <v>75.985663500000015</v>
      </c>
      <c r="BL58" s="262">
        <f t="shared" si="48"/>
        <v>0</v>
      </c>
      <c r="BM58" s="257">
        <f t="shared" si="49"/>
        <v>237.91806250000002</v>
      </c>
      <c r="BO58" s="714">
        <f t="shared" si="50"/>
        <v>111.54152015939992</v>
      </c>
    </row>
    <row r="59" spans="2:67" ht="15" customHeight="1" x14ac:dyDescent="0.25">
      <c r="B59" s="19">
        <f t="shared" si="51"/>
        <v>14</v>
      </c>
      <c r="C59" s="44" t="s">
        <v>570</v>
      </c>
      <c r="D59" s="834"/>
      <c r="E59" s="105" t="s">
        <v>94</v>
      </c>
      <c r="G59" s="477">
        <f>SUM('DUoS (t)'!G59,'TUoS (t)'!G59,'JSO (t)'!G59)</f>
        <v>99.633600000000001</v>
      </c>
      <c r="H59" s="479">
        <f>SUM('DUoS (t)'!H59,'TUoS (t)'!H59,'JSO (t)'!H59)</f>
        <v>0</v>
      </c>
      <c r="I59" s="483">
        <f>SUM('DUoS (t)'!I59,'TUoS (t)'!I59,'JSO (t)'!I59)</f>
        <v>6.7299999999999999E-2</v>
      </c>
      <c r="J59" s="461">
        <f>SUM('DUoS (t)'!J59,'TUoS (t)'!J59,'JSO (t)'!J59)</f>
        <v>0</v>
      </c>
      <c r="K59" s="484">
        <f>SUM('DUoS (t)'!K59,'TUoS (t)'!K59,'JSO (t)'!K59)</f>
        <v>4.2000000000000003E-2</v>
      </c>
      <c r="L59" s="461">
        <f>SUM('DUoS (t)'!L59,'TUoS (t)'!L59,'JSO (t)'!L59)</f>
        <v>0</v>
      </c>
      <c r="M59" s="461">
        <f>SUM('DUoS (t)'!M59,'TUoS (t)'!M59,'JSO (t)'!M59)</f>
        <v>0</v>
      </c>
      <c r="N59" s="461">
        <f>SUM('DUoS (t)'!N59,'TUoS (t)'!N59,'JSO (t)'!N59)</f>
        <v>0</v>
      </c>
      <c r="O59" s="462">
        <f>SUM('DUoS (t)'!O59,'TUoS (t)'!O59,'JSO (t)'!O59)</f>
        <v>0</v>
      </c>
      <c r="P59" s="461">
        <f>SUM('DUoS (t)'!P59,'TUoS (t)'!P59,'JSO (t)'!P59)</f>
        <v>0</v>
      </c>
      <c r="Q59" s="461">
        <f>SUM('DUoS (t)'!Q59,'TUoS (t)'!Q59,'JSO (t)'!Q59)</f>
        <v>0</v>
      </c>
      <c r="R59" s="462">
        <f>SUM('DUoS (t)'!R59,'TUoS (t)'!R59,'JSO (t)'!R59)</f>
        <v>0</v>
      </c>
      <c r="S59" s="478">
        <f>SUM('DUoS (t)'!S59,'TUoS (t)'!S59,'JSO (t)'!S59)</f>
        <v>0.25990000000000002</v>
      </c>
      <c r="T59" s="483">
        <f>SUM('DUoS (t)'!T59,'TUoS (t)'!T59,'JSO (t)'!T59)</f>
        <v>0</v>
      </c>
      <c r="U59" s="479">
        <f>SUM('DUoS (t)'!U59,'TUoS (t)'!U59,'JSO (t)'!U59)</f>
        <v>0</v>
      </c>
      <c r="V59" s="462">
        <f>SUM('DUoS (t)'!V59,'TUoS (t)'!V59,'JSO (t)'!V59)</f>
        <v>0</v>
      </c>
      <c r="X59" s="183">
        <f>'Q (t)'!G59</f>
        <v>365</v>
      </c>
      <c r="Y59" s="184">
        <f>'Q (t)'!H59</f>
        <v>0</v>
      </c>
      <c r="Z59" s="178">
        <f>'Q (t)'!I59</f>
        <v>998</v>
      </c>
      <c r="AA59" s="178">
        <f>'Q (t)'!J59</f>
        <v>0</v>
      </c>
      <c r="AB59" s="179">
        <f>'Q (t)'!K59</f>
        <v>2039</v>
      </c>
      <c r="AC59" s="178">
        <f>'Q (t)'!L59</f>
        <v>0</v>
      </c>
      <c r="AD59" s="178">
        <f>'Q (t)'!M59</f>
        <v>0</v>
      </c>
      <c r="AE59" s="178">
        <f>'Q (t)'!N59</f>
        <v>0</v>
      </c>
      <c r="AF59" s="179">
        <f>'Q (t)'!O59</f>
        <v>0</v>
      </c>
      <c r="AG59" s="178">
        <f>'Q (t)'!P59</f>
        <v>0</v>
      </c>
      <c r="AH59" s="178">
        <f>'Q (t)'!Q59</f>
        <v>0</v>
      </c>
      <c r="AI59" s="179">
        <f>'Q (t)'!R59</f>
        <v>0</v>
      </c>
      <c r="AJ59" s="184">
        <f>'Q (t)'!S59</f>
        <v>225935</v>
      </c>
      <c r="AK59" s="178">
        <f>'Q (t)'!T59</f>
        <v>291270</v>
      </c>
      <c r="AL59" s="184">
        <f>'Q (t)'!U59</f>
        <v>0</v>
      </c>
      <c r="AM59" s="179">
        <f>'Q (t)'!V59</f>
        <v>0</v>
      </c>
      <c r="AO59" s="183">
        <f t="shared" si="26"/>
        <v>36.366264000000001</v>
      </c>
      <c r="AP59" s="184">
        <f t="shared" si="27"/>
        <v>0</v>
      </c>
      <c r="AQ59" s="178">
        <f t="shared" si="28"/>
        <v>67.165400000000005</v>
      </c>
      <c r="AR59" s="178">
        <f t="shared" si="29"/>
        <v>0</v>
      </c>
      <c r="AS59" s="179">
        <f t="shared" si="30"/>
        <v>85.638000000000005</v>
      </c>
      <c r="AT59" s="178">
        <f t="shared" si="31"/>
        <v>0</v>
      </c>
      <c r="AU59" s="178">
        <f t="shared" si="32"/>
        <v>0</v>
      </c>
      <c r="AV59" s="178">
        <f t="shared" si="33"/>
        <v>0</v>
      </c>
      <c r="AW59" s="179">
        <f t="shared" si="34"/>
        <v>0</v>
      </c>
      <c r="AX59" s="178">
        <f t="shared" si="35"/>
        <v>0</v>
      </c>
      <c r="AY59" s="178">
        <f t="shared" si="36"/>
        <v>0</v>
      </c>
      <c r="AZ59" s="179">
        <f t="shared" si="37"/>
        <v>0</v>
      </c>
      <c r="BA59" s="184">
        <f t="shared" si="38"/>
        <v>58.720506500000006</v>
      </c>
      <c r="BB59" s="178">
        <f t="shared" si="39"/>
        <v>0</v>
      </c>
      <c r="BC59" s="184">
        <f t="shared" si="40"/>
        <v>0</v>
      </c>
      <c r="BD59" s="178">
        <f t="shared" si="41"/>
        <v>0</v>
      </c>
      <c r="BE59" s="244">
        <f t="shared" si="42"/>
        <v>1</v>
      </c>
      <c r="BF59" s="245">
        <f t="shared" si="43"/>
        <v>3037</v>
      </c>
      <c r="BH59" s="255">
        <f t="shared" si="44"/>
        <v>36.366264000000001</v>
      </c>
      <c r="BI59" s="255">
        <f t="shared" si="45"/>
        <v>152.80340000000001</v>
      </c>
      <c r="BJ59" s="255">
        <f t="shared" si="46"/>
        <v>0</v>
      </c>
      <c r="BK59" s="256">
        <f t="shared" si="47"/>
        <v>58.720506500000006</v>
      </c>
      <c r="BL59" s="262">
        <f t="shared" si="48"/>
        <v>0</v>
      </c>
      <c r="BM59" s="257">
        <f t="shared" si="49"/>
        <v>247.89017050000001</v>
      </c>
      <c r="BO59" s="714">
        <f t="shared" si="50"/>
        <v>81.623368620349027</v>
      </c>
    </row>
    <row r="60" spans="2:67" ht="15" customHeight="1" x14ac:dyDescent="0.25">
      <c r="B60" s="19">
        <f t="shared" si="51"/>
        <v>15</v>
      </c>
      <c r="C60" s="44" t="s">
        <v>572</v>
      </c>
      <c r="D60" s="45"/>
      <c r="E60" s="105" t="s">
        <v>94</v>
      </c>
      <c r="G60" s="477">
        <f>SUM('DUoS (t)'!G60,'TUoS (t)'!G60,'JSO (t)'!G60)</f>
        <v>271.72080000000005</v>
      </c>
      <c r="H60" s="479">
        <f>SUM('DUoS (t)'!H60,'TUoS (t)'!H60,'JSO (t)'!H60)</f>
        <v>0</v>
      </c>
      <c r="I60" s="483">
        <f>SUM('DUoS (t)'!I60,'TUoS (t)'!I60,'JSO (t)'!I60)</f>
        <v>6.7299999999999999E-2</v>
      </c>
      <c r="J60" s="461">
        <f>SUM('DUoS (t)'!J60,'TUoS (t)'!J60,'JSO (t)'!J60)</f>
        <v>0</v>
      </c>
      <c r="K60" s="484">
        <f>SUM('DUoS (t)'!K60,'TUoS (t)'!K60,'JSO (t)'!K60)</f>
        <v>4.2000000000000003E-2</v>
      </c>
      <c r="L60" s="461">
        <f>SUM('DUoS (t)'!L60,'TUoS (t)'!L60,'JSO (t)'!L60)</f>
        <v>0</v>
      </c>
      <c r="M60" s="461">
        <f>SUM('DUoS (t)'!M60,'TUoS (t)'!M60,'JSO (t)'!M60)</f>
        <v>0</v>
      </c>
      <c r="N60" s="461">
        <f>SUM('DUoS (t)'!N60,'TUoS (t)'!N60,'JSO (t)'!N60)</f>
        <v>0</v>
      </c>
      <c r="O60" s="462">
        <f>SUM('DUoS (t)'!O60,'TUoS (t)'!O60,'JSO (t)'!O60)</f>
        <v>0</v>
      </c>
      <c r="P60" s="461">
        <f>SUM('DUoS (t)'!P60,'TUoS (t)'!P60,'JSO (t)'!P60)</f>
        <v>0</v>
      </c>
      <c r="Q60" s="461">
        <f>SUM('DUoS (t)'!Q60,'TUoS (t)'!Q60,'JSO (t)'!Q60)</f>
        <v>0</v>
      </c>
      <c r="R60" s="462">
        <f>SUM('DUoS (t)'!R60,'TUoS (t)'!R60,'JSO (t)'!R60)</f>
        <v>0</v>
      </c>
      <c r="S60" s="478">
        <f>SUM('DUoS (t)'!S60,'TUoS (t)'!S60,'JSO (t)'!S60)</f>
        <v>0.25990000000000002</v>
      </c>
      <c r="T60" s="483">
        <f>SUM('DUoS (t)'!T60,'TUoS (t)'!T60,'JSO (t)'!T60)</f>
        <v>0</v>
      </c>
      <c r="U60" s="479">
        <f>SUM('DUoS (t)'!U60,'TUoS (t)'!U60,'JSO (t)'!U60)</f>
        <v>0</v>
      </c>
      <c r="V60" s="462">
        <f>SUM('DUoS (t)'!V60,'TUoS (t)'!V60,'JSO (t)'!V60)</f>
        <v>0</v>
      </c>
      <c r="X60" s="183">
        <f>'Q (t)'!G60</f>
        <v>365</v>
      </c>
      <c r="Y60" s="184">
        <f>'Q (t)'!H60</f>
        <v>0</v>
      </c>
      <c r="Z60" s="178">
        <f>'Q (t)'!I60</f>
        <v>3547</v>
      </c>
      <c r="AA60" s="178">
        <f>'Q (t)'!J60</f>
        <v>0</v>
      </c>
      <c r="AB60" s="179">
        <f>'Q (t)'!K60</f>
        <v>3188</v>
      </c>
      <c r="AC60" s="178">
        <f>'Q (t)'!L60</f>
        <v>0</v>
      </c>
      <c r="AD60" s="178">
        <f>'Q (t)'!M60</f>
        <v>0</v>
      </c>
      <c r="AE60" s="178">
        <f>'Q (t)'!N60</f>
        <v>0</v>
      </c>
      <c r="AF60" s="179">
        <f>'Q (t)'!O60</f>
        <v>0</v>
      </c>
      <c r="AG60" s="178">
        <f>'Q (t)'!P60</f>
        <v>0</v>
      </c>
      <c r="AH60" s="178">
        <f>'Q (t)'!Q60</f>
        <v>0</v>
      </c>
      <c r="AI60" s="179">
        <f>'Q (t)'!R60</f>
        <v>0</v>
      </c>
      <c r="AJ60" s="184">
        <f>'Q (t)'!S60</f>
        <v>810665</v>
      </c>
      <c r="AK60" s="178">
        <f>'Q (t)'!T60</f>
        <v>874175</v>
      </c>
      <c r="AL60" s="184">
        <f>'Q (t)'!U60</f>
        <v>0</v>
      </c>
      <c r="AM60" s="179">
        <f>'Q (t)'!V60</f>
        <v>0</v>
      </c>
      <c r="AO60" s="183">
        <f t="shared" si="26"/>
        <v>99.178092000000021</v>
      </c>
      <c r="AP60" s="184">
        <f t="shared" si="27"/>
        <v>0</v>
      </c>
      <c r="AQ60" s="178">
        <f t="shared" si="28"/>
        <v>238.7131</v>
      </c>
      <c r="AR60" s="178">
        <f t="shared" si="29"/>
        <v>0</v>
      </c>
      <c r="AS60" s="179">
        <f t="shared" si="30"/>
        <v>133.89600000000002</v>
      </c>
      <c r="AT60" s="178">
        <f t="shared" si="31"/>
        <v>0</v>
      </c>
      <c r="AU60" s="178">
        <f t="shared" si="32"/>
        <v>0</v>
      </c>
      <c r="AV60" s="178">
        <f t="shared" si="33"/>
        <v>0</v>
      </c>
      <c r="AW60" s="179">
        <f t="shared" si="34"/>
        <v>0</v>
      </c>
      <c r="AX60" s="178">
        <f t="shared" si="35"/>
        <v>0</v>
      </c>
      <c r="AY60" s="178">
        <f t="shared" si="36"/>
        <v>0</v>
      </c>
      <c r="AZ60" s="179">
        <f t="shared" si="37"/>
        <v>0</v>
      </c>
      <c r="BA60" s="184">
        <f t="shared" si="38"/>
        <v>210.6918335</v>
      </c>
      <c r="BB60" s="178">
        <f t="shared" si="39"/>
        <v>0</v>
      </c>
      <c r="BC60" s="184">
        <f t="shared" si="40"/>
        <v>0</v>
      </c>
      <c r="BD60" s="178">
        <f t="shared" si="41"/>
        <v>0</v>
      </c>
      <c r="BE60" s="244">
        <f t="shared" si="42"/>
        <v>1</v>
      </c>
      <c r="BF60" s="245">
        <f t="shared" si="43"/>
        <v>6735</v>
      </c>
      <c r="BH60" s="255">
        <f t="shared" si="44"/>
        <v>99.178092000000021</v>
      </c>
      <c r="BI60" s="255">
        <f t="shared" si="45"/>
        <v>372.60910000000001</v>
      </c>
      <c r="BJ60" s="255">
        <f t="shared" si="46"/>
        <v>0</v>
      </c>
      <c r="BK60" s="256">
        <f t="shared" si="47"/>
        <v>210.6918335</v>
      </c>
      <c r="BL60" s="262">
        <f t="shared" si="48"/>
        <v>0</v>
      </c>
      <c r="BM60" s="257">
        <f t="shared" si="49"/>
        <v>682.47902550000003</v>
      </c>
      <c r="BO60" s="714">
        <f t="shared" si="50"/>
        <v>101.33318864142539</v>
      </c>
    </row>
    <row r="61" spans="2:67" ht="15" customHeight="1" x14ac:dyDescent="0.25">
      <c r="B61" s="19">
        <f t="shared" si="51"/>
        <v>16</v>
      </c>
      <c r="C61" s="44" t="s">
        <v>651</v>
      </c>
      <c r="D61" s="45"/>
      <c r="E61" s="105" t="s">
        <v>94</v>
      </c>
      <c r="G61" s="477">
        <f>SUM('DUoS (t)'!G61,'TUoS (t)'!G61,'JSO (t)'!G61)</f>
        <v>203.821</v>
      </c>
      <c r="H61" s="479">
        <f>SUM('DUoS (t)'!H61,'TUoS (t)'!H61,'JSO (t)'!H61)</f>
        <v>0</v>
      </c>
      <c r="I61" s="483">
        <f>SUM('DUoS (t)'!I61,'TUoS (t)'!I61,'JSO (t)'!I61)</f>
        <v>6.7299999999999999E-2</v>
      </c>
      <c r="J61" s="461">
        <f>SUM('DUoS (t)'!J61,'TUoS (t)'!J61,'JSO (t)'!J61)</f>
        <v>0</v>
      </c>
      <c r="K61" s="484">
        <f>SUM('DUoS (t)'!K61,'TUoS (t)'!K61,'JSO (t)'!K61)</f>
        <v>4.2000000000000003E-2</v>
      </c>
      <c r="L61" s="461">
        <f>SUM('DUoS (t)'!L61,'TUoS (t)'!L61,'JSO (t)'!L61)</f>
        <v>0</v>
      </c>
      <c r="M61" s="461">
        <f>SUM('DUoS (t)'!M61,'TUoS (t)'!M61,'JSO (t)'!M61)</f>
        <v>0</v>
      </c>
      <c r="N61" s="461">
        <f>SUM('DUoS (t)'!N61,'TUoS (t)'!N61,'JSO (t)'!N61)</f>
        <v>0</v>
      </c>
      <c r="O61" s="462">
        <f>SUM('DUoS (t)'!O61,'TUoS (t)'!O61,'JSO (t)'!O61)</f>
        <v>0</v>
      </c>
      <c r="P61" s="461">
        <f>SUM('DUoS (t)'!P61,'TUoS (t)'!P61,'JSO (t)'!P61)</f>
        <v>0</v>
      </c>
      <c r="Q61" s="461">
        <f>SUM('DUoS (t)'!Q61,'TUoS (t)'!Q61,'JSO (t)'!Q61)</f>
        <v>0</v>
      </c>
      <c r="R61" s="462">
        <f>SUM('DUoS (t)'!R61,'TUoS (t)'!R61,'JSO (t)'!R61)</f>
        <v>0</v>
      </c>
      <c r="S61" s="478">
        <f>SUM('DUoS (t)'!S61,'TUoS (t)'!S61,'JSO (t)'!S61)</f>
        <v>0.25990000000000002</v>
      </c>
      <c r="T61" s="483">
        <f>SUM('DUoS (t)'!T61,'TUoS (t)'!T61,'JSO (t)'!T61)</f>
        <v>0</v>
      </c>
      <c r="U61" s="479">
        <f>SUM('DUoS (t)'!U61,'TUoS (t)'!U61,'JSO (t)'!U61)</f>
        <v>0</v>
      </c>
      <c r="V61" s="462">
        <f>SUM('DUoS (t)'!V61,'TUoS (t)'!V61,'JSO (t)'!V61)</f>
        <v>0</v>
      </c>
      <c r="X61" s="183">
        <f>'Q (t)'!G61</f>
        <v>365</v>
      </c>
      <c r="Y61" s="184">
        <f>'Q (t)'!H61</f>
        <v>0</v>
      </c>
      <c r="Z61" s="178">
        <f>'Q (t)'!I61</f>
        <v>375</v>
      </c>
      <c r="AA61" s="178">
        <f>'Q (t)'!J61</f>
        <v>0</v>
      </c>
      <c r="AB61" s="179">
        <f>'Q (t)'!K61</f>
        <v>1089</v>
      </c>
      <c r="AC61" s="178">
        <f>'Q (t)'!L61</f>
        <v>0</v>
      </c>
      <c r="AD61" s="178">
        <f>'Q (t)'!M61</f>
        <v>0</v>
      </c>
      <c r="AE61" s="178">
        <f>'Q (t)'!N61</f>
        <v>0</v>
      </c>
      <c r="AF61" s="179">
        <f>'Q (t)'!O61</f>
        <v>0</v>
      </c>
      <c r="AG61" s="178">
        <f>'Q (t)'!P61</f>
        <v>0</v>
      </c>
      <c r="AH61" s="178">
        <f>'Q (t)'!Q61</f>
        <v>0</v>
      </c>
      <c r="AI61" s="179">
        <f>'Q (t)'!R61</f>
        <v>0</v>
      </c>
      <c r="AJ61" s="184">
        <f>'Q (t)'!S61</f>
        <v>452235</v>
      </c>
      <c r="AK61" s="178">
        <f>'Q (t)'!T61</f>
        <v>485450</v>
      </c>
      <c r="AL61" s="184">
        <f>'Q (t)'!U61</f>
        <v>0</v>
      </c>
      <c r="AM61" s="179">
        <f>'Q (t)'!V61</f>
        <v>0</v>
      </c>
      <c r="AO61" s="183">
        <f t="shared" si="26"/>
        <v>74.394664999999989</v>
      </c>
      <c r="AP61" s="184">
        <f t="shared" si="27"/>
        <v>0</v>
      </c>
      <c r="AQ61" s="178">
        <f t="shared" si="28"/>
        <v>25.237500000000001</v>
      </c>
      <c r="AR61" s="178">
        <f t="shared" si="29"/>
        <v>0</v>
      </c>
      <c r="AS61" s="179">
        <f t="shared" si="30"/>
        <v>45.738</v>
      </c>
      <c r="AT61" s="178">
        <f t="shared" si="31"/>
        <v>0</v>
      </c>
      <c r="AU61" s="178">
        <f t="shared" si="32"/>
        <v>0</v>
      </c>
      <c r="AV61" s="178">
        <f t="shared" si="33"/>
        <v>0</v>
      </c>
      <c r="AW61" s="179">
        <f t="shared" si="34"/>
        <v>0</v>
      </c>
      <c r="AX61" s="178">
        <f t="shared" si="35"/>
        <v>0</v>
      </c>
      <c r="AY61" s="178">
        <f t="shared" si="36"/>
        <v>0</v>
      </c>
      <c r="AZ61" s="179">
        <f t="shared" si="37"/>
        <v>0</v>
      </c>
      <c r="BA61" s="184">
        <f t="shared" si="38"/>
        <v>117.53587650000001</v>
      </c>
      <c r="BB61" s="178">
        <f t="shared" si="39"/>
        <v>0</v>
      </c>
      <c r="BC61" s="184">
        <f t="shared" si="40"/>
        <v>0</v>
      </c>
      <c r="BD61" s="178">
        <f t="shared" si="41"/>
        <v>0</v>
      </c>
      <c r="BE61" s="244">
        <f t="shared" si="42"/>
        <v>1</v>
      </c>
      <c r="BF61" s="245">
        <f t="shared" si="43"/>
        <v>1464</v>
      </c>
      <c r="BH61" s="255">
        <f t="shared" si="44"/>
        <v>74.394664999999989</v>
      </c>
      <c r="BI61" s="255">
        <f t="shared" si="45"/>
        <v>70.975499999999997</v>
      </c>
      <c r="BJ61" s="255">
        <f t="shared" si="46"/>
        <v>0</v>
      </c>
      <c r="BK61" s="256">
        <f t="shared" si="47"/>
        <v>117.53587650000001</v>
      </c>
      <c r="BL61" s="262">
        <f t="shared" si="48"/>
        <v>0</v>
      </c>
      <c r="BM61" s="257">
        <f t="shared" si="49"/>
        <v>262.90604150000001</v>
      </c>
      <c r="BO61" s="714">
        <f t="shared" si="50"/>
        <v>179.58062943989071</v>
      </c>
    </row>
    <row r="62" spans="2:67" ht="15" customHeight="1" x14ac:dyDescent="0.25">
      <c r="B62" s="19">
        <f t="shared" si="51"/>
        <v>17</v>
      </c>
      <c r="C62" s="44" t="s">
        <v>707</v>
      </c>
      <c r="D62" s="45"/>
      <c r="E62" s="105" t="s">
        <v>94</v>
      </c>
      <c r="G62" s="477">
        <f>SUM('DUoS (t)'!G62,'TUoS (t)'!G62,'JSO (t)'!G62)</f>
        <v>265.73720000000003</v>
      </c>
      <c r="H62" s="479">
        <f>SUM('DUoS (t)'!H62,'TUoS (t)'!H62,'JSO (t)'!H62)</f>
        <v>0</v>
      </c>
      <c r="I62" s="483">
        <f>SUM('DUoS (t)'!I62,'TUoS (t)'!I62,'JSO (t)'!I62)</f>
        <v>6.7299999999999999E-2</v>
      </c>
      <c r="J62" s="461">
        <f>SUM('DUoS (t)'!J62,'TUoS (t)'!J62,'JSO (t)'!J62)</f>
        <v>0</v>
      </c>
      <c r="K62" s="484">
        <f>SUM('DUoS (t)'!K62,'TUoS (t)'!K62,'JSO (t)'!K62)</f>
        <v>4.2000000000000003E-2</v>
      </c>
      <c r="L62" s="461">
        <f>SUM('DUoS (t)'!L62,'TUoS (t)'!L62,'JSO (t)'!L62)</f>
        <v>0</v>
      </c>
      <c r="M62" s="461">
        <f>SUM('DUoS (t)'!M62,'TUoS (t)'!M62,'JSO (t)'!M62)</f>
        <v>0</v>
      </c>
      <c r="N62" s="461">
        <f>SUM('DUoS (t)'!N62,'TUoS (t)'!N62,'JSO (t)'!N62)</f>
        <v>0</v>
      </c>
      <c r="O62" s="462">
        <f>SUM('DUoS (t)'!O62,'TUoS (t)'!O62,'JSO (t)'!O62)</f>
        <v>0</v>
      </c>
      <c r="P62" s="461">
        <f>SUM('DUoS (t)'!P62,'TUoS (t)'!P62,'JSO (t)'!P62)</f>
        <v>0</v>
      </c>
      <c r="Q62" s="461">
        <f>SUM('DUoS (t)'!Q62,'TUoS (t)'!Q62,'JSO (t)'!Q62)</f>
        <v>0</v>
      </c>
      <c r="R62" s="462">
        <f>SUM('DUoS (t)'!R62,'TUoS (t)'!R62,'JSO (t)'!R62)</f>
        <v>0</v>
      </c>
      <c r="S62" s="478">
        <f>SUM('DUoS (t)'!S62,'TUoS (t)'!S62,'JSO (t)'!S62)</f>
        <v>0.25990000000000002</v>
      </c>
      <c r="T62" s="483">
        <f>SUM('DUoS (t)'!T62,'TUoS (t)'!T62,'JSO (t)'!T62)</f>
        <v>0</v>
      </c>
      <c r="U62" s="479">
        <f>SUM('DUoS (t)'!U62,'TUoS (t)'!U62,'JSO (t)'!U62)</f>
        <v>0</v>
      </c>
      <c r="V62" s="462">
        <f>SUM('DUoS (t)'!V62,'TUoS (t)'!V62,'JSO (t)'!V62)</f>
        <v>0</v>
      </c>
      <c r="X62" s="183">
        <f>'Q (t)'!G62</f>
        <v>365</v>
      </c>
      <c r="Y62" s="184">
        <f>'Q (t)'!H62</f>
        <v>0</v>
      </c>
      <c r="Z62" s="178">
        <f>'Q (t)'!I62</f>
        <v>1176</v>
      </c>
      <c r="AA62" s="178">
        <f>'Q (t)'!J62</f>
        <v>0</v>
      </c>
      <c r="AB62" s="179">
        <f>'Q (t)'!K62</f>
        <v>2059</v>
      </c>
      <c r="AC62" s="178">
        <f>'Q (t)'!L62</f>
        <v>0</v>
      </c>
      <c r="AD62" s="178">
        <f>'Q (t)'!M62</f>
        <v>0</v>
      </c>
      <c r="AE62" s="178">
        <f>'Q (t)'!N62</f>
        <v>0</v>
      </c>
      <c r="AF62" s="179">
        <f>'Q (t)'!O62</f>
        <v>0</v>
      </c>
      <c r="AG62" s="178">
        <f>'Q (t)'!P62</f>
        <v>0</v>
      </c>
      <c r="AH62" s="178">
        <f>'Q (t)'!Q62</f>
        <v>0</v>
      </c>
      <c r="AI62" s="179">
        <f>'Q (t)'!R62</f>
        <v>0</v>
      </c>
      <c r="AJ62" s="184">
        <f>'Q (t)'!S62</f>
        <v>308790</v>
      </c>
      <c r="AK62" s="178">
        <f>'Q (t)'!T62</f>
        <v>327405</v>
      </c>
      <c r="AL62" s="184">
        <f>'Q (t)'!U62</f>
        <v>0</v>
      </c>
      <c r="AM62" s="179">
        <f>'Q (t)'!V62</f>
        <v>0</v>
      </c>
      <c r="AO62" s="183">
        <f t="shared" si="26"/>
        <v>96.994078000000002</v>
      </c>
      <c r="AP62" s="184">
        <f t="shared" si="27"/>
        <v>0</v>
      </c>
      <c r="AQ62" s="178">
        <f t="shared" si="28"/>
        <v>79.144800000000004</v>
      </c>
      <c r="AR62" s="178">
        <f t="shared" si="29"/>
        <v>0</v>
      </c>
      <c r="AS62" s="179">
        <f t="shared" si="30"/>
        <v>86.478000000000009</v>
      </c>
      <c r="AT62" s="178">
        <f t="shared" si="31"/>
        <v>0</v>
      </c>
      <c r="AU62" s="178">
        <f t="shared" si="32"/>
        <v>0</v>
      </c>
      <c r="AV62" s="178">
        <f t="shared" si="33"/>
        <v>0</v>
      </c>
      <c r="AW62" s="179">
        <f t="shared" si="34"/>
        <v>0</v>
      </c>
      <c r="AX62" s="178">
        <f t="shared" si="35"/>
        <v>0</v>
      </c>
      <c r="AY62" s="178">
        <f t="shared" si="36"/>
        <v>0</v>
      </c>
      <c r="AZ62" s="179">
        <f t="shared" si="37"/>
        <v>0</v>
      </c>
      <c r="BA62" s="184">
        <f t="shared" si="38"/>
        <v>80.254521000000011</v>
      </c>
      <c r="BB62" s="178">
        <f t="shared" si="39"/>
        <v>0</v>
      </c>
      <c r="BC62" s="184">
        <f t="shared" si="40"/>
        <v>0</v>
      </c>
      <c r="BD62" s="178">
        <f t="shared" si="41"/>
        <v>0</v>
      </c>
      <c r="BE62" s="244">
        <f t="shared" si="42"/>
        <v>1</v>
      </c>
      <c r="BF62" s="245">
        <f t="shared" si="43"/>
        <v>3235</v>
      </c>
      <c r="BH62" s="255">
        <f t="shared" si="44"/>
        <v>96.994078000000002</v>
      </c>
      <c r="BI62" s="255">
        <f t="shared" si="45"/>
        <v>165.62280000000001</v>
      </c>
      <c r="BJ62" s="255">
        <f t="shared" si="46"/>
        <v>0</v>
      </c>
      <c r="BK62" s="256">
        <f t="shared" si="47"/>
        <v>80.254521000000011</v>
      </c>
      <c r="BL62" s="262">
        <f t="shared" si="48"/>
        <v>0</v>
      </c>
      <c r="BM62" s="257">
        <f t="shared" si="49"/>
        <v>342.87139900000005</v>
      </c>
      <c r="BO62" s="714">
        <f t="shared" si="50"/>
        <v>105.98806769706339</v>
      </c>
    </row>
    <row r="63" spans="2:67" ht="15" customHeight="1" x14ac:dyDescent="0.25">
      <c r="B63" s="19">
        <f t="shared" si="51"/>
        <v>18</v>
      </c>
      <c r="C63" s="44" t="s">
        <v>571</v>
      </c>
      <c r="D63" s="45"/>
      <c r="E63" s="105" t="s">
        <v>94</v>
      </c>
      <c r="G63" s="477">
        <f>SUM('DUoS (t)'!G63,'TUoS (t)'!G63,'JSO (t)'!G63)</f>
        <v>49.570000000000007</v>
      </c>
      <c r="H63" s="479">
        <f>SUM('DUoS (t)'!H63,'TUoS (t)'!H63,'JSO (t)'!H63)</f>
        <v>0</v>
      </c>
      <c r="I63" s="483">
        <f>SUM('DUoS (t)'!I63,'TUoS (t)'!I63,'JSO (t)'!I63)</f>
        <v>6.7299999999999999E-2</v>
      </c>
      <c r="J63" s="461">
        <f>SUM('DUoS (t)'!J63,'TUoS (t)'!J63,'JSO (t)'!J63)</f>
        <v>0</v>
      </c>
      <c r="K63" s="484">
        <f>SUM('DUoS (t)'!K63,'TUoS (t)'!K63,'JSO (t)'!K63)</f>
        <v>4.2000000000000003E-2</v>
      </c>
      <c r="L63" s="461">
        <f>SUM('DUoS (t)'!L63,'TUoS (t)'!L63,'JSO (t)'!L63)</f>
        <v>0</v>
      </c>
      <c r="M63" s="461">
        <f>SUM('DUoS (t)'!M63,'TUoS (t)'!M63,'JSO (t)'!M63)</f>
        <v>0</v>
      </c>
      <c r="N63" s="461">
        <f>SUM('DUoS (t)'!N63,'TUoS (t)'!N63,'JSO (t)'!N63)</f>
        <v>0</v>
      </c>
      <c r="O63" s="462">
        <f>SUM('DUoS (t)'!O63,'TUoS (t)'!O63,'JSO (t)'!O63)</f>
        <v>0</v>
      </c>
      <c r="P63" s="461">
        <f>SUM('DUoS (t)'!P63,'TUoS (t)'!P63,'JSO (t)'!P63)</f>
        <v>0</v>
      </c>
      <c r="Q63" s="461">
        <f>SUM('DUoS (t)'!Q63,'TUoS (t)'!Q63,'JSO (t)'!Q63)</f>
        <v>0</v>
      </c>
      <c r="R63" s="462">
        <f>SUM('DUoS (t)'!R63,'TUoS (t)'!R63,'JSO (t)'!R63)</f>
        <v>0</v>
      </c>
      <c r="S63" s="478">
        <f>SUM('DUoS (t)'!S63,'TUoS (t)'!S63,'JSO (t)'!S63)</f>
        <v>0.25990000000000002</v>
      </c>
      <c r="T63" s="483">
        <f>SUM('DUoS (t)'!T63,'TUoS (t)'!T63,'JSO (t)'!T63)</f>
        <v>0</v>
      </c>
      <c r="U63" s="479">
        <f>SUM('DUoS (t)'!U63,'TUoS (t)'!U63,'JSO (t)'!U63)</f>
        <v>0</v>
      </c>
      <c r="V63" s="462">
        <f>SUM('DUoS (t)'!V63,'TUoS (t)'!V63,'JSO (t)'!V63)</f>
        <v>0</v>
      </c>
      <c r="X63" s="183">
        <f>'Q (t)'!G63</f>
        <v>365</v>
      </c>
      <c r="Y63" s="184">
        <f>'Q (t)'!H63</f>
        <v>0</v>
      </c>
      <c r="Z63" s="178">
        <f>'Q (t)'!I63</f>
        <v>430</v>
      </c>
      <c r="AA63" s="178">
        <f>'Q (t)'!J63</f>
        <v>0</v>
      </c>
      <c r="AB63" s="179">
        <f>'Q (t)'!K63</f>
        <v>566</v>
      </c>
      <c r="AC63" s="178">
        <f>'Q (t)'!L63</f>
        <v>0</v>
      </c>
      <c r="AD63" s="178">
        <f>'Q (t)'!M63</f>
        <v>0</v>
      </c>
      <c r="AE63" s="178">
        <f>'Q (t)'!N63</f>
        <v>0</v>
      </c>
      <c r="AF63" s="179">
        <f>'Q (t)'!O63</f>
        <v>0</v>
      </c>
      <c r="AG63" s="178">
        <f>'Q (t)'!P63</f>
        <v>0</v>
      </c>
      <c r="AH63" s="178">
        <f>'Q (t)'!Q63</f>
        <v>0</v>
      </c>
      <c r="AI63" s="179">
        <f>'Q (t)'!R63</f>
        <v>0</v>
      </c>
      <c r="AJ63" s="184">
        <f>'Q (t)'!S63</f>
        <v>101470</v>
      </c>
      <c r="AK63" s="178">
        <f>'Q (t)'!T63</f>
        <v>114245</v>
      </c>
      <c r="AL63" s="184">
        <f>'Q (t)'!U63</f>
        <v>0</v>
      </c>
      <c r="AM63" s="179">
        <f>'Q (t)'!V63</f>
        <v>0</v>
      </c>
      <c r="AO63" s="183">
        <f t="shared" si="26"/>
        <v>18.093050000000002</v>
      </c>
      <c r="AP63" s="184">
        <f t="shared" si="27"/>
        <v>0</v>
      </c>
      <c r="AQ63" s="178">
        <f t="shared" si="28"/>
        <v>28.939</v>
      </c>
      <c r="AR63" s="178">
        <f t="shared" si="29"/>
        <v>0</v>
      </c>
      <c r="AS63" s="179">
        <f t="shared" si="30"/>
        <v>23.772000000000002</v>
      </c>
      <c r="AT63" s="178">
        <f t="shared" si="31"/>
        <v>0</v>
      </c>
      <c r="AU63" s="178">
        <f t="shared" si="32"/>
        <v>0</v>
      </c>
      <c r="AV63" s="178">
        <f t="shared" si="33"/>
        <v>0</v>
      </c>
      <c r="AW63" s="179">
        <f t="shared" si="34"/>
        <v>0</v>
      </c>
      <c r="AX63" s="178">
        <f t="shared" si="35"/>
        <v>0</v>
      </c>
      <c r="AY63" s="178">
        <f t="shared" si="36"/>
        <v>0</v>
      </c>
      <c r="AZ63" s="179">
        <f t="shared" si="37"/>
        <v>0</v>
      </c>
      <c r="BA63" s="184">
        <f t="shared" si="38"/>
        <v>26.372053000000005</v>
      </c>
      <c r="BB63" s="178">
        <f t="shared" si="39"/>
        <v>0</v>
      </c>
      <c r="BC63" s="184">
        <f t="shared" si="40"/>
        <v>0</v>
      </c>
      <c r="BD63" s="178">
        <f t="shared" si="41"/>
        <v>0</v>
      </c>
      <c r="BE63" s="244">
        <f t="shared" si="42"/>
        <v>1</v>
      </c>
      <c r="BF63" s="245">
        <f t="shared" si="43"/>
        <v>996</v>
      </c>
      <c r="BH63" s="255">
        <f t="shared" si="44"/>
        <v>18.093050000000002</v>
      </c>
      <c r="BI63" s="255">
        <f t="shared" si="45"/>
        <v>52.710999999999999</v>
      </c>
      <c r="BJ63" s="255">
        <f t="shared" si="46"/>
        <v>0</v>
      </c>
      <c r="BK63" s="256">
        <f t="shared" si="47"/>
        <v>26.372053000000005</v>
      </c>
      <c r="BL63" s="262">
        <f t="shared" si="48"/>
        <v>0</v>
      </c>
      <c r="BM63" s="257">
        <f t="shared" si="49"/>
        <v>97.176103000000012</v>
      </c>
      <c r="BO63" s="714">
        <f t="shared" si="50"/>
        <v>97.566368473895594</v>
      </c>
    </row>
    <row r="64" spans="2:67" ht="15" customHeight="1" x14ac:dyDescent="0.25">
      <c r="B64" s="19">
        <f t="shared" si="51"/>
        <v>19</v>
      </c>
      <c r="C64" s="44" t="s">
        <v>573</v>
      </c>
      <c r="D64" s="45"/>
      <c r="E64" s="105" t="s">
        <v>94</v>
      </c>
      <c r="G64" s="477">
        <f>SUM('DUoS (t)'!G64,'TUoS (t)'!G64,'JSO (t)'!G64)</f>
        <v>54.710000000000008</v>
      </c>
      <c r="H64" s="479">
        <f>SUM('DUoS (t)'!H64,'TUoS (t)'!H64,'JSO (t)'!H64)</f>
        <v>0</v>
      </c>
      <c r="I64" s="483">
        <f>SUM('DUoS (t)'!I64,'TUoS (t)'!I64,'JSO (t)'!I64)</f>
        <v>6.7299999999999999E-2</v>
      </c>
      <c r="J64" s="461">
        <f>SUM('DUoS (t)'!J64,'TUoS (t)'!J64,'JSO (t)'!J64)</f>
        <v>0</v>
      </c>
      <c r="K64" s="484">
        <f>SUM('DUoS (t)'!K64,'TUoS (t)'!K64,'JSO (t)'!K64)</f>
        <v>4.2000000000000003E-2</v>
      </c>
      <c r="L64" s="461">
        <f>SUM('DUoS (t)'!L64,'TUoS (t)'!L64,'JSO (t)'!L64)</f>
        <v>0</v>
      </c>
      <c r="M64" s="461">
        <f>SUM('DUoS (t)'!M64,'TUoS (t)'!M64,'JSO (t)'!M64)</f>
        <v>0</v>
      </c>
      <c r="N64" s="461">
        <f>SUM('DUoS (t)'!N64,'TUoS (t)'!N64,'JSO (t)'!N64)</f>
        <v>0</v>
      </c>
      <c r="O64" s="462">
        <f>SUM('DUoS (t)'!O64,'TUoS (t)'!O64,'JSO (t)'!O64)</f>
        <v>0</v>
      </c>
      <c r="P64" s="461">
        <f>SUM('DUoS (t)'!P64,'TUoS (t)'!P64,'JSO (t)'!P64)</f>
        <v>0</v>
      </c>
      <c r="Q64" s="461">
        <f>SUM('DUoS (t)'!Q64,'TUoS (t)'!Q64,'JSO (t)'!Q64)</f>
        <v>0</v>
      </c>
      <c r="R64" s="462">
        <f>SUM('DUoS (t)'!R64,'TUoS (t)'!R64,'JSO (t)'!R64)</f>
        <v>0</v>
      </c>
      <c r="S64" s="478">
        <f>SUM('DUoS (t)'!S64,'TUoS (t)'!S64,'JSO (t)'!S64)</f>
        <v>0.25990000000000002</v>
      </c>
      <c r="T64" s="483">
        <f>SUM('DUoS (t)'!T64,'TUoS (t)'!T64,'JSO (t)'!T64)</f>
        <v>0</v>
      </c>
      <c r="U64" s="479">
        <f>SUM('DUoS (t)'!U64,'TUoS (t)'!U64,'JSO (t)'!U64)</f>
        <v>0</v>
      </c>
      <c r="V64" s="462">
        <f>SUM('DUoS (t)'!V64,'TUoS (t)'!V64,'JSO (t)'!V64)</f>
        <v>0</v>
      </c>
      <c r="X64" s="183">
        <f>'Q (t)'!G64</f>
        <v>365</v>
      </c>
      <c r="Y64" s="184">
        <f>'Q (t)'!H64</f>
        <v>0</v>
      </c>
      <c r="Z64" s="178">
        <f>'Q (t)'!I64</f>
        <v>378</v>
      </c>
      <c r="AA64" s="178">
        <f>'Q (t)'!J64</f>
        <v>0</v>
      </c>
      <c r="AB64" s="179">
        <f>'Q (t)'!K64</f>
        <v>601</v>
      </c>
      <c r="AC64" s="178">
        <f>'Q (t)'!L64</f>
        <v>0</v>
      </c>
      <c r="AD64" s="178">
        <f>'Q (t)'!M64</f>
        <v>0</v>
      </c>
      <c r="AE64" s="178">
        <f>'Q (t)'!N64</f>
        <v>0</v>
      </c>
      <c r="AF64" s="179">
        <f>'Q (t)'!O64</f>
        <v>0</v>
      </c>
      <c r="AG64" s="178">
        <f>'Q (t)'!P64</f>
        <v>0</v>
      </c>
      <c r="AH64" s="178">
        <f>'Q (t)'!Q64</f>
        <v>0</v>
      </c>
      <c r="AI64" s="179">
        <f>'Q (t)'!R64</f>
        <v>0</v>
      </c>
      <c r="AJ64" s="184">
        <f>'Q (t)'!S64</f>
        <v>109865</v>
      </c>
      <c r="AK64" s="178">
        <f>'Q (t)'!T64</f>
        <v>127385</v>
      </c>
      <c r="AL64" s="184">
        <f>'Q (t)'!U64</f>
        <v>0</v>
      </c>
      <c r="AM64" s="179">
        <f>'Q (t)'!V64</f>
        <v>0</v>
      </c>
      <c r="AO64" s="183">
        <f t="shared" si="26"/>
        <v>19.969150000000003</v>
      </c>
      <c r="AP64" s="184">
        <f t="shared" si="27"/>
        <v>0</v>
      </c>
      <c r="AQ64" s="178">
        <f t="shared" si="28"/>
        <v>25.439399999999999</v>
      </c>
      <c r="AR64" s="178">
        <f t="shared" si="29"/>
        <v>0</v>
      </c>
      <c r="AS64" s="179">
        <f t="shared" si="30"/>
        <v>25.242000000000001</v>
      </c>
      <c r="AT64" s="178">
        <f t="shared" si="31"/>
        <v>0</v>
      </c>
      <c r="AU64" s="178">
        <f t="shared" si="32"/>
        <v>0</v>
      </c>
      <c r="AV64" s="178">
        <f t="shared" si="33"/>
        <v>0</v>
      </c>
      <c r="AW64" s="179">
        <f t="shared" si="34"/>
        <v>0</v>
      </c>
      <c r="AX64" s="178">
        <f t="shared" si="35"/>
        <v>0</v>
      </c>
      <c r="AY64" s="178">
        <f t="shared" si="36"/>
        <v>0</v>
      </c>
      <c r="AZ64" s="179">
        <f t="shared" si="37"/>
        <v>0</v>
      </c>
      <c r="BA64" s="184">
        <f t="shared" si="38"/>
        <v>28.553913500000004</v>
      </c>
      <c r="BB64" s="178">
        <f t="shared" si="39"/>
        <v>0</v>
      </c>
      <c r="BC64" s="184">
        <f t="shared" si="40"/>
        <v>0</v>
      </c>
      <c r="BD64" s="178">
        <f t="shared" si="41"/>
        <v>0</v>
      </c>
      <c r="BE64" s="244">
        <f t="shared" si="42"/>
        <v>1</v>
      </c>
      <c r="BF64" s="245">
        <f t="shared" si="43"/>
        <v>979</v>
      </c>
      <c r="BH64" s="255">
        <f t="shared" si="44"/>
        <v>19.969150000000003</v>
      </c>
      <c r="BI64" s="255">
        <f t="shared" si="45"/>
        <v>50.681399999999996</v>
      </c>
      <c r="BJ64" s="255">
        <f t="shared" si="46"/>
        <v>0</v>
      </c>
      <c r="BK64" s="256">
        <f t="shared" si="47"/>
        <v>28.553913500000004</v>
      </c>
      <c r="BL64" s="262">
        <f t="shared" si="48"/>
        <v>0</v>
      </c>
      <c r="BM64" s="257">
        <f t="shared" si="49"/>
        <v>99.204463500000003</v>
      </c>
      <c r="BO64" s="714">
        <f t="shared" si="50"/>
        <v>101.33244484167518</v>
      </c>
    </row>
    <row r="65" spans="2:72" ht="15" customHeight="1" x14ac:dyDescent="0.25">
      <c r="B65" s="19">
        <f t="shared" si="51"/>
        <v>20</v>
      </c>
      <c r="C65" s="833" t="s">
        <v>574</v>
      </c>
      <c r="D65" s="834"/>
      <c r="E65" s="835" t="s">
        <v>94</v>
      </c>
      <c r="G65" s="482">
        <f>SUM('DUoS (t)'!G65,'TUoS (t)'!G65,'JSO (t)'!G65)</f>
        <v>0</v>
      </c>
      <c r="H65" s="479">
        <f>SUM('DUoS (t)'!H65,'TUoS (t)'!H65,'JSO (t)'!H65)</f>
        <v>0</v>
      </c>
      <c r="I65" s="461">
        <f>SUM('DUoS (t)'!I65,'TUoS (t)'!I65,'JSO (t)'!I65)</f>
        <v>0</v>
      </c>
      <c r="J65" s="461">
        <f>SUM('DUoS (t)'!J65,'TUoS (t)'!J65,'JSO (t)'!J65)</f>
        <v>0</v>
      </c>
      <c r="K65" s="462">
        <f>SUM('DUoS (t)'!K65,'TUoS (t)'!K65,'JSO (t)'!K65)</f>
        <v>0</v>
      </c>
      <c r="L65" s="461">
        <f>SUM('DUoS (t)'!L65,'TUoS (t)'!L65,'JSO (t)'!L65)</f>
        <v>0</v>
      </c>
      <c r="M65" s="461">
        <f>SUM('DUoS (t)'!M65,'TUoS (t)'!M65,'JSO (t)'!M65)</f>
        <v>0</v>
      </c>
      <c r="N65" s="461">
        <f>SUM('DUoS (t)'!N65,'TUoS (t)'!N65,'JSO (t)'!N65)</f>
        <v>0</v>
      </c>
      <c r="O65" s="462">
        <f>SUM('DUoS (t)'!O65,'TUoS (t)'!O65,'JSO (t)'!O65)</f>
        <v>0</v>
      </c>
      <c r="P65" s="461">
        <f>SUM('DUoS (t)'!P65,'TUoS (t)'!P65,'JSO (t)'!P65)</f>
        <v>0</v>
      </c>
      <c r="Q65" s="461">
        <f>SUM('DUoS (t)'!Q65,'TUoS (t)'!Q65,'JSO (t)'!Q65)</f>
        <v>0</v>
      </c>
      <c r="R65" s="462">
        <f>SUM('DUoS (t)'!R65,'TUoS (t)'!R65,'JSO (t)'!R65)</f>
        <v>0</v>
      </c>
      <c r="S65" s="479">
        <f>SUM('DUoS (t)'!S65,'TUoS (t)'!S65,'JSO (t)'!S65)</f>
        <v>0</v>
      </c>
      <c r="T65" s="461">
        <f>SUM('DUoS (t)'!T65,'TUoS (t)'!T65,'JSO (t)'!T65)</f>
        <v>0</v>
      </c>
      <c r="U65" s="479">
        <f>SUM('DUoS (t)'!U65,'TUoS (t)'!U65,'JSO (t)'!U65)</f>
        <v>0</v>
      </c>
      <c r="V65" s="462">
        <f>SUM('DUoS (t)'!V65,'TUoS (t)'!V65,'JSO (t)'!V65)</f>
        <v>0</v>
      </c>
      <c r="X65" s="183">
        <f>'Q (t)'!G65</f>
        <v>0</v>
      </c>
      <c r="Y65" s="184">
        <f>'Q (t)'!H65</f>
        <v>0</v>
      </c>
      <c r="Z65" s="178">
        <f>'Q (t)'!I65</f>
        <v>0</v>
      </c>
      <c r="AA65" s="178">
        <f>'Q (t)'!J65</f>
        <v>0</v>
      </c>
      <c r="AB65" s="179">
        <f>'Q (t)'!K65</f>
        <v>0</v>
      </c>
      <c r="AC65" s="178">
        <f>'Q (t)'!L65</f>
        <v>0</v>
      </c>
      <c r="AD65" s="178">
        <f>'Q (t)'!M65</f>
        <v>0</v>
      </c>
      <c r="AE65" s="178">
        <f>'Q (t)'!N65</f>
        <v>0</v>
      </c>
      <c r="AF65" s="179">
        <f>'Q (t)'!O65</f>
        <v>0</v>
      </c>
      <c r="AG65" s="178">
        <f>'Q (t)'!P65</f>
        <v>0</v>
      </c>
      <c r="AH65" s="178">
        <f>'Q (t)'!Q65</f>
        <v>0</v>
      </c>
      <c r="AI65" s="179">
        <f>'Q (t)'!R65</f>
        <v>0</v>
      </c>
      <c r="AJ65" s="184">
        <f>'Q (t)'!S65</f>
        <v>0</v>
      </c>
      <c r="AK65" s="178">
        <f>'Q (t)'!T65</f>
        <v>0</v>
      </c>
      <c r="AL65" s="184">
        <f>'Q (t)'!U65</f>
        <v>0</v>
      </c>
      <c r="AM65" s="179">
        <f>'Q (t)'!V65</f>
        <v>0</v>
      </c>
      <c r="AO65" s="183">
        <f t="shared" si="26"/>
        <v>0</v>
      </c>
      <c r="AP65" s="184">
        <f t="shared" si="27"/>
        <v>0</v>
      </c>
      <c r="AQ65" s="178">
        <f t="shared" si="28"/>
        <v>0</v>
      </c>
      <c r="AR65" s="178">
        <f t="shared" si="29"/>
        <v>0</v>
      </c>
      <c r="AS65" s="179">
        <f t="shared" si="30"/>
        <v>0</v>
      </c>
      <c r="AT65" s="178">
        <f t="shared" si="31"/>
        <v>0</v>
      </c>
      <c r="AU65" s="178">
        <f t="shared" si="32"/>
        <v>0</v>
      </c>
      <c r="AV65" s="178">
        <f t="shared" si="33"/>
        <v>0</v>
      </c>
      <c r="AW65" s="179">
        <f t="shared" si="34"/>
        <v>0</v>
      </c>
      <c r="AX65" s="178">
        <f t="shared" si="35"/>
        <v>0</v>
      </c>
      <c r="AY65" s="178">
        <f t="shared" si="36"/>
        <v>0</v>
      </c>
      <c r="AZ65" s="179">
        <f t="shared" si="37"/>
        <v>0</v>
      </c>
      <c r="BA65" s="184">
        <f t="shared" si="38"/>
        <v>0</v>
      </c>
      <c r="BB65" s="178">
        <f t="shared" si="39"/>
        <v>0</v>
      </c>
      <c r="BC65" s="184">
        <f t="shared" si="40"/>
        <v>0</v>
      </c>
      <c r="BD65" s="178">
        <f t="shared" si="41"/>
        <v>0</v>
      </c>
      <c r="BE65" s="244">
        <f t="shared" si="42"/>
        <v>0</v>
      </c>
      <c r="BF65" s="245">
        <f t="shared" si="43"/>
        <v>0</v>
      </c>
      <c r="BH65" s="255">
        <f t="shared" si="44"/>
        <v>0</v>
      </c>
      <c r="BI65" s="255">
        <f t="shared" si="45"/>
        <v>0</v>
      </c>
      <c r="BJ65" s="255">
        <f t="shared" si="46"/>
        <v>0</v>
      </c>
      <c r="BK65" s="256">
        <f t="shared" si="47"/>
        <v>0</v>
      </c>
      <c r="BL65" s="262">
        <f t="shared" si="48"/>
        <v>0</v>
      </c>
      <c r="BM65" s="257">
        <f t="shared" si="49"/>
        <v>0</v>
      </c>
      <c r="BO65" s="714" t="str">
        <f t="shared" si="50"/>
        <v/>
      </c>
    </row>
    <row r="66" spans="2:72" ht="15" customHeight="1" x14ac:dyDescent="0.25">
      <c r="B66" s="19">
        <f t="shared" si="51"/>
        <v>21</v>
      </c>
      <c r="C66" s="44" t="s">
        <v>706</v>
      </c>
      <c r="D66" s="45"/>
      <c r="E66" s="105" t="s">
        <v>94</v>
      </c>
      <c r="G66" s="477">
        <f>SUM('DUoS (t)'!G66,'TUoS (t)'!G66,'JSO (t)'!G66)</f>
        <v>485.18459999999999</v>
      </c>
      <c r="H66" s="479">
        <f>SUM('DUoS (t)'!H66,'TUoS (t)'!H66,'JSO (t)'!H66)</f>
        <v>0</v>
      </c>
      <c r="I66" s="483">
        <f>SUM('DUoS (t)'!I66,'TUoS (t)'!I66,'JSO (t)'!I66)</f>
        <v>6.7299999999999999E-2</v>
      </c>
      <c r="J66" s="461">
        <f>SUM('DUoS (t)'!J66,'TUoS (t)'!J66,'JSO (t)'!J66)</f>
        <v>0</v>
      </c>
      <c r="K66" s="484">
        <f>SUM('DUoS (t)'!K66,'TUoS (t)'!K66,'JSO (t)'!K66)</f>
        <v>4.2000000000000003E-2</v>
      </c>
      <c r="L66" s="461">
        <f>SUM('DUoS (t)'!L66,'TUoS (t)'!L66,'JSO (t)'!L66)</f>
        <v>0</v>
      </c>
      <c r="M66" s="461">
        <f>SUM('DUoS (t)'!M66,'TUoS (t)'!M66,'JSO (t)'!M66)</f>
        <v>0</v>
      </c>
      <c r="N66" s="461">
        <f>SUM('DUoS (t)'!N66,'TUoS (t)'!N66,'JSO (t)'!N66)</f>
        <v>0</v>
      </c>
      <c r="O66" s="462">
        <f>SUM('DUoS (t)'!O66,'TUoS (t)'!O66,'JSO (t)'!O66)</f>
        <v>0</v>
      </c>
      <c r="P66" s="461">
        <f>SUM('DUoS (t)'!P66,'TUoS (t)'!P66,'JSO (t)'!P66)</f>
        <v>0</v>
      </c>
      <c r="Q66" s="461">
        <f>SUM('DUoS (t)'!Q66,'TUoS (t)'!Q66,'JSO (t)'!Q66)</f>
        <v>0</v>
      </c>
      <c r="R66" s="462">
        <f>SUM('DUoS (t)'!R66,'TUoS (t)'!R66,'JSO (t)'!R66)</f>
        <v>0</v>
      </c>
      <c r="S66" s="478">
        <f>SUM('DUoS (t)'!S66,'TUoS (t)'!S66,'JSO (t)'!S66)</f>
        <v>0.25990000000000002</v>
      </c>
      <c r="T66" s="483">
        <f>SUM('DUoS (t)'!T66,'TUoS (t)'!T66,'JSO (t)'!T66)</f>
        <v>0</v>
      </c>
      <c r="U66" s="479">
        <f>SUM('DUoS (t)'!U66,'TUoS (t)'!U66,'JSO (t)'!U66)</f>
        <v>0</v>
      </c>
      <c r="V66" s="462">
        <f>SUM('DUoS (t)'!V66,'TUoS (t)'!V66,'JSO (t)'!V66)</f>
        <v>0</v>
      </c>
      <c r="X66" s="183">
        <f>'Q (t)'!G66</f>
        <v>365</v>
      </c>
      <c r="Y66" s="184">
        <f>'Q (t)'!H66</f>
        <v>0</v>
      </c>
      <c r="Z66" s="178">
        <f>'Q (t)'!I66</f>
        <v>6537</v>
      </c>
      <c r="AA66" s="178">
        <f>'Q (t)'!J66</f>
        <v>0</v>
      </c>
      <c r="AB66" s="179">
        <f>'Q (t)'!K66</f>
        <v>6914</v>
      </c>
      <c r="AC66" s="178">
        <f>'Q (t)'!L66</f>
        <v>0</v>
      </c>
      <c r="AD66" s="178">
        <f>'Q (t)'!M66</f>
        <v>0</v>
      </c>
      <c r="AE66" s="178">
        <f>'Q (t)'!N66</f>
        <v>0</v>
      </c>
      <c r="AF66" s="179">
        <f>'Q (t)'!O66</f>
        <v>0</v>
      </c>
      <c r="AG66" s="178">
        <f>'Q (t)'!P66</f>
        <v>0</v>
      </c>
      <c r="AH66" s="178">
        <f>'Q (t)'!Q66</f>
        <v>0</v>
      </c>
      <c r="AI66" s="179">
        <f>'Q (t)'!R66</f>
        <v>0</v>
      </c>
      <c r="AJ66" s="184">
        <f>'Q (t)'!S66</f>
        <v>1054120</v>
      </c>
      <c r="AK66" s="178">
        <f>'Q (t)'!T66</f>
        <v>1228955</v>
      </c>
      <c r="AL66" s="184">
        <f>'Q (t)'!U66</f>
        <v>0</v>
      </c>
      <c r="AM66" s="179">
        <f>'Q (t)'!V66</f>
        <v>0</v>
      </c>
      <c r="AO66" s="183">
        <f t="shared" si="26"/>
        <v>177.09237899999999</v>
      </c>
      <c r="AP66" s="184">
        <f t="shared" si="27"/>
        <v>0</v>
      </c>
      <c r="AQ66" s="178">
        <f t="shared" si="28"/>
        <v>439.94009999999997</v>
      </c>
      <c r="AR66" s="178">
        <f t="shared" si="29"/>
        <v>0</v>
      </c>
      <c r="AS66" s="179">
        <f t="shared" si="30"/>
        <v>290.38800000000003</v>
      </c>
      <c r="AT66" s="178">
        <f t="shared" si="31"/>
        <v>0</v>
      </c>
      <c r="AU66" s="178">
        <f t="shared" si="32"/>
        <v>0</v>
      </c>
      <c r="AV66" s="178">
        <f t="shared" si="33"/>
        <v>0</v>
      </c>
      <c r="AW66" s="179">
        <f t="shared" si="34"/>
        <v>0</v>
      </c>
      <c r="AX66" s="178">
        <f t="shared" si="35"/>
        <v>0</v>
      </c>
      <c r="AY66" s="178">
        <f t="shared" si="36"/>
        <v>0</v>
      </c>
      <c r="AZ66" s="179">
        <f t="shared" si="37"/>
        <v>0</v>
      </c>
      <c r="BA66" s="184">
        <f t="shared" si="38"/>
        <v>273.96578799999997</v>
      </c>
      <c r="BB66" s="178">
        <f t="shared" si="39"/>
        <v>0</v>
      </c>
      <c r="BC66" s="184">
        <f t="shared" si="40"/>
        <v>0</v>
      </c>
      <c r="BD66" s="178">
        <f t="shared" si="41"/>
        <v>0</v>
      </c>
      <c r="BE66" s="244">
        <f t="shared" si="42"/>
        <v>1</v>
      </c>
      <c r="BF66" s="245">
        <f t="shared" si="43"/>
        <v>13451</v>
      </c>
      <c r="BH66" s="255">
        <f t="shared" si="44"/>
        <v>177.09237899999999</v>
      </c>
      <c r="BI66" s="255">
        <f t="shared" si="45"/>
        <v>730.32809999999995</v>
      </c>
      <c r="BJ66" s="255">
        <f t="shared" si="46"/>
        <v>0</v>
      </c>
      <c r="BK66" s="256">
        <f t="shared" si="47"/>
        <v>273.96578799999997</v>
      </c>
      <c r="BL66" s="262">
        <f t="shared" si="48"/>
        <v>0</v>
      </c>
      <c r="BM66" s="257">
        <f t="shared" si="49"/>
        <v>1181.3862669999999</v>
      </c>
      <c r="BO66" s="714">
        <f t="shared" si="50"/>
        <v>87.828880157609078</v>
      </c>
    </row>
    <row r="67" spans="2:72" ht="15" customHeight="1" x14ac:dyDescent="0.25">
      <c r="B67" s="19">
        <f t="shared" si="51"/>
        <v>22</v>
      </c>
      <c r="C67" s="44" t="s">
        <v>575</v>
      </c>
      <c r="D67" s="45"/>
      <c r="E67" s="105" t="s">
        <v>94</v>
      </c>
      <c r="G67" s="477">
        <f>SUM('DUoS (t)'!G67,'TUoS (t)'!G67,'JSO (t)'!G67)</f>
        <v>50.299800000000005</v>
      </c>
      <c r="H67" s="479">
        <f>SUM('DUoS (t)'!H67,'TUoS (t)'!H67,'JSO (t)'!H67)</f>
        <v>0</v>
      </c>
      <c r="I67" s="483">
        <f>SUM('DUoS (t)'!I67,'TUoS (t)'!I67,'JSO (t)'!I67)</f>
        <v>6.7299999999999999E-2</v>
      </c>
      <c r="J67" s="461">
        <f>SUM('DUoS (t)'!J67,'TUoS (t)'!J67,'JSO (t)'!J67)</f>
        <v>0</v>
      </c>
      <c r="K67" s="484">
        <f>SUM('DUoS (t)'!K67,'TUoS (t)'!K67,'JSO (t)'!K67)</f>
        <v>4.2000000000000003E-2</v>
      </c>
      <c r="L67" s="461">
        <f>SUM('DUoS (t)'!L67,'TUoS (t)'!L67,'JSO (t)'!L67)</f>
        <v>0</v>
      </c>
      <c r="M67" s="461">
        <f>SUM('DUoS (t)'!M67,'TUoS (t)'!M67,'JSO (t)'!M67)</f>
        <v>0</v>
      </c>
      <c r="N67" s="461">
        <f>SUM('DUoS (t)'!N67,'TUoS (t)'!N67,'JSO (t)'!N67)</f>
        <v>0</v>
      </c>
      <c r="O67" s="462">
        <f>SUM('DUoS (t)'!O67,'TUoS (t)'!O67,'JSO (t)'!O67)</f>
        <v>0</v>
      </c>
      <c r="P67" s="461">
        <f>SUM('DUoS (t)'!P67,'TUoS (t)'!P67,'JSO (t)'!P67)</f>
        <v>0</v>
      </c>
      <c r="Q67" s="461">
        <f>SUM('DUoS (t)'!Q67,'TUoS (t)'!Q67,'JSO (t)'!Q67)</f>
        <v>0</v>
      </c>
      <c r="R67" s="462">
        <f>SUM('DUoS (t)'!R67,'TUoS (t)'!R67,'JSO (t)'!R67)</f>
        <v>0</v>
      </c>
      <c r="S67" s="478">
        <f>SUM('DUoS (t)'!S67,'TUoS (t)'!S67,'JSO (t)'!S67)</f>
        <v>0.25990000000000002</v>
      </c>
      <c r="T67" s="483">
        <f>SUM('DUoS (t)'!T67,'TUoS (t)'!T67,'JSO (t)'!T67)</f>
        <v>0</v>
      </c>
      <c r="U67" s="479">
        <f>SUM('DUoS (t)'!U67,'TUoS (t)'!U67,'JSO (t)'!U67)</f>
        <v>0</v>
      </c>
      <c r="V67" s="462">
        <f>SUM('DUoS (t)'!V67,'TUoS (t)'!V67,'JSO (t)'!V67)</f>
        <v>0</v>
      </c>
      <c r="X67" s="183">
        <f>'Q (t)'!G67</f>
        <v>365</v>
      </c>
      <c r="Y67" s="184">
        <f>'Q (t)'!H67</f>
        <v>0</v>
      </c>
      <c r="Z67" s="178">
        <f>'Q (t)'!I67</f>
        <v>382</v>
      </c>
      <c r="AA67" s="178">
        <f>'Q (t)'!J67</f>
        <v>0</v>
      </c>
      <c r="AB67" s="179">
        <f>'Q (t)'!K67</f>
        <v>484</v>
      </c>
      <c r="AC67" s="178">
        <f>'Q (t)'!L67</f>
        <v>0</v>
      </c>
      <c r="AD67" s="178">
        <f>'Q (t)'!M67</f>
        <v>0</v>
      </c>
      <c r="AE67" s="178">
        <f>'Q (t)'!N67</f>
        <v>0</v>
      </c>
      <c r="AF67" s="179">
        <f>'Q (t)'!O67</f>
        <v>0</v>
      </c>
      <c r="AG67" s="178">
        <f>'Q (t)'!P67</f>
        <v>0</v>
      </c>
      <c r="AH67" s="178">
        <f>'Q (t)'!Q67</f>
        <v>0</v>
      </c>
      <c r="AI67" s="179">
        <f>'Q (t)'!R67</f>
        <v>0</v>
      </c>
      <c r="AJ67" s="184">
        <f>'Q (t)'!S67</f>
        <v>55480</v>
      </c>
      <c r="AK67" s="178">
        <f>'Q (t)'!T67</f>
        <v>88695</v>
      </c>
      <c r="AL67" s="184">
        <f>'Q (t)'!U67</f>
        <v>0</v>
      </c>
      <c r="AM67" s="179">
        <f>'Q (t)'!V67</f>
        <v>0</v>
      </c>
      <c r="AO67" s="183">
        <f t="shared" si="26"/>
        <v>18.359427000000004</v>
      </c>
      <c r="AP67" s="184">
        <f t="shared" si="27"/>
        <v>0</v>
      </c>
      <c r="AQ67" s="178">
        <f t="shared" si="28"/>
        <v>25.708600000000001</v>
      </c>
      <c r="AR67" s="178">
        <f t="shared" si="29"/>
        <v>0</v>
      </c>
      <c r="AS67" s="179">
        <f t="shared" si="30"/>
        <v>20.328000000000003</v>
      </c>
      <c r="AT67" s="178">
        <f t="shared" si="31"/>
        <v>0</v>
      </c>
      <c r="AU67" s="178">
        <f t="shared" si="32"/>
        <v>0</v>
      </c>
      <c r="AV67" s="178">
        <f t="shared" si="33"/>
        <v>0</v>
      </c>
      <c r="AW67" s="179">
        <f t="shared" si="34"/>
        <v>0</v>
      </c>
      <c r="AX67" s="178">
        <f t="shared" si="35"/>
        <v>0</v>
      </c>
      <c r="AY67" s="178">
        <f t="shared" si="36"/>
        <v>0</v>
      </c>
      <c r="AZ67" s="179">
        <f t="shared" si="37"/>
        <v>0</v>
      </c>
      <c r="BA67" s="184">
        <f t="shared" si="38"/>
        <v>14.419252</v>
      </c>
      <c r="BB67" s="178">
        <f t="shared" si="39"/>
        <v>0</v>
      </c>
      <c r="BC67" s="184">
        <f t="shared" si="40"/>
        <v>0</v>
      </c>
      <c r="BD67" s="178">
        <f t="shared" si="41"/>
        <v>0</v>
      </c>
      <c r="BE67" s="244">
        <f t="shared" si="42"/>
        <v>1</v>
      </c>
      <c r="BF67" s="245">
        <f t="shared" si="43"/>
        <v>866</v>
      </c>
      <c r="BH67" s="255">
        <f t="shared" si="44"/>
        <v>18.359427000000004</v>
      </c>
      <c r="BI67" s="255">
        <f t="shared" si="45"/>
        <v>46.036600000000007</v>
      </c>
      <c r="BJ67" s="255">
        <f t="shared" si="46"/>
        <v>0</v>
      </c>
      <c r="BK67" s="256">
        <f t="shared" si="47"/>
        <v>14.419252</v>
      </c>
      <c r="BL67" s="262">
        <f t="shared" si="48"/>
        <v>0</v>
      </c>
      <c r="BM67" s="257">
        <f t="shared" si="49"/>
        <v>78.815279000000004</v>
      </c>
      <c r="BO67" s="714">
        <f t="shared" si="50"/>
        <v>91.010714780600466</v>
      </c>
    </row>
    <row r="68" spans="2:72" ht="15" customHeight="1" x14ac:dyDescent="0.25">
      <c r="B68" s="19">
        <f t="shared" si="51"/>
        <v>23</v>
      </c>
      <c r="C68" s="44" t="s">
        <v>576</v>
      </c>
      <c r="D68" s="45"/>
      <c r="E68" s="105" t="s">
        <v>94</v>
      </c>
      <c r="G68" s="477">
        <f>SUM('DUoS (t)'!G68,'TUoS (t)'!G68,'JSO (t)'!G68)</f>
        <v>581.45639999999992</v>
      </c>
      <c r="H68" s="479">
        <f>SUM('DUoS (t)'!H68,'TUoS (t)'!H68,'JSO (t)'!H68)</f>
        <v>0</v>
      </c>
      <c r="I68" s="483">
        <f>SUM('DUoS (t)'!I68,'TUoS (t)'!I68,'JSO (t)'!I68)</f>
        <v>6.7299999999999999E-2</v>
      </c>
      <c r="J68" s="461">
        <f>SUM('DUoS (t)'!J68,'TUoS (t)'!J68,'JSO (t)'!J68)</f>
        <v>0</v>
      </c>
      <c r="K68" s="484">
        <f>SUM('DUoS (t)'!K68,'TUoS (t)'!K68,'JSO (t)'!K68)</f>
        <v>4.2000000000000003E-2</v>
      </c>
      <c r="L68" s="461">
        <f>SUM('DUoS (t)'!L68,'TUoS (t)'!L68,'JSO (t)'!L68)</f>
        <v>0</v>
      </c>
      <c r="M68" s="461">
        <f>SUM('DUoS (t)'!M68,'TUoS (t)'!M68,'JSO (t)'!M68)</f>
        <v>0</v>
      </c>
      <c r="N68" s="461">
        <f>SUM('DUoS (t)'!N68,'TUoS (t)'!N68,'JSO (t)'!N68)</f>
        <v>0</v>
      </c>
      <c r="O68" s="462">
        <f>SUM('DUoS (t)'!O68,'TUoS (t)'!O68,'JSO (t)'!O68)</f>
        <v>0</v>
      </c>
      <c r="P68" s="461">
        <f>SUM('DUoS (t)'!P68,'TUoS (t)'!P68,'JSO (t)'!P68)</f>
        <v>0</v>
      </c>
      <c r="Q68" s="461">
        <f>SUM('DUoS (t)'!Q68,'TUoS (t)'!Q68,'JSO (t)'!Q68)</f>
        <v>0</v>
      </c>
      <c r="R68" s="462">
        <f>SUM('DUoS (t)'!R68,'TUoS (t)'!R68,'JSO (t)'!R68)</f>
        <v>0</v>
      </c>
      <c r="S68" s="478">
        <f>SUM('DUoS (t)'!S68,'TUoS (t)'!S68,'JSO (t)'!S68)</f>
        <v>0.25990000000000002</v>
      </c>
      <c r="T68" s="483">
        <f>SUM('DUoS (t)'!T68,'TUoS (t)'!T68,'JSO (t)'!T68)</f>
        <v>0</v>
      </c>
      <c r="U68" s="479">
        <f>SUM('DUoS (t)'!U68,'TUoS (t)'!U68,'JSO (t)'!U68)</f>
        <v>0</v>
      </c>
      <c r="V68" s="462">
        <f>SUM('DUoS (t)'!V68,'TUoS (t)'!V68,'JSO (t)'!V68)</f>
        <v>0</v>
      </c>
      <c r="X68" s="183">
        <f>'Q (t)'!G68</f>
        <v>365</v>
      </c>
      <c r="Y68" s="184">
        <f>'Q (t)'!H68</f>
        <v>0</v>
      </c>
      <c r="Z68" s="178">
        <f>'Q (t)'!I68</f>
        <v>3654</v>
      </c>
      <c r="AA68" s="178">
        <f>'Q (t)'!J68</f>
        <v>0</v>
      </c>
      <c r="AB68" s="179">
        <f>'Q (t)'!K68</f>
        <v>5611</v>
      </c>
      <c r="AC68" s="178">
        <f>'Q (t)'!L68</f>
        <v>0</v>
      </c>
      <c r="AD68" s="178">
        <f>'Q (t)'!M68</f>
        <v>0</v>
      </c>
      <c r="AE68" s="178">
        <f>'Q (t)'!N68</f>
        <v>0</v>
      </c>
      <c r="AF68" s="179">
        <f>'Q (t)'!O68</f>
        <v>0</v>
      </c>
      <c r="AG68" s="178">
        <f>'Q (t)'!P68</f>
        <v>0</v>
      </c>
      <c r="AH68" s="178">
        <f>'Q (t)'!Q68</f>
        <v>0</v>
      </c>
      <c r="AI68" s="179">
        <f>'Q (t)'!R68</f>
        <v>0</v>
      </c>
      <c r="AJ68" s="184">
        <f>'Q (t)'!S68</f>
        <v>1109600</v>
      </c>
      <c r="AK68" s="178">
        <f>'Q (t)'!T68</f>
        <v>1332615</v>
      </c>
      <c r="AL68" s="184">
        <f>'Q (t)'!U68</f>
        <v>0</v>
      </c>
      <c r="AM68" s="179">
        <f>'Q (t)'!V68</f>
        <v>0</v>
      </c>
      <c r="AO68" s="183">
        <f t="shared" si="26"/>
        <v>212.23158599999999</v>
      </c>
      <c r="AP68" s="184">
        <f t="shared" si="27"/>
        <v>0</v>
      </c>
      <c r="AQ68" s="178">
        <f t="shared" si="28"/>
        <v>245.91419999999999</v>
      </c>
      <c r="AR68" s="178">
        <f t="shared" si="29"/>
        <v>0</v>
      </c>
      <c r="AS68" s="179">
        <f t="shared" si="30"/>
        <v>235.66200000000001</v>
      </c>
      <c r="AT68" s="178">
        <f t="shared" si="31"/>
        <v>0</v>
      </c>
      <c r="AU68" s="178">
        <f t="shared" si="32"/>
        <v>0</v>
      </c>
      <c r="AV68" s="178">
        <f t="shared" si="33"/>
        <v>0</v>
      </c>
      <c r="AW68" s="179">
        <f t="shared" si="34"/>
        <v>0</v>
      </c>
      <c r="AX68" s="178">
        <f t="shared" si="35"/>
        <v>0</v>
      </c>
      <c r="AY68" s="178">
        <f t="shared" si="36"/>
        <v>0</v>
      </c>
      <c r="AZ68" s="179">
        <f t="shared" si="37"/>
        <v>0</v>
      </c>
      <c r="BA68" s="184">
        <f t="shared" si="38"/>
        <v>288.38504000000006</v>
      </c>
      <c r="BB68" s="178">
        <f t="shared" si="39"/>
        <v>0</v>
      </c>
      <c r="BC68" s="184">
        <f t="shared" si="40"/>
        <v>0</v>
      </c>
      <c r="BD68" s="178">
        <f t="shared" si="41"/>
        <v>0</v>
      </c>
      <c r="BE68" s="244">
        <f t="shared" si="42"/>
        <v>1</v>
      </c>
      <c r="BF68" s="245">
        <f t="shared" si="43"/>
        <v>9265</v>
      </c>
      <c r="BH68" s="255">
        <f t="shared" si="44"/>
        <v>212.23158599999999</v>
      </c>
      <c r="BI68" s="255">
        <f t="shared" si="45"/>
        <v>481.57619999999997</v>
      </c>
      <c r="BJ68" s="255">
        <f t="shared" si="46"/>
        <v>0</v>
      </c>
      <c r="BK68" s="256">
        <f t="shared" si="47"/>
        <v>288.38504000000006</v>
      </c>
      <c r="BL68" s="262">
        <f t="shared" si="48"/>
        <v>0</v>
      </c>
      <c r="BM68" s="257">
        <f t="shared" si="49"/>
        <v>982.19282599999997</v>
      </c>
      <c r="BO68" s="714">
        <f t="shared" si="50"/>
        <v>106.01109832703723</v>
      </c>
    </row>
    <row r="69" spans="2:72" ht="15" customHeight="1" x14ac:dyDescent="0.25">
      <c r="B69" s="26">
        <f t="shared" si="51"/>
        <v>24</v>
      </c>
      <c r="C69" s="841" t="s">
        <v>632</v>
      </c>
      <c r="D69" s="56"/>
      <c r="E69" s="109" t="s">
        <v>652</v>
      </c>
      <c r="G69" s="477">
        <f>SUM('DUoS (t)'!G69,'TUoS (t)'!G69,'JSO (t)'!G69)</f>
        <v>213.65919999999997</v>
      </c>
      <c r="H69" s="479">
        <f>SUM('DUoS (t)'!H69,'TUoS (t)'!H69,'JSO (t)'!H69)</f>
        <v>0</v>
      </c>
      <c r="I69" s="483">
        <f>SUM('DUoS (t)'!I69,'TUoS (t)'!I69,'JSO (t)'!I69)</f>
        <v>6.7299999999999999E-2</v>
      </c>
      <c r="J69" s="461">
        <f>SUM('DUoS (t)'!J69,'TUoS (t)'!J69,'JSO (t)'!J69)</f>
        <v>0</v>
      </c>
      <c r="K69" s="484">
        <f>SUM('DUoS (t)'!K69,'TUoS (t)'!K69,'JSO (t)'!K69)</f>
        <v>4.2000000000000003E-2</v>
      </c>
      <c r="L69" s="461">
        <f>SUM('DUoS (t)'!L69,'TUoS (t)'!L69,'JSO (t)'!L69)</f>
        <v>0</v>
      </c>
      <c r="M69" s="461">
        <f>SUM('DUoS (t)'!M69,'TUoS (t)'!M69,'JSO (t)'!M69)</f>
        <v>0</v>
      </c>
      <c r="N69" s="461">
        <f>SUM('DUoS (t)'!N69,'TUoS (t)'!N69,'JSO (t)'!N69)</f>
        <v>0</v>
      </c>
      <c r="O69" s="462">
        <f>SUM('DUoS (t)'!O69,'TUoS (t)'!O69,'JSO (t)'!O69)</f>
        <v>0</v>
      </c>
      <c r="P69" s="478">
        <f>SUM('DUoS (t)'!P69,'TUoS (t)'!P69,'JSO (t)'!P69)</f>
        <v>0.94229999999999992</v>
      </c>
      <c r="Q69" s="461">
        <f>SUM('DUoS (t)'!Q69,'TUoS (t)'!Q69,'JSO (t)'!Q69)</f>
        <v>0</v>
      </c>
      <c r="R69" s="462">
        <f>SUM('DUoS (t)'!R69,'TUoS (t)'!R69,'JSO (t)'!R69)</f>
        <v>0</v>
      </c>
      <c r="S69" s="479">
        <f>SUM('DUoS (t)'!S69,'TUoS (t)'!S69,'JSO (t)'!S69)</f>
        <v>0</v>
      </c>
      <c r="T69" s="483">
        <f>SUM('DUoS (t)'!T69,'TUoS (t)'!T69,'JSO (t)'!T69)</f>
        <v>0</v>
      </c>
      <c r="U69" s="479">
        <f>SUM('DUoS (t)'!U69,'TUoS (t)'!U69,'JSO (t)'!U69)</f>
        <v>0</v>
      </c>
      <c r="V69" s="462">
        <f>SUM('DUoS (t)'!V69,'TUoS (t)'!V69,'JSO (t)'!V69)</f>
        <v>0</v>
      </c>
      <c r="X69" s="183">
        <f>'Q (t)'!G69</f>
        <v>365</v>
      </c>
      <c r="Y69" s="184">
        <f>'Q (t)'!H69</f>
        <v>0</v>
      </c>
      <c r="Z69" s="178">
        <f>'Q (t)'!I69</f>
        <v>1080</v>
      </c>
      <c r="AA69" s="178">
        <f>'Q (t)'!J69</f>
        <v>0</v>
      </c>
      <c r="AB69" s="179">
        <f>'Q (t)'!K69</f>
        <v>1670</v>
      </c>
      <c r="AC69" s="178">
        <f>'Q (t)'!L69</f>
        <v>0</v>
      </c>
      <c r="AD69" s="178">
        <f>'Q (t)'!M69</f>
        <v>0</v>
      </c>
      <c r="AE69" s="178">
        <f>'Q (t)'!N69</f>
        <v>0</v>
      </c>
      <c r="AF69" s="179">
        <f>'Q (t)'!O69</f>
        <v>0</v>
      </c>
      <c r="AG69" s="178">
        <f>'Q (t)'!P69</f>
        <v>120951</v>
      </c>
      <c r="AH69" s="178">
        <f>'Q (t)'!Q69</f>
        <v>0</v>
      </c>
      <c r="AI69" s="179">
        <f>'Q (t)'!R69</f>
        <v>0</v>
      </c>
      <c r="AJ69" s="184">
        <f>'Q (t)'!S69</f>
        <v>0</v>
      </c>
      <c r="AK69" s="178">
        <f>'Q (t)'!T69</f>
        <v>519395</v>
      </c>
      <c r="AL69" s="184">
        <f>'Q (t)'!U69</f>
        <v>0</v>
      </c>
      <c r="AM69" s="179">
        <f>'Q (t)'!V69</f>
        <v>0</v>
      </c>
      <c r="AO69" s="183">
        <f t="shared" si="2"/>
        <v>77.985607999999999</v>
      </c>
      <c r="AP69" s="184">
        <f t="shared" ref="AP69:AW79" si="52">H69*Y69</f>
        <v>0</v>
      </c>
      <c r="AQ69" s="178">
        <f t="shared" si="52"/>
        <v>72.683999999999997</v>
      </c>
      <c r="AR69" s="178">
        <f t="shared" si="52"/>
        <v>0</v>
      </c>
      <c r="AS69" s="179">
        <f t="shared" si="52"/>
        <v>70.14</v>
      </c>
      <c r="AT69" s="178">
        <f t="shared" si="52"/>
        <v>0</v>
      </c>
      <c r="AU69" s="178">
        <f t="shared" si="52"/>
        <v>0</v>
      </c>
      <c r="AV69" s="178">
        <f t="shared" si="52"/>
        <v>0</v>
      </c>
      <c r="AW69" s="179">
        <f t="shared" si="52"/>
        <v>0</v>
      </c>
      <c r="AX69" s="178">
        <f t="shared" ref="AX69:AX115" si="53">P69*AG69/1000</f>
        <v>113.9721273</v>
      </c>
      <c r="AY69" s="178">
        <f t="shared" ref="AY69:AY115" si="54">Q69*AH69/1000</f>
        <v>0</v>
      </c>
      <c r="AZ69" s="179">
        <f t="shared" ref="AZ69:AZ115" si="55">R69*AI69/1000</f>
        <v>0</v>
      </c>
      <c r="BA69" s="184">
        <f t="shared" si="25"/>
        <v>0</v>
      </c>
      <c r="BB69" s="178">
        <f t="shared" si="25"/>
        <v>0</v>
      </c>
      <c r="BC69" s="184">
        <f t="shared" si="25"/>
        <v>0</v>
      </c>
      <c r="BD69" s="178">
        <f t="shared" si="25"/>
        <v>0</v>
      </c>
      <c r="BE69" s="244">
        <f t="shared" si="3"/>
        <v>1</v>
      </c>
      <c r="BF69" s="245">
        <f t="shared" si="24"/>
        <v>2750</v>
      </c>
      <c r="BH69" s="255">
        <f t="shared" si="19"/>
        <v>77.985607999999999</v>
      </c>
      <c r="BI69" s="255">
        <f t="shared" si="20"/>
        <v>142.82400000000001</v>
      </c>
      <c r="BJ69" s="255">
        <f t="shared" si="21"/>
        <v>0</v>
      </c>
      <c r="BK69" s="256">
        <f t="shared" si="22"/>
        <v>113.9721273</v>
      </c>
      <c r="BL69" s="262">
        <f t="shared" si="23"/>
        <v>0</v>
      </c>
      <c r="BM69" s="257">
        <f t="shared" si="5"/>
        <v>334.78173530000004</v>
      </c>
      <c r="BO69" s="714">
        <f t="shared" si="6"/>
        <v>121.73881283636366</v>
      </c>
    </row>
    <row r="70" spans="2:72" ht="15" customHeight="1" x14ac:dyDescent="0.25">
      <c r="B70" s="30" t="s">
        <v>101</v>
      </c>
      <c r="C70" s="14" t="s">
        <v>102</v>
      </c>
      <c r="D70" s="14"/>
      <c r="E70" s="99"/>
      <c r="G70" s="494">
        <f>SUM('DUoS (t)'!G70,'TUoS (t)'!G70,'JSO (t)'!G70)</f>
        <v>0</v>
      </c>
      <c r="H70" s="495">
        <f>SUM('DUoS (t)'!H70,'TUoS (t)'!H70,'JSO (t)'!H70)</f>
        <v>0</v>
      </c>
      <c r="I70" s="496">
        <f>SUM('DUoS (t)'!I70,'TUoS (t)'!I70,'JSO (t)'!I70)</f>
        <v>0</v>
      </c>
      <c r="J70" s="496">
        <f>SUM('DUoS (t)'!J70,'TUoS (t)'!J70,'JSO (t)'!J70)</f>
        <v>0</v>
      </c>
      <c r="K70" s="497">
        <f>SUM('DUoS (t)'!K70,'TUoS (t)'!K70,'JSO (t)'!K70)</f>
        <v>0</v>
      </c>
      <c r="L70" s="496">
        <f>SUM('DUoS (t)'!L70,'TUoS (t)'!L70,'JSO (t)'!L70)</f>
        <v>0</v>
      </c>
      <c r="M70" s="496">
        <f>SUM('DUoS (t)'!M70,'TUoS (t)'!M70,'JSO (t)'!M70)</f>
        <v>0</v>
      </c>
      <c r="N70" s="496">
        <f>SUM('DUoS (t)'!N70,'TUoS (t)'!N70,'JSO (t)'!N70)</f>
        <v>0</v>
      </c>
      <c r="O70" s="497">
        <f>SUM('DUoS (t)'!O70,'TUoS (t)'!O70,'JSO (t)'!O70)</f>
        <v>0</v>
      </c>
      <c r="P70" s="496">
        <f>SUM('DUoS (t)'!P70,'TUoS (t)'!P70,'JSO (t)'!P70)</f>
        <v>0</v>
      </c>
      <c r="Q70" s="496">
        <f>SUM('DUoS (t)'!Q70,'TUoS (t)'!Q70,'JSO (t)'!Q70)</f>
        <v>0</v>
      </c>
      <c r="R70" s="497">
        <f>SUM('DUoS (t)'!R70,'TUoS (t)'!R70,'JSO (t)'!R70)</f>
        <v>0</v>
      </c>
      <c r="S70" s="495">
        <f>SUM('DUoS (t)'!S70,'TUoS (t)'!S70,'JSO (t)'!S70)</f>
        <v>0</v>
      </c>
      <c r="T70" s="496">
        <f>SUM('DUoS (t)'!T70,'TUoS (t)'!T70,'JSO (t)'!T70)</f>
        <v>0</v>
      </c>
      <c r="U70" s="495">
        <f>SUM('DUoS (t)'!U70,'TUoS (t)'!U70,'JSO (t)'!U70)</f>
        <v>0</v>
      </c>
      <c r="V70" s="497">
        <f>SUM('DUoS (t)'!V70,'TUoS (t)'!V70,'JSO (t)'!V70)</f>
        <v>0</v>
      </c>
      <c r="X70" s="205">
        <f>'Q (t)'!G70</f>
        <v>0</v>
      </c>
      <c r="Y70" s="206">
        <f>'Q (t)'!H70</f>
        <v>0</v>
      </c>
      <c r="Z70" s="207">
        <f>'Q (t)'!I70</f>
        <v>0</v>
      </c>
      <c r="AA70" s="207">
        <f>'Q (t)'!J70</f>
        <v>0</v>
      </c>
      <c r="AB70" s="208">
        <f>'Q (t)'!K70</f>
        <v>0</v>
      </c>
      <c r="AC70" s="207">
        <f>'Q (t)'!L70</f>
        <v>0</v>
      </c>
      <c r="AD70" s="207">
        <f>'Q (t)'!M70</f>
        <v>0</v>
      </c>
      <c r="AE70" s="207">
        <f>'Q (t)'!N70</f>
        <v>0</v>
      </c>
      <c r="AF70" s="208">
        <f>'Q (t)'!O70</f>
        <v>0</v>
      </c>
      <c r="AG70" s="207">
        <f>'Q (t)'!P70</f>
        <v>0</v>
      </c>
      <c r="AH70" s="207">
        <f>'Q (t)'!Q70</f>
        <v>0</v>
      </c>
      <c r="AI70" s="208">
        <f>'Q (t)'!R70</f>
        <v>0</v>
      </c>
      <c r="AJ70" s="206">
        <f>'Q (t)'!S70</f>
        <v>0</v>
      </c>
      <c r="AK70" s="207">
        <f>'Q (t)'!T70</f>
        <v>0</v>
      </c>
      <c r="AL70" s="206">
        <f>'Q (t)'!U70</f>
        <v>0</v>
      </c>
      <c r="AM70" s="208">
        <f>'Q (t)'!V70</f>
        <v>0</v>
      </c>
      <c r="AO70" s="205">
        <f t="shared" si="2"/>
        <v>0</v>
      </c>
      <c r="AP70" s="206">
        <f t="shared" si="52"/>
        <v>0</v>
      </c>
      <c r="AQ70" s="207">
        <f t="shared" si="52"/>
        <v>0</v>
      </c>
      <c r="AR70" s="207">
        <f t="shared" si="52"/>
        <v>0</v>
      </c>
      <c r="AS70" s="208">
        <f t="shared" si="52"/>
        <v>0</v>
      </c>
      <c r="AT70" s="207">
        <f t="shared" si="52"/>
        <v>0</v>
      </c>
      <c r="AU70" s="207">
        <f t="shared" si="52"/>
        <v>0</v>
      </c>
      <c r="AV70" s="207">
        <f t="shared" si="52"/>
        <v>0</v>
      </c>
      <c r="AW70" s="208">
        <f t="shared" si="52"/>
        <v>0</v>
      </c>
      <c r="AX70" s="207">
        <f t="shared" si="53"/>
        <v>0</v>
      </c>
      <c r="AY70" s="207">
        <f t="shared" si="54"/>
        <v>0</v>
      </c>
      <c r="AZ70" s="208">
        <f t="shared" si="55"/>
        <v>0</v>
      </c>
      <c r="BA70" s="206">
        <f t="shared" si="25"/>
        <v>0</v>
      </c>
      <c r="BB70" s="207">
        <f t="shared" si="25"/>
        <v>0</v>
      </c>
      <c r="BC70" s="206">
        <f t="shared" si="25"/>
        <v>0</v>
      </c>
      <c r="BD70" s="207">
        <f t="shared" si="25"/>
        <v>0</v>
      </c>
      <c r="BE70" s="242">
        <f t="shared" si="3"/>
        <v>0</v>
      </c>
      <c r="BF70" s="243">
        <f t="shared" si="24"/>
        <v>0</v>
      </c>
      <c r="BH70" s="253">
        <f>SUBTOTAL(9,BH71:BH93)</f>
        <v>2888.8922545</v>
      </c>
      <c r="BI70" s="253">
        <f>SUBTOTAL(9,BI71:BI93)</f>
        <v>24204.811200000004</v>
      </c>
      <c r="BJ70" s="253">
        <f>SUBTOTAL(9,BJ71:BJ93)</f>
        <v>0</v>
      </c>
      <c r="BK70" s="253">
        <f>SUBTOTAL(9,BK71:BK93)</f>
        <v>22952.745811499997</v>
      </c>
      <c r="BL70" s="253">
        <f>SUBTOTAL(9,BL71:BL93)</f>
        <v>0</v>
      </c>
      <c r="BM70" s="257">
        <f>SUM(BH70:BL70)</f>
        <v>50046.449265999996</v>
      </c>
      <c r="BO70" s="714" t="str">
        <f t="shared" si="6"/>
        <v/>
      </c>
    </row>
    <row r="71" spans="2:72" ht="15" customHeight="1" x14ac:dyDescent="0.25">
      <c r="B71" s="19"/>
      <c r="C71" s="36" t="s">
        <v>103</v>
      </c>
      <c r="D71" s="85"/>
      <c r="E71" s="85"/>
      <c r="G71" s="482">
        <f>SUM('DUoS (t)'!G71,'TUoS (t)'!G71,'JSO (t)'!G71)</f>
        <v>0</v>
      </c>
      <c r="H71" s="479">
        <f>SUM('DUoS (t)'!H71,'TUoS (t)'!H71,'JSO (t)'!H71)</f>
        <v>0</v>
      </c>
      <c r="I71" s="461">
        <f>SUM('DUoS (t)'!I71,'TUoS (t)'!I71,'JSO (t)'!I71)</f>
        <v>0</v>
      </c>
      <c r="J71" s="461">
        <f>SUM('DUoS (t)'!J71,'TUoS (t)'!J71,'JSO (t)'!J71)</f>
        <v>0</v>
      </c>
      <c r="K71" s="462">
        <f>SUM('DUoS (t)'!K71,'TUoS (t)'!K71,'JSO (t)'!K71)</f>
        <v>0</v>
      </c>
      <c r="L71" s="461">
        <f>SUM('DUoS (t)'!L71,'TUoS (t)'!L71,'JSO (t)'!L71)</f>
        <v>0</v>
      </c>
      <c r="M71" s="461">
        <f>SUM('DUoS (t)'!M71,'TUoS (t)'!M71,'JSO (t)'!M71)</f>
        <v>0</v>
      </c>
      <c r="N71" s="461">
        <f>SUM('DUoS (t)'!N71,'TUoS (t)'!N71,'JSO (t)'!N71)</f>
        <v>0</v>
      </c>
      <c r="O71" s="462">
        <f>SUM('DUoS (t)'!O71,'TUoS (t)'!O71,'JSO (t)'!O71)</f>
        <v>0</v>
      </c>
      <c r="P71" s="461">
        <f>SUM('DUoS (t)'!P71,'TUoS (t)'!P71,'JSO (t)'!P71)</f>
        <v>0</v>
      </c>
      <c r="Q71" s="461">
        <f>SUM('DUoS (t)'!Q71,'TUoS (t)'!Q71,'JSO (t)'!Q71)</f>
        <v>0</v>
      </c>
      <c r="R71" s="462">
        <f>SUM('DUoS (t)'!R71,'TUoS (t)'!R71,'JSO (t)'!R71)</f>
        <v>0</v>
      </c>
      <c r="S71" s="479">
        <f>SUM('DUoS (t)'!S71,'TUoS (t)'!S71,'JSO (t)'!S71)</f>
        <v>0</v>
      </c>
      <c r="T71" s="461">
        <f>SUM('DUoS (t)'!T71,'TUoS (t)'!T71,'JSO (t)'!T71)</f>
        <v>0</v>
      </c>
      <c r="U71" s="479">
        <f>SUM('DUoS (t)'!U71,'TUoS (t)'!U71,'JSO (t)'!U71)</f>
        <v>0</v>
      </c>
      <c r="V71" s="462">
        <f>SUM('DUoS (t)'!V71,'TUoS (t)'!V71,'JSO (t)'!V71)</f>
        <v>0</v>
      </c>
      <c r="X71" s="183">
        <f>'Q (t)'!G71</f>
        <v>0</v>
      </c>
      <c r="Y71" s="184">
        <f>'Q (t)'!H71</f>
        <v>0</v>
      </c>
      <c r="Z71" s="178">
        <f>'Q (t)'!I71</f>
        <v>0</v>
      </c>
      <c r="AA71" s="178">
        <f>'Q (t)'!J71</f>
        <v>0</v>
      </c>
      <c r="AB71" s="179">
        <f>'Q (t)'!K71</f>
        <v>0</v>
      </c>
      <c r="AC71" s="178">
        <f>'Q (t)'!L71</f>
        <v>0</v>
      </c>
      <c r="AD71" s="178">
        <f>'Q (t)'!M71</f>
        <v>0</v>
      </c>
      <c r="AE71" s="178">
        <f>'Q (t)'!N71</f>
        <v>0</v>
      </c>
      <c r="AF71" s="179">
        <f>'Q (t)'!O71</f>
        <v>0</v>
      </c>
      <c r="AG71" s="178">
        <f>'Q (t)'!P71</f>
        <v>0</v>
      </c>
      <c r="AH71" s="178">
        <f>'Q (t)'!Q71</f>
        <v>0</v>
      </c>
      <c r="AI71" s="179">
        <f>'Q (t)'!R71</f>
        <v>0</v>
      </c>
      <c r="AJ71" s="184">
        <f>'Q (t)'!S71</f>
        <v>0</v>
      </c>
      <c r="AK71" s="178">
        <f>'Q (t)'!T71</f>
        <v>0</v>
      </c>
      <c r="AL71" s="184">
        <f>'Q (t)'!U71</f>
        <v>0</v>
      </c>
      <c r="AM71" s="179">
        <f>'Q (t)'!V71</f>
        <v>0</v>
      </c>
      <c r="AO71" s="183">
        <f t="shared" si="2"/>
        <v>0</v>
      </c>
      <c r="AP71" s="184">
        <f t="shared" si="52"/>
        <v>0</v>
      </c>
      <c r="AQ71" s="178">
        <f t="shared" si="52"/>
        <v>0</v>
      </c>
      <c r="AR71" s="178">
        <f t="shared" si="52"/>
        <v>0</v>
      </c>
      <c r="AS71" s="179">
        <f t="shared" si="52"/>
        <v>0</v>
      </c>
      <c r="AT71" s="178">
        <f t="shared" si="52"/>
        <v>0</v>
      </c>
      <c r="AU71" s="178">
        <f t="shared" si="52"/>
        <v>0</v>
      </c>
      <c r="AV71" s="178">
        <f t="shared" si="52"/>
        <v>0</v>
      </c>
      <c r="AW71" s="179">
        <f t="shared" si="52"/>
        <v>0</v>
      </c>
      <c r="AX71" s="178">
        <f t="shared" si="53"/>
        <v>0</v>
      </c>
      <c r="AY71" s="178">
        <f t="shared" si="54"/>
        <v>0</v>
      </c>
      <c r="AZ71" s="179">
        <f t="shared" si="55"/>
        <v>0</v>
      </c>
      <c r="BA71" s="184">
        <f t="shared" si="25"/>
        <v>0</v>
      </c>
      <c r="BB71" s="178">
        <f t="shared" si="25"/>
        <v>0</v>
      </c>
      <c r="BC71" s="184">
        <f t="shared" si="25"/>
        <v>0</v>
      </c>
      <c r="BD71" s="178">
        <f t="shared" si="25"/>
        <v>0</v>
      </c>
      <c r="BE71" s="244">
        <f t="shared" si="3"/>
        <v>0</v>
      </c>
      <c r="BF71" s="245">
        <f t="shared" si="24"/>
        <v>0</v>
      </c>
      <c r="BH71" s="252">
        <f>SUBTOTAL(9,BH72:BH77)</f>
        <v>2437.0990870000001</v>
      </c>
      <c r="BI71" s="252">
        <f>SUBTOTAL(9,BI72:BI77)</f>
        <v>22380.345000000001</v>
      </c>
      <c r="BJ71" s="252">
        <f>SUBTOTAL(9,BJ72:BJ77)</f>
        <v>0</v>
      </c>
      <c r="BK71" s="252">
        <f>SUBTOTAL(9,BK72:BK77)</f>
        <v>21730.753685333333</v>
      </c>
      <c r="BL71" s="252">
        <f>SUBTOTAL(9,BL72:BL77)</f>
        <v>0</v>
      </c>
      <c r="BM71" s="257">
        <f t="shared" si="5"/>
        <v>46548.197772333333</v>
      </c>
      <c r="BO71" s="714" t="str">
        <f t="shared" si="6"/>
        <v/>
      </c>
      <c r="BT71" s="137"/>
    </row>
    <row r="72" spans="2:72" ht="15" customHeight="1" x14ac:dyDescent="0.25">
      <c r="B72" s="19">
        <v>1</v>
      </c>
      <c r="C72" s="44" t="s">
        <v>585</v>
      </c>
      <c r="D72" s="45" t="s">
        <v>586</v>
      </c>
      <c r="E72" s="105" t="s">
        <v>104</v>
      </c>
      <c r="G72" s="477">
        <f>SUM('DUoS (t)'!G72,'TUoS (t)'!G72,'JSO (t)'!G72)</f>
        <v>39.962600000000002</v>
      </c>
      <c r="H72" s="479">
        <f>SUM('DUoS (t)'!H72,'TUoS (t)'!H72,'JSO (t)'!H72)</f>
        <v>0</v>
      </c>
      <c r="I72" s="483">
        <f>SUM('DUoS (t)'!I72,'TUoS (t)'!I72,'JSO (t)'!I72)</f>
        <v>4.1700000000000001E-2</v>
      </c>
      <c r="J72" s="461">
        <f>SUM('DUoS (t)'!J72,'TUoS (t)'!J72,'JSO (t)'!J72)</f>
        <v>0</v>
      </c>
      <c r="K72" s="484">
        <f>SUM('DUoS (t)'!K72,'TUoS (t)'!K72,'JSO (t)'!K72)</f>
        <v>2.6100000000000002E-2</v>
      </c>
      <c r="L72" s="461">
        <f>SUM('DUoS (t)'!L72,'TUoS (t)'!L72,'JSO (t)'!L72)</f>
        <v>0</v>
      </c>
      <c r="M72" s="461">
        <f>SUM('DUoS (t)'!M72,'TUoS (t)'!M72,'JSO (t)'!M72)</f>
        <v>0</v>
      </c>
      <c r="N72" s="461">
        <f>SUM('DUoS (t)'!N72,'TUoS (t)'!N72,'JSO (t)'!N72)</f>
        <v>0</v>
      </c>
      <c r="O72" s="462">
        <f>SUM('DUoS (t)'!O72,'TUoS (t)'!O72,'JSO (t)'!O72)</f>
        <v>0</v>
      </c>
      <c r="P72" s="461">
        <f>SUM('DUoS (t)'!P72,'TUoS (t)'!P72,'JSO (t)'!P72)</f>
        <v>0</v>
      </c>
      <c r="Q72" s="461">
        <f>SUM('DUoS (t)'!Q72,'TUoS (t)'!Q72,'JSO (t)'!Q72)</f>
        <v>0</v>
      </c>
      <c r="R72" s="462">
        <f>SUM('DUoS (t)'!R72,'TUoS (t)'!R72,'JSO (t)'!R72)</f>
        <v>0</v>
      </c>
      <c r="S72" s="478">
        <f>SUM('DUoS (t)'!S72,'TUoS (t)'!S72,'JSO (t)'!S72)</f>
        <v>0.2198</v>
      </c>
      <c r="T72" s="483">
        <f>SUM('DUoS (t)'!T72,'TUoS (t)'!T72,'JSO (t)'!T72)</f>
        <v>0.1007</v>
      </c>
      <c r="U72" s="480">
        <f>SUM('DUoS (t)'!U72,'TUoS (t)'!U72,'JSO (t)'!U72)</f>
        <v>0</v>
      </c>
      <c r="V72" s="481">
        <f>SUM('DUoS (t)'!V72,'TUoS (t)'!V72,'JSO (t)'!V72)</f>
        <v>0</v>
      </c>
      <c r="X72" s="183">
        <f>'Q (t)'!G72</f>
        <v>54385</v>
      </c>
      <c r="Y72" s="184">
        <f>'Q (t)'!H72</f>
        <v>0</v>
      </c>
      <c r="Z72" s="178">
        <f>'Q (t)'!I72</f>
        <v>302924</v>
      </c>
      <c r="AA72" s="178">
        <f>'Q (t)'!J72</f>
        <v>0</v>
      </c>
      <c r="AB72" s="179">
        <f>'Q (t)'!K72</f>
        <v>284422</v>
      </c>
      <c r="AC72" s="178">
        <f>'Q (t)'!L72</f>
        <v>0</v>
      </c>
      <c r="AD72" s="178">
        <f>'Q (t)'!M72</f>
        <v>0</v>
      </c>
      <c r="AE72" s="178">
        <f>'Q (t)'!N72</f>
        <v>0</v>
      </c>
      <c r="AF72" s="179">
        <f>'Q (t)'!O72</f>
        <v>0</v>
      </c>
      <c r="AG72" s="178">
        <f>'Q (t)'!P72</f>
        <v>0</v>
      </c>
      <c r="AH72" s="178">
        <f>'Q (t)'!Q72</f>
        <v>0</v>
      </c>
      <c r="AI72" s="179">
        <f>'Q (t)'!R72</f>
        <v>0</v>
      </c>
      <c r="AJ72" s="184">
        <f>'Q (t)'!S72</f>
        <v>55047596.666666664</v>
      </c>
      <c r="AK72" s="178">
        <f>'Q (t)'!T72</f>
        <v>69993130</v>
      </c>
      <c r="AL72" s="184">
        <f>'Q (t)'!U72</f>
        <v>0</v>
      </c>
      <c r="AM72" s="179">
        <f>'Q (t)'!V72</f>
        <v>0</v>
      </c>
      <c r="AO72" s="183">
        <f t="shared" si="2"/>
        <v>2173.3660010000003</v>
      </c>
      <c r="AP72" s="184">
        <f t="shared" si="52"/>
        <v>0</v>
      </c>
      <c r="AQ72" s="178">
        <f t="shared" si="52"/>
        <v>12631.9308</v>
      </c>
      <c r="AR72" s="178">
        <f t="shared" si="52"/>
        <v>0</v>
      </c>
      <c r="AS72" s="179">
        <f t="shared" si="52"/>
        <v>7423.4142000000002</v>
      </c>
      <c r="AT72" s="178">
        <f t="shared" si="52"/>
        <v>0</v>
      </c>
      <c r="AU72" s="178">
        <f t="shared" si="52"/>
        <v>0</v>
      </c>
      <c r="AV72" s="178">
        <f t="shared" si="52"/>
        <v>0</v>
      </c>
      <c r="AW72" s="179">
        <f t="shared" si="52"/>
        <v>0</v>
      </c>
      <c r="AX72" s="178">
        <f t="shared" si="53"/>
        <v>0</v>
      </c>
      <c r="AY72" s="178">
        <f t="shared" si="54"/>
        <v>0</v>
      </c>
      <c r="AZ72" s="179">
        <f t="shared" si="55"/>
        <v>0</v>
      </c>
      <c r="BA72" s="184">
        <f t="shared" si="25"/>
        <v>12099.461747333333</v>
      </c>
      <c r="BB72" s="178">
        <f t="shared" si="25"/>
        <v>7048.3081910000001</v>
      </c>
      <c r="BC72" s="184">
        <f t="shared" si="25"/>
        <v>0</v>
      </c>
      <c r="BD72" s="178">
        <f t="shared" si="25"/>
        <v>0</v>
      </c>
      <c r="BE72" s="244">
        <f t="shared" si="3"/>
        <v>149</v>
      </c>
      <c r="BF72" s="245">
        <f t="shared" si="24"/>
        <v>587346</v>
      </c>
      <c r="BH72" s="255">
        <f t="shared" ref="BH72:BH92" si="56">SUM(AO72)</f>
        <v>2173.3660010000003</v>
      </c>
      <c r="BI72" s="255">
        <f t="shared" ref="BI72:BI92" si="57">SUM(AP72:AS72)</f>
        <v>20055.345000000001</v>
      </c>
      <c r="BJ72" s="255">
        <f t="shared" ref="BJ72:BJ92" si="58">SUM(AT72:AW72)</f>
        <v>0</v>
      </c>
      <c r="BK72" s="256">
        <f t="shared" ref="BK72:BK92" si="59">SUM(AX72:BB72)</f>
        <v>19147.769938333331</v>
      </c>
      <c r="BL72" s="262">
        <f t="shared" ref="BL72:BL92" si="60">SUM(BC72:BD72)</f>
        <v>0</v>
      </c>
      <c r="BM72" s="257">
        <f t="shared" si="5"/>
        <v>41376.480939333334</v>
      </c>
      <c r="BO72" s="714">
        <f t="shared" si="6"/>
        <v>70.446518643752299</v>
      </c>
      <c r="BT72" s="137"/>
    </row>
    <row r="73" spans="2:72" ht="15" customHeight="1" x14ac:dyDescent="0.25">
      <c r="B73" s="19">
        <f>B72+1</f>
        <v>2</v>
      </c>
      <c r="C73" s="44" t="s">
        <v>587</v>
      </c>
      <c r="D73" s="45" t="s">
        <v>588</v>
      </c>
      <c r="E73" s="105" t="s">
        <v>105</v>
      </c>
      <c r="G73" s="477">
        <f>SUM('DUoS (t)'!G73,'TUoS (t)'!G73,'JSO (t)'!G73)</f>
        <v>39.962600000000002</v>
      </c>
      <c r="H73" s="479">
        <f>SUM('DUoS (t)'!H73,'TUoS (t)'!H73,'JSO (t)'!H73)</f>
        <v>0</v>
      </c>
      <c r="I73" s="483">
        <f>SUM('DUoS (t)'!I73,'TUoS (t)'!I73,'JSO (t)'!I73)</f>
        <v>4.1700000000000001E-2</v>
      </c>
      <c r="J73" s="461">
        <f>SUM('DUoS (t)'!J73,'TUoS (t)'!J73,'JSO (t)'!J73)</f>
        <v>0</v>
      </c>
      <c r="K73" s="484">
        <f>SUM('DUoS (t)'!K73,'TUoS (t)'!K73,'JSO (t)'!K73)</f>
        <v>2.6100000000000002E-2</v>
      </c>
      <c r="L73" s="461">
        <f>SUM('DUoS (t)'!L73,'TUoS (t)'!L73,'JSO (t)'!L73)</f>
        <v>0</v>
      </c>
      <c r="M73" s="461">
        <f>SUM('DUoS (t)'!M73,'TUoS (t)'!M73,'JSO (t)'!M73)</f>
        <v>0</v>
      </c>
      <c r="N73" s="461">
        <f>SUM('DUoS (t)'!N73,'TUoS (t)'!N73,'JSO (t)'!N73)</f>
        <v>0</v>
      </c>
      <c r="O73" s="462">
        <f>SUM('DUoS (t)'!O73,'TUoS (t)'!O73,'JSO (t)'!O73)</f>
        <v>0</v>
      </c>
      <c r="P73" s="483">
        <f>SUM('DUoS (t)'!P73,'TUoS (t)'!P73,'JSO (t)'!P73)</f>
        <v>0.79679999999999995</v>
      </c>
      <c r="Q73" s="461">
        <f>SUM('DUoS (t)'!Q73,'TUoS (t)'!Q73,'JSO (t)'!Q73)</f>
        <v>0</v>
      </c>
      <c r="R73" s="462">
        <f>SUM('DUoS (t)'!R73,'TUoS (t)'!R73,'JSO (t)'!R73)</f>
        <v>0</v>
      </c>
      <c r="S73" s="479">
        <f>SUM('DUoS (t)'!S73,'TUoS (t)'!S73,'JSO (t)'!S73)</f>
        <v>0</v>
      </c>
      <c r="T73" s="483">
        <f>SUM('DUoS (t)'!T73,'TUoS (t)'!T73,'JSO (t)'!T73)</f>
        <v>0.1007</v>
      </c>
      <c r="U73" s="480">
        <f>SUM('DUoS (t)'!U73,'TUoS (t)'!U73,'JSO (t)'!U73)</f>
        <v>0</v>
      </c>
      <c r="V73" s="481">
        <f>SUM('DUoS (t)'!V73,'TUoS (t)'!V73,'JSO (t)'!V73)</f>
        <v>0</v>
      </c>
      <c r="X73" s="183">
        <f>'Q (t)'!G73</f>
        <v>5110</v>
      </c>
      <c r="Y73" s="184">
        <f>'Q (t)'!H73</f>
        <v>0</v>
      </c>
      <c r="Z73" s="178">
        <f>'Q (t)'!I73</f>
        <v>25900</v>
      </c>
      <c r="AA73" s="178">
        <f>'Q (t)'!J73</f>
        <v>0</v>
      </c>
      <c r="AB73" s="179">
        <f>'Q (t)'!K73</f>
        <v>25000</v>
      </c>
      <c r="AC73" s="178">
        <f>'Q (t)'!L73</f>
        <v>0</v>
      </c>
      <c r="AD73" s="178">
        <f>'Q (t)'!M73</f>
        <v>0</v>
      </c>
      <c r="AE73" s="178">
        <f>'Q (t)'!N73</f>
        <v>0</v>
      </c>
      <c r="AF73" s="179">
        <f>'Q (t)'!O73</f>
        <v>0</v>
      </c>
      <c r="AG73" s="178">
        <f>'Q (t)'!P73</f>
        <v>1488105</v>
      </c>
      <c r="AH73" s="178">
        <f>'Q (t)'!Q73</f>
        <v>0</v>
      </c>
      <c r="AI73" s="179">
        <f>'Q (t)'!R73</f>
        <v>0</v>
      </c>
      <c r="AJ73" s="184">
        <f>'Q (t)'!S73</f>
        <v>0</v>
      </c>
      <c r="AK73" s="178">
        <f>'Q (t)'!T73</f>
        <v>9556795</v>
      </c>
      <c r="AL73" s="184">
        <f>'Q (t)'!U73</f>
        <v>0</v>
      </c>
      <c r="AM73" s="179">
        <f>'Q (t)'!V73</f>
        <v>0</v>
      </c>
      <c r="AO73" s="183">
        <f t="shared" si="2"/>
        <v>204.20888600000001</v>
      </c>
      <c r="AP73" s="184">
        <f t="shared" si="52"/>
        <v>0</v>
      </c>
      <c r="AQ73" s="178">
        <f t="shared" si="52"/>
        <v>1080.03</v>
      </c>
      <c r="AR73" s="178">
        <f t="shared" si="52"/>
        <v>0</v>
      </c>
      <c r="AS73" s="179">
        <f t="shared" si="52"/>
        <v>652.5</v>
      </c>
      <c r="AT73" s="178">
        <f t="shared" si="52"/>
        <v>0</v>
      </c>
      <c r="AU73" s="178">
        <f t="shared" si="52"/>
        <v>0</v>
      </c>
      <c r="AV73" s="178">
        <f t="shared" si="52"/>
        <v>0</v>
      </c>
      <c r="AW73" s="179">
        <f t="shared" si="52"/>
        <v>0</v>
      </c>
      <c r="AX73" s="178">
        <f t="shared" si="53"/>
        <v>1185.722064</v>
      </c>
      <c r="AY73" s="178">
        <f t="shared" si="54"/>
        <v>0</v>
      </c>
      <c r="AZ73" s="179">
        <f t="shared" si="55"/>
        <v>0</v>
      </c>
      <c r="BA73" s="184">
        <f t="shared" si="25"/>
        <v>0</v>
      </c>
      <c r="BB73" s="178">
        <f t="shared" si="25"/>
        <v>962.36925650000001</v>
      </c>
      <c r="BC73" s="184">
        <f t="shared" si="25"/>
        <v>0</v>
      </c>
      <c r="BD73" s="178">
        <f t="shared" si="25"/>
        <v>0</v>
      </c>
      <c r="BE73" s="244">
        <f t="shared" si="3"/>
        <v>14</v>
      </c>
      <c r="BF73" s="245">
        <f t="shared" si="24"/>
        <v>50900</v>
      </c>
      <c r="BH73" s="255">
        <f t="shared" si="56"/>
        <v>204.20888600000001</v>
      </c>
      <c r="BI73" s="255">
        <f t="shared" si="57"/>
        <v>1732.53</v>
      </c>
      <c r="BJ73" s="255">
        <f t="shared" si="58"/>
        <v>0</v>
      </c>
      <c r="BK73" s="256">
        <f t="shared" si="59"/>
        <v>2148.0913205000002</v>
      </c>
      <c r="BL73" s="262">
        <f t="shared" si="60"/>
        <v>0</v>
      </c>
      <c r="BM73" s="257">
        <f t="shared" si="5"/>
        <v>4084.8302065000003</v>
      </c>
      <c r="BO73" s="714">
        <f t="shared" si="6"/>
        <v>80.252066925343811</v>
      </c>
      <c r="BT73" s="137"/>
    </row>
    <row r="74" spans="2:72" ht="15" customHeight="1" x14ac:dyDescent="0.25">
      <c r="B74" s="19">
        <f>B73+1</f>
        <v>3</v>
      </c>
      <c r="C74" s="846" t="s">
        <v>589</v>
      </c>
      <c r="D74" s="847" t="s">
        <v>590</v>
      </c>
      <c r="E74" s="835" t="s">
        <v>106</v>
      </c>
      <c r="G74" s="482">
        <f>SUM('DUoS (t)'!G74,'TUoS (t)'!G74,'JSO (t)'!G74)</f>
        <v>0</v>
      </c>
      <c r="H74" s="479">
        <f>SUM('DUoS (t)'!H74,'TUoS (t)'!H74,'JSO (t)'!H74)</f>
        <v>0</v>
      </c>
      <c r="I74" s="461">
        <f>SUM('DUoS (t)'!I74,'TUoS (t)'!I74,'JSO (t)'!I74)</f>
        <v>0</v>
      </c>
      <c r="J74" s="461">
        <f>SUM('DUoS (t)'!J74,'TUoS (t)'!J74,'JSO (t)'!J74)</f>
        <v>0</v>
      </c>
      <c r="K74" s="462">
        <f>SUM('DUoS (t)'!K74,'TUoS (t)'!K74,'JSO (t)'!K74)</f>
        <v>0</v>
      </c>
      <c r="L74" s="461">
        <f>SUM('DUoS (t)'!L74,'TUoS (t)'!L74,'JSO (t)'!L74)</f>
        <v>0</v>
      </c>
      <c r="M74" s="461">
        <f>SUM('DUoS (t)'!M74,'TUoS (t)'!M74,'JSO (t)'!M74)</f>
        <v>0</v>
      </c>
      <c r="N74" s="461">
        <f>SUM('DUoS (t)'!N74,'TUoS (t)'!N74,'JSO (t)'!N74)</f>
        <v>0</v>
      </c>
      <c r="O74" s="462">
        <f>SUM('DUoS (t)'!O74,'TUoS (t)'!O74,'JSO (t)'!O74)</f>
        <v>0</v>
      </c>
      <c r="P74" s="461">
        <f>SUM('DUoS (t)'!P74,'TUoS (t)'!P74,'JSO (t)'!P74)</f>
        <v>0</v>
      </c>
      <c r="Q74" s="461">
        <f>SUM('DUoS (t)'!Q74,'TUoS (t)'!Q74,'JSO (t)'!Q74)</f>
        <v>0</v>
      </c>
      <c r="R74" s="462">
        <f>SUM('DUoS (t)'!R74,'TUoS (t)'!R74,'JSO (t)'!R74)</f>
        <v>0</v>
      </c>
      <c r="S74" s="479">
        <f>SUM('DUoS (t)'!S74,'TUoS (t)'!S74,'JSO (t)'!S74)</f>
        <v>0</v>
      </c>
      <c r="T74" s="461">
        <f>SUM('DUoS (t)'!T74,'TUoS (t)'!T74,'JSO (t)'!T74)</f>
        <v>0</v>
      </c>
      <c r="U74" s="479">
        <f>SUM('DUoS (t)'!U74,'TUoS (t)'!U74,'JSO (t)'!U74)</f>
        <v>0</v>
      </c>
      <c r="V74" s="462">
        <f>SUM('DUoS (t)'!V74,'TUoS (t)'!V74,'JSO (t)'!V74)</f>
        <v>0</v>
      </c>
      <c r="X74" s="183">
        <f>'Q (t)'!G74</f>
        <v>0</v>
      </c>
      <c r="Y74" s="184">
        <f>'Q (t)'!H74</f>
        <v>0</v>
      </c>
      <c r="Z74" s="178">
        <f>'Q (t)'!I74</f>
        <v>0</v>
      </c>
      <c r="AA74" s="178">
        <f>'Q (t)'!J74</f>
        <v>0</v>
      </c>
      <c r="AB74" s="179">
        <f>'Q (t)'!K74</f>
        <v>0</v>
      </c>
      <c r="AC74" s="178">
        <f>'Q (t)'!L74</f>
        <v>0</v>
      </c>
      <c r="AD74" s="178">
        <f>'Q (t)'!M74</f>
        <v>0</v>
      </c>
      <c r="AE74" s="178">
        <f>'Q (t)'!N74</f>
        <v>0</v>
      </c>
      <c r="AF74" s="179">
        <f>'Q (t)'!O74</f>
        <v>0</v>
      </c>
      <c r="AG74" s="178">
        <f>'Q (t)'!P74</f>
        <v>0</v>
      </c>
      <c r="AH74" s="178">
        <f>'Q (t)'!Q74</f>
        <v>0</v>
      </c>
      <c r="AI74" s="179">
        <f>'Q (t)'!R74</f>
        <v>0</v>
      </c>
      <c r="AJ74" s="184">
        <f>'Q (t)'!S74</f>
        <v>0</v>
      </c>
      <c r="AK74" s="178">
        <f>'Q (t)'!T74</f>
        <v>0</v>
      </c>
      <c r="AL74" s="184">
        <f>'Q (t)'!U74</f>
        <v>0</v>
      </c>
      <c r="AM74" s="179">
        <f>'Q (t)'!V74</f>
        <v>0</v>
      </c>
      <c r="AO74" s="183">
        <f t="shared" si="2"/>
        <v>0</v>
      </c>
      <c r="AP74" s="184">
        <f t="shared" si="52"/>
        <v>0</v>
      </c>
      <c r="AQ74" s="178">
        <f t="shared" si="52"/>
        <v>0</v>
      </c>
      <c r="AR74" s="178">
        <f t="shared" si="52"/>
        <v>0</v>
      </c>
      <c r="AS74" s="179">
        <f t="shared" si="52"/>
        <v>0</v>
      </c>
      <c r="AT74" s="178">
        <f t="shared" si="52"/>
        <v>0</v>
      </c>
      <c r="AU74" s="178">
        <f t="shared" si="52"/>
        <v>0</v>
      </c>
      <c r="AV74" s="178">
        <f t="shared" si="52"/>
        <v>0</v>
      </c>
      <c r="AW74" s="179">
        <f t="shared" si="52"/>
        <v>0</v>
      </c>
      <c r="AX74" s="178">
        <f t="shared" si="53"/>
        <v>0</v>
      </c>
      <c r="AY74" s="178">
        <f t="shared" si="54"/>
        <v>0</v>
      </c>
      <c r="AZ74" s="179">
        <f t="shared" si="55"/>
        <v>0</v>
      </c>
      <c r="BA74" s="184">
        <f t="shared" si="25"/>
        <v>0</v>
      </c>
      <c r="BB74" s="178">
        <f t="shared" si="25"/>
        <v>0</v>
      </c>
      <c r="BC74" s="184">
        <f t="shared" si="25"/>
        <v>0</v>
      </c>
      <c r="BD74" s="178">
        <f t="shared" si="25"/>
        <v>0</v>
      </c>
      <c r="BE74" s="244">
        <f t="shared" si="3"/>
        <v>0</v>
      </c>
      <c r="BF74" s="245">
        <f t="shared" si="24"/>
        <v>0</v>
      </c>
      <c r="BH74" s="255">
        <f t="shared" si="56"/>
        <v>0</v>
      </c>
      <c r="BI74" s="255">
        <f t="shared" si="57"/>
        <v>0</v>
      </c>
      <c r="BJ74" s="255">
        <f t="shared" si="58"/>
        <v>0</v>
      </c>
      <c r="BK74" s="256">
        <f t="shared" si="59"/>
        <v>0</v>
      </c>
      <c r="BL74" s="262">
        <f t="shared" si="60"/>
        <v>0</v>
      </c>
      <c r="BM74" s="257">
        <f t="shared" si="5"/>
        <v>0</v>
      </c>
      <c r="BO74" s="714" t="str">
        <f t="shared" si="6"/>
        <v/>
      </c>
      <c r="BT74" s="137"/>
    </row>
    <row r="75" spans="2:72" ht="15" customHeight="1" x14ac:dyDescent="0.25">
      <c r="B75" s="19">
        <f>B74+1</f>
        <v>4</v>
      </c>
      <c r="C75" s="44" t="s">
        <v>107</v>
      </c>
      <c r="D75" s="45" t="s">
        <v>107</v>
      </c>
      <c r="E75" s="105" t="s">
        <v>108</v>
      </c>
      <c r="G75" s="477">
        <f>SUM('DUoS (t)'!G75,'TUoS (t)'!G75,'JSO (t)'!G75)</f>
        <v>5.4794</v>
      </c>
      <c r="H75" s="478">
        <f>SUM('DUoS (t)'!H75,'TUoS (t)'!H75,'JSO (t)'!H75)</f>
        <v>8.5400000000000004E-2</v>
      </c>
      <c r="I75" s="461">
        <f>SUM('DUoS (t)'!I75,'TUoS (t)'!I75,'JSO (t)'!I75)</f>
        <v>0</v>
      </c>
      <c r="J75" s="461">
        <f>SUM('DUoS (t)'!J75,'TUoS (t)'!J75,'JSO (t)'!J75)</f>
        <v>0</v>
      </c>
      <c r="K75" s="462">
        <f>SUM('DUoS (t)'!K75,'TUoS (t)'!K75,'JSO (t)'!K75)</f>
        <v>0</v>
      </c>
      <c r="L75" s="461">
        <f>SUM('DUoS (t)'!L75,'TUoS (t)'!L75,'JSO (t)'!L75)</f>
        <v>0</v>
      </c>
      <c r="M75" s="461">
        <f>SUM('DUoS (t)'!M75,'TUoS (t)'!M75,'JSO (t)'!M75)</f>
        <v>0</v>
      </c>
      <c r="N75" s="461">
        <f>SUM('DUoS (t)'!N75,'TUoS (t)'!N75,'JSO (t)'!N75)</f>
        <v>0</v>
      </c>
      <c r="O75" s="462">
        <f>SUM('DUoS (t)'!O75,'TUoS (t)'!O75,'JSO (t)'!O75)</f>
        <v>0</v>
      </c>
      <c r="P75" s="461">
        <f>SUM('DUoS (t)'!P75,'TUoS (t)'!P75,'JSO (t)'!P75)</f>
        <v>0</v>
      </c>
      <c r="Q75" s="483">
        <f>SUM('DUoS (t)'!Q75,'TUoS (t)'!Q75,'JSO (t)'!Q75)</f>
        <v>0.3962</v>
      </c>
      <c r="R75" s="484">
        <f>SUM('DUoS (t)'!R75,'TUoS (t)'!R75,'JSO (t)'!R75)</f>
        <v>0.19600000000000001</v>
      </c>
      <c r="S75" s="479">
        <f>SUM('DUoS (t)'!S75,'TUoS (t)'!S75,'JSO (t)'!S75)</f>
        <v>0</v>
      </c>
      <c r="T75" s="461">
        <f>SUM('DUoS (t)'!T75,'TUoS (t)'!T75,'JSO (t)'!T75)</f>
        <v>0</v>
      </c>
      <c r="U75" s="479">
        <f>SUM('DUoS (t)'!U75,'TUoS (t)'!U75,'JSO (t)'!U75)</f>
        <v>0</v>
      </c>
      <c r="V75" s="462">
        <f>SUM('DUoS (t)'!V75,'TUoS (t)'!V75,'JSO (t)'!V75)</f>
        <v>0</v>
      </c>
      <c r="X75" s="183">
        <f>'Q (t)'!G75</f>
        <v>0</v>
      </c>
      <c r="Y75" s="184">
        <f>'Q (t)'!H75</f>
        <v>0</v>
      </c>
      <c r="Z75" s="178">
        <f>'Q (t)'!I75</f>
        <v>0</v>
      </c>
      <c r="AA75" s="178">
        <f>'Q (t)'!J75</f>
        <v>0</v>
      </c>
      <c r="AB75" s="179">
        <f>'Q (t)'!K75</f>
        <v>0</v>
      </c>
      <c r="AC75" s="178">
        <f>'Q (t)'!L75</f>
        <v>0</v>
      </c>
      <c r="AD75" s="178">
        <f>'Q (t)'!M75</f>
        <v>0</v>
      </c>
      <c r="AE75" s="178">
        <f>'Q (t)'!N75</f>
        <v>0</v>
      </c>
      <c r="AF75" s="179">
        <f>'Q (t)'!O75</f>
        <v>0</v>
      </c>
      <c r="AG75" s="178">
        <f>'Q (t)'!P75</f>
        <v>0</v>
      </c>
      <c r="AH75" s="178">
        <f>'Q (t)'!Q75</f>
        <v>0</v>
      </c>
      <c r="AI75" s="179">
        <f>'Q (t)'!R75</f>
        <v>0</v>
      </c>
      <c r="AJ75" s="184">
        <f>'Q (t)'!S75</f>
        <v>0</v>
      </c>
      <c r="AK75" s="178">
        <f>'Q (t)'!T75</f>
        <v>0</v>
      </c>
      <c r="AL75" s="184">
        <f>'Q (t)'!U75</f>
        <v>0</v>
      </c>
      <c r="AM75" s="179">
        <f>'Q (t)'!V75</f>
        <v>0</v>
      </c>
      <c r="AO75" s="183">
        <f t="shared" si="2"/>
        <v>0</v>
      </c>
      <c r="AP75" s="184">
        <f t="shared" si="52"/>
        <v>0</v>
      </c>
      <c r="AQ75" s="178">
        <f t="shared" si="52"/>
        <v>0</v>
      </c>
      <c r="AR75" s="178">
        <f t="shared" si="52"/>
        <v>0</v>
      </c>
      <c r="AS75" s="179">
        <f t="shared" si="52"/>
        <v>0</v>
      </c>
      <c r="AT75" s="178">
        <f t="shared" si="52"/>
        <v>0</v>
      </c>
      <c r="AU75" s="178">
        <f t="shared" si="52"/>
        <v>0</v>
      </c>
      <c r="AV75" s="178">
        <f t="shared" si="52"/>
        <v>0</v>
      </c>
      <c r="AW75" s="179">
        <f t="shared" si="52"/>
        <v>0</v>
      </c>
      <c r="AX75" s="178">
        <f t="shared" si="53"/>
        <v>0</v>
      </c>
      <c r="AY75" s="178">
        <f t="shared" si="54"/>
        <v>0</v>
      </c>
      <c r="AZ75" s="179">
        <f t="shared" si="55"/>
        <v>0</v>
      </c>
      <c r="BA75" s="184">
        <f t="shared" si="25"/>
        <v>0</v>
      </c>
      <c r="BB75" s="178">
        <f t="shared" si="25"/>
        <v>0</v>
      </c>
      <c r="BC75" s="184">
        <f t="shared" si="25"/>
        <v>0</v>
      </c>
      <c r="BD75" s="178">
        <f t="shared" si="25"/>
        <v>0</v>
      </c>
      <c r="BE75" s="244">
        <f t="shared" si="3"/>
        <v>0</v>
      </c>
      <c r="BF75" s="245">
        <f t="shared" si="24"/>
        <v>0</v>
      </c>
      <c r="BH75" s="255">
        <f t="shared" si="56"/>
        <v>0</v>
      </c>
      <c r="BI75" s="255">
        <f t="shared" si="57"/>
        <v>0</v>
      </c>
      <c r="BJ75" s="255">
        <f t="shared" si="58"/>
        <v>0</v>
      </c>
      <c r="BK75" s="256">
        <f t="shared" si="59"/>
        <v>0</v>
      </c>
      <c r="BL75" s="262">
        <f t="shared" si="60"/>
        <v>0</v>
      </c>
      <c r="BM75" s="257">
        <f t="shared" si="5"/>
        <v>0</v>
      </c>
      <c r="BO75" s="714" t="str">
        <f t="shared" si="6"/>
        <v/>
      </c>
      <c r="BT75" s="137"/>
    </row>
    <row r="76" spans="2:72" ht="15" customHeight="1" x14ac:dyDescent="0.25">
      <c r="B76" s="19">
        <f>B75+1</f>
        <v>5</v>
      </c>
      <c r="C76" s="44" t="s">
        <v>591</v>
      </c>
      <c r="D76" s="45" t="s">
        <v>592</v>
      </c>
      <c r="E76" s="105" t="s">
        <v>109</v>
      </c>
      <c r="G76" s="477">
        <f>SUM('DUoS (t)'!G76,'TUoS (t)'!G76,'JSO (t)'!G76)</f>
        <v>6.7949999999999999</v>
      </c>
      <c r="H76" s="479">
        <f>SUM('DUoS (t)'!H76,'TUoS (t)'!H76,'JSO (t)'!H76)</f>
        <v>0</v>
      </c>
      <c r="I76" s="483">
        <f>SUM('DUoS (t)'!I76,'TUoS (t)'!I76,'JSO (t)'!I76)</f>
        <v>6.5099999999999991E-2</v>
      </c>
      <c r="J76" s="461">
        <f>SUM('DUoS (t)'!J76,'TUoS (t)'!J76,'JSO (t)'!J76)</f>
        <v>0</v>
      </c>
      <c r="K76" s="484">
        <f>SUM('DUoS (t)'!K76,'TUoS (t)'!K76,'JSO (t)'!K76)</f>
        <v>4.07E-2</v>
      </c>
      <c r="L76" s="461">
        <f>SUM('DUoS (t)'!L76,'TUoS (t)'!L76,'JSO (t)'!L76)</f>
        <v>0</v>
      </c>
      <c r="M76" s="461">
        <f>SUM('DUoS (t)'!M76,'TUoS (t)'!M76,'JSO (t)'!M76)</f>
        <v>0</v>
      </c>
      <c r="N76" s="461">
        <f>SUM('DUoS (t)'!N76,'TUoS (t)'!N76,'JSO (t)'!N76)</f>
        <v>0</v>
      </c>
      <c r="O76" s="462">
        <f>SUM('DUoS (t)'!O76,'TUoS (t)'!O76,'JSO (t)'!O76)</f>
        <v>0</v>
      </c>
      <c r="P76" s="818">
        <f>SUM('DUoS (t)'!P76,'TUoS (t)'!P76,'JSO (t)'!P76)</f>
        <v>0</v>
      </c>
      <c r="Q76" s="461">
        <f>SUM('DUoS (t)'!Q76,'TUoS (t)'!Q76,'JSO (t)'!Q76)</f>
        <v>0</v>
      </c>
      <c r="R76" s="462">
        <f>SUM('DUoS (t)'!R76,'TUoS (t)'!R76,'JSO (t)'!R76)</f>
        <v>0</v>
      </c>
      <c r="S76" s="478">
        <f>SUM('DUoS (t)'!S76,'TUoS (t)'!S76,'JSO (t)'!S76)</f>
        <v>0.25990000000000002</v>
      </c>
      <c r="T76" s="483">
        <f>SUM('DUoS (t)'!T76,'TUoS (t)'!T76,'JSO (t)'!T76)</f>
        <v>0.1028</v>
      </c>
      <c r="U76" s="479">
        <f>SUM('DUoS (t)'!U76,'TUoS (t)'!U76,'JSO (t)'!U76)</f>
        <v>0</v>
      </c>
      <c r="V76" s="462">
        <f>SUM('DUoS (t)'!V76,'TUoS (t)'!V76,'JSO (t)'!V76)</f>
        <v>0</v>
      </c>
      <c r="X76" s="183">
        <f>'Q (t)'!G76</f>
        <v>8760</v>
      </c>
      <c r="Y76" s="184">
        <f>'Q (t)'!H76</f>
        <v>0</v>
      </c>
      <c r="Z76" s="178">
        <f>'Q (t)'!I76</f>
        <v>6100</v>
      </c>
      <c r="AA76" s="178">
        <f>'Q (t)'!J76</f>
        <v>0</v>
      </c>
      <c r="AB76" s="179">
        <f>'Q (t)'!K76</f>
        <v>4800</v>
      </c>
      <c r="AC76" s="178">
        <f>'Q (t)'!L76</f>
        <v>0</v>
      </c>
      <c r="AD76" s="178">
        <f>'Q (t)'!M76</f>
        <v>0</v>
      </c>
      <c r="AE76" s="178">
        <f>'Q (t)'!N76</f>
        <v>0</v>
      </c>
      <c r="AF76" s="179">
        <f>'Q (t)'!O76</f>
        <v>0</v>
      </c>
      <c r="AG76" s="178">
        <f>'Q (t)'!P76</f>
        <v>0</v>
      </c>
      <c r="AH76" s="178">
        <f>'Q (t)'!Q76</f>
        <v>0</v>
      </c>
      <c r="AI76" s="179">
        <f>'Q (t)'!R76</f>
        <v>0</v>
      </c>
      <c r="AJ76" s="184">
        <f>'Q (t)'!S76</f>
        <v>799715</v>
      </c>
      <c r="AK76" s="178">
        <f>'Q (t)'!T76</f>
        <v>1893985</v>
      </c>
      <c r="AL76" s="184">
        <f>'Q (t)'!U76</f>
        <v>0</v>
      </c>
      <c r="AM76" s="179">
        <f>'Q (t)'!V76</f>
        <v>0</v>
      </c>
      <c r="AO76" s="183">
        <f t="shared" si="2"/>
        <v>59.5242</v>
      </c>
      <c r="AP76" s="184">
        <f t="shared" si="52"/>
        <v>0</v>
      </c>
      <c r="AQ76" s="178">
        <f t="shared" si="52"/>
        <v>397.10999999999996</v>
      </c>
      <c r="AR76" s="178">
        <f t="shared" si="52"/>
        <v>0</v>
      </c>
      <c r="AS76" s="179">
        <f t="shared" si="52"/>
        <v>195.36</v>
      </c>
      <c r="AT76" s="178">
        <f t="shared" si="52"/>
        <v>0</v>
      </c>
      <c r="AU76" s="178">
        <f t="shared" si="52"/>
        <v>0</v>
      </c>
      <c r="AV76" s="178">
        <f t="shared" si="52"/>
        <v>0</v>
      </c>
      <c r="AW76" s="179">
        <f t="shared" si="52"/>
        <v>0</v>
      </c>
      <c r="AX76" s="178">
        <f t="shared" si="53"/>
        <v>0</v>
      </c>
      <c r="AY76" s="178">
        <f t="shared" si="54"/>
        <v>0</v>
      </c>
      <c r="AZ76" s="179">
        <f t="shared" si="55"/>
        <v>0</v>
      </c>
      <c r="BA76" s="184">
        <f t="shared" si="25"/>
        <v>207.84592850000001</v>
      </c>
      <c r="BB76" s="178">
        <f t="shared" si="25"/>
        <v>194.70165800000001</v>
      </c>
      <c r="BC76" s="184">
        <f t="shared" si="25"/>
        <v>0</v>
      </c>
      <c r="BD76" s="178">
        <f t="shared" si="25"/>
        <v>0</v>
      </c>
      <c r="BE76" s="244">
        <f t="shared" si="3"/>
        <v>24</v>
      </c>
      <c r="BF76" s="245">
        <f t="shared" si="24"/>
        <v>10900</v>
      </c>
      <c r="BH76" s="255">
        <f t="shared" si="56"/>
        <v>59.5242</v>
      </c>
      <c r="BI76" s="255">
        <f t="shared" si="57"/>
        <v>592.47</v>
      </c>
      <c r="BJ76" s="255">
        <f t="shared" si="58"/>
        <v>0</v>
      </c>
      <c r="BK76" s="256">
        <f t="shared" si="59"/>
        <v>402.54758650000002</v>
      </c>
      <c r="BL76" s="262">
        <f t="shared" si="60"/>
        <v>0</v>
      </c>
      <c r="BM76" s="257">
        <f t="shared" si="5"/>
        <v>1054.5417864999999</v>
      </c>
      <c r="BO76" s="714">
        <f t="shared" si="6"/>
        <v>96.746952889908243</v>
      </c>
      <c r="BT76" s="137"/>
    </row>
    <row r="77" spans="2:72" ht="15" customHeight="1" x14ac:dyDescent="0.25">
      <c r="B77" s="19">
        <f>B76+1</f>
        <v>6</v>
      </c>
      <c r="C77" s="44" t="s">
        <v>593</v>
      </c>
      <c r="D77" s="45" t="s">
        <v>594</v>
      </c>
      <c r="E77" s="105" t="s">
        <v>110</v>
      </c>
      <c r="G77" s="477">
        <f>SUM('DUoS (t)'!G77,'TUoS (t)'!G77,'JSO (t)'!G77)</f>
        <v>0</v>
      </c>
      <c r="H77" s="479">
        <f>SUM('DUoS (t)'!H77,'TUoS (t)'!H77,'JSO (t)'!H77)</f>
        <v>0</v>
      </c>
      <c r="I77" s="483">
        <f>SUM('DUoS (t)'!I77,'TUoS (t)'!I77,'JSO (t)'!I77)</f>
        <v>0</v>
      </c>
      <c r="J77" s="461">
        <f>SUM('DUoS (t)'!J77,'TUoS (t)'!J77,'JSO (t)'!J77)</f>
        <v>0</v>
      </c>
      <c r="K77" s="484">
        <f>SUM('DUoS (t)'!K77,'TUoS (t)'!K77,'JSO (t)'!K77)</f>
        <v>0</v>
      </c>
      <c r="L77" s="461">
        <f>SUM('DUoS (t)'!L77,'TUoS (t)'!L77,'JSO (t)'!L77)</f>
        <v>0</v>
      </c>
      <c r="M77" s="461">
        <f>SUM('DUoS (t)'!M77,'TUoS (t)'!M77,'JSO (t)'!M77)</f>
        <v>0</v>
      </c>
      <c r="N77" s="461">
        <f>SUM('DUoS (t)'!N77,'TUoS (t)'!N77,'JSO (t)'!N77)</f>
        <v>0</v>
      </c>
      <c r="O77" s="462">
        <f>SUM('DUoS (t)'!O77,'TUoS (t)'!O77,'JSO (t)'!O77)</f>
        <v>0</v>
      </c>
      <c r="P77" s="461">
        <f>SUM('DUoS (t)'!P77,'TUoS (t)'!P77,'JSO (t)'!P77)</f>
        <v>0</v>
      </c>
      <c r="Q77" s="461">
        <f>SUM('DUoS (t)'!Q77,'TUoS (t)'!Q77,'JSO (t)'!Q77)</f>
        <v>0</v>
      </c>
      <c r="R77" s="462">
        <f>SUM('DUoS (t)'!R77,'TUoS (t)'!R77,'JSO (t)'!R77)</f>
        <v>0</v>
      </c>
      <c r="S77" s="478">
        <f>SUM('DUoS (t)'!S77,'TUoS (t)'!S77,'JSO (t)'!S77)</f>
        <v>0.2198</v>
      </c>
      <c r="T77" s="483">
        <f>SUM('DUoS (t)'!T77,'TUoS (t)'!T77,'JSO (t)'!T77)</f>
        <v>0.1007</v>
      </c>
      <c r="U77" s="479">
        <f>SUM('DUoS (t)'!U77,'TUoS (t)'!U77,'JSO (t)'!U77)</f>
        <v>0</v>
      </c>
      <c r="V77" s="462">
        <f>SUM('DUoS (t)'!V77,'TUoS (t)'!V77,'JSO (t)'!V77)</f>
        <v>0</v>
      </c>
      <c r="X77" s="183">
        <f>'Q (t)'!G77</f>
        <v>3285</v>
      </c>
      <c r="Y77" s="184">
        <f>'Q (t)'!H77</f>
        <v>0</v>
      </c>
      <c r="Z77" s="178">
        <f>'Q (t)'!I77</f>
        <v>1400</v>
      </c>
      <c r="AA77" s="178">
        <f>'Q (t)'!J77</f>
        <v>0</v>
      </c>
      <c r="AB77" s="179">
        <f>'Q (t)'!K77</f>
        <v>1300</v>
      </c>
      <c r="AC77" s="178">
        <f>'Q (t)'!L77</f>
        <v>0</v>
      </c>
      <c r="AD77" s="178">
        <f>'Q (t)'!M77</f>
        <v>0</v>
      </c>
      <c r="AE77" s="178">
        <f>'Q (t)'!N77</f>
        <v>0</v>
      </c>
      <c r="AF77" s="179">
        <f>'Q (t)'!O77</f>
        <v>0</v>
      </c>
      <c r="AG77" s="178">
        <f>'Q (t)'!P77</f>
        <v>0</v>
      </c>
      <c r="AH77" s="178">
        <f>'Q (t)'!Q77</f>
        <v>0</v>
      </c>
      <c r="AI77" s="179">
        <f>'Q (t)'!R77</f>
        <v>0</v>
      </c>
      <c r="AJ77" s="184">
        <f>'Q (t)'!S77</f>
        <v>0</v>
      </c>
      <c r="AK77" s="178">
        <f>'Q (t)'!T77</f>
        <v>321200</v>
      </c>
      <c r="AL77" s="184">
        <f>'Q (t)'!U77</f>
        <v>0</v>
      </c>
      <c r="AM77" s="179">
        <f>'Q (t)'!V77</f>
        <v>0</v>
      </c>
      <c r="AO77" s="183">
        <f t="shared" si="2"/>
        <v>0</v>
      </c>
      <c r="AP77" s="184">
        <f t="shared" si="52"/>
        <v>0</v>
      </c>
      <c r="AQ77" s="178">
        <f t="shared" si="52"/>
        <v>0</v>
      </c>
      <c r="AR77" s="178">
        <f t="shared" si="52"/>
        <v>0</v>
      </c>
      <c r="AS77" s="179">
        <f t="shared" si="52"/>
        <v>0</v>
      </c>
      <c r="AT77" s="178">
        <f t="shared" si="52"/>
        <v>0</v>
      </c>
      <c r="AU77" s="178">
        <f t="shared" si="52"/>
        <v>0</v>
      </c>
      <c r="AV77" s="178">
        <f t="shared" si="52"/>
        <v>0</v>
      </c>
      <c r="AW77" s="179">
        <f t="shared" si="52"/>
        <v>0</v>
      </c>
      <c r="AX77" s="178">
        <f t="shared" si="53"/>
        <v>0</v>
      </c>
      <c r="AY77" s="178">
        <f t="shared" si="54"/>
        <v>0</v>
      </c>
      <c r="AZ77" s="179">
        <f t="shared" si="55"/>
        <v>0</v>
      </c>
      <c r="BA77" s="184">
        <f t="shared" si="25"/>
        <v>0</v>
      </c>
      <c r="BB77" s="178">
        <f t="shared" si="25"/>
        <v>32.344839999999998</v>
      </c>
      <c r="BC77" s="184">
        <f t="shared" si="25"/>
        <v>0</v>
      </c>
      <c r="BD77" s="178">
        <f t="shared" si="25"/>
        <v>0</v>
      </c>
      <c r="BE77" s="244">
        <f t="shared" si="3"/>
        <v>9</v>
      </c>
      <c r="BF77" s="245">
        <f t="shared" si="24"/>
        <v>2700</v>
      </c>
      <c r="BH77" s="255">
        <f t="shared" si="56"/>
        <v>0</v>
      </c>
      <c r="BI77" s="255">
        <f t="shared" si="57"/>
        <v>0</v>
      </c>
      <c r="BJ77" s="255">
        <f t="shared" si="58"/>
        <v>0</v>
      </c>
      <c r="BK77" s="256">
        <f t="shared" si="59"/>
        <v>32.344839999999998</v>
      </c>
      <c r="BL77" s="262">
        <f t="shared" si="60"/>
        <v>0</v>
      </c>
      <c r="BM77" s="257">
        <f t="shared" si="5"/>
        <v>32.344839999999998</v>
      </c>
      <c r="BO77" s="714">
        <f t="shared" si="6"/>
        <v>11.97957037037037</v>
      </c>
      <c r="BT77" s="137"/>
    </row>
    <row r="78" spans="2:72" ht="15" customHeight="1" x14ac:dyDescent="0.25">
      <c r="B78" s="19"/>
      <c r="C78" s="785"/>
      <c r="D78" s="772"/>
      <c r="E78" s="836" t="s">
        <v>111</v>
      </c>
      <c r="G78" s="482">
        <f>SUM('DUoS (t)'!G78,'TUoS (t)'!G78,'JSO (t)'!G78)</f>
        <v>0</v>
      </c>
      <c r="H78" s="479">
        <f>SUM('DUoS (t)'!H78,'TUoS (t)'!H78,'JSO (t)'!H78)</f>
        <v>0</v>
      </c>
      <c r="I78" s="461">
        <f>SUM('DUoS (t)'!I78,'TUoS (t)'!I78,'JSO (t)'!I78)</f>
        <v>0</v>
      </c>
      <c r="J78" s="461">
        <f>SUM('DUoS (t)'!J78,'TUoS (t)'!J78,'JSO (t)'!J78)</f>
        <v>0</v>
      </c>
      <c r="K78" s="462">
        <f>SUM('DUoS (t)'!K78,'TUoS (t)'!K78,'JSO (t)'!K78)</f>
        <v>0</v>
      </c>
      <c r="L78" s="461">
        <f>SUM('DUoS (t)'!L78,'TUoS (t)'!L78,'JSO (t)'!L78)</f>
        <v>0</v>
      </c>
      <c r="M78" s="461">
        <f>SUM('DUoS (t)'!M78,'TUoS (t)'!M78,'JSO (t)'!M78)</f>
        <v>0</v>
      </c>
      <c r="N78" s="461">
        <f>SUM('DUoS (t)'!N78,'TUoS (t)'!N78,'JSO (t)'!N78)</f>
        <v>0</v>
      </c>
      <c r="O78" s="462">
        <f>SUM('DUoS (t)'!O78,'TUoS (t)'!O78,'JSO (t)'!O78)</f>
        <v>0</v>
      </c>
      <c r="P78" s="461">
        <f>SUM('DUoS (t)'!P78,'TUoS (t)'!P78,'JSO (t)'!P78)</f>
        <v>0</v>
      </c>
      <c r="Q78" s="461">
        <f>SUM('DUoS (t)'!Q78,'TUoS (t)'!Q78,'JSO (t)'!Q78)</f>
        <v>0</v>
      </c>
      <c r="R78" s="462">
        <f>SUM('DUoS (t)'!R78,'TUoS (t)'!R78,'JSO (t)'!R78)</f>
        <v>0</v>
      </c>
      <c r="S78" s="479">
        <f>SUM('DUoS (t)'!S78,'TUoS (t)'!S78,'JSO (t)'!S78)</f>
        <v>0</v>
      </c>
      <c r="T78" s="461">
        <f>SUM('DUoS (t)'!T78,'TUoS (t)'!T78,'JSO (t)'!T78)</f>
        <v>0</v>
      </c>
      <c r="U78" s="479">
        <f>SUM('DUoS (t)'!U78,'TUoS (t)'!U78,'JSO (t)'!U78)</f>
        <v>0</v>
      </c>
      <c r="V78" s="462">
        <f>SUM('DUoS (t)'!V78,'TUoS (t)'!V78,'JSO (t)'!V78)</f>
        <v>0</v>
      </c>
      <c r="X78" s="183">
        <f>'Q (t)'!G78</f>
        <v>0</v>
      </c>
      <c r="Y78" s="184">
        <f>'Q (t)'!H78</f>
        <v>0</v>
      </c>
      <c r="Z78" s="178">
        <f>'Q (t)'!I78</f>
        <v>0</v>
      </c>
      <c r="AA78" s="178">
        <f>'Q (t)'!J78</f>
        <v>0</v>
      </c>
      <c r="AB78" s="179">
        <f>'Q (t)'!K78</f>
        <v>0</v>
      </c>
      <c r="AC78" s="178">
        <f>'Q (t)'!L78</f>
        <v>0</v>
      </c>
      <c r="AD78" s="178">
        <f>'Q (t)'!M78</f>
        <v>0</v>
      </c>
      <c r="AE78" s="178">
        <f>'Q (t)'!N78</f>
        <v>0</v>
      </c>
      <c r="AF78" s="179">
        <f>'Q (t)'!O78</f>
        <v>0</v>
      </c>
      <c r="AG78" s="178">
        <f>'Q (t)'!P78</f>
        <v>0</v>
      </c>
      <c r="AH78" s="178">
        <f>'Q (t)'!Q78</f>
        <v>0</v>
      </c>
      <c r="AI78" s="179">
        <f>'Q (t)'!R78</f>
        <v>0</v>
      </c>
      <c r="AJ78" s="184">
        <f>'Q (t)'!S78</f>
        <v>0</v>
      </c>
      <c r="AK78" s="178">
        <f>'Q (t)'!T78</f>
        <v>0</v>
      </c>
      <c r="AL78" s="184">
        <f>'Q (t)'!U78</f>
        <v>0</v>
      </c>
      <c r="AM78" s="179">
        <f>'Q (t)'!V78</f>
        <v>0</v>
      </c>
      <c r="AO78" s="183">
        <f t="shared" si="2"/>
        <v>0</v>
      </c>
      <c r="AP78" s="184">
        <f t="shared" si="52"/>
        <v>0</v>
      </c>
      <c r="AQ78" s="178">
        <f t="shared" si="52"/>
        <v>0</v>
      </c>
      <c r="AR78" s="178">
        <f t="shared" si="52"/>
        <v>0</v>
      </c>
      <c r="AS78" s="179">
        <f t="shared" si="52"/>
        <v>0</v>
      </c>
      <c r="AT78" s="178">
        <f t="shared" si="52"/>
        <v>0</v>
      </c>
      <c r="AU78" s="178">
        <f t="shared" si="52"/>
        <v>0</v>
      </c>
      <c r="AV78" s="178">
        <f t="shared" si="52"/>
        <v>0</v>
      </c>
      <c r="AW78" s="179">
        <f t="shared" si="52"/>
        <v>0</v>
      </c>
      <c r="AX78" s="178">
        <f t="shared" si="53"/>
        <v>0</v>
      </c>
      <c r="AY78" s="178">
        <f t="shared" si="54"/>
        <v>0</v>
      </c>
      <c r="AZ78" s="179">
        <f t="shared" si="55"/>
        <v>0</v>
      </c>
      <c r="BA78" s="184">
        <f t="shared" si="25"/>
        <v>0</v>
      </c>
      <c r="BB78" s="178">
        <f t="shared" si="25"/>
        <v>0</v>
      </c>
      <c r="BC78" s="184">
        <f t="shared" si="25"/>
        <v>0</v>
      </c>
      <c r="BD78" s="178">
        <f t="shared" si="25"/>
        <v>0</v>
      </c>
      <c r="BE78" s="244">
        <f t="shared" si="3"/>
        <v>0</v>
      </c>
      <c r="BF78" s="245">
        <f t="shared" si="24"/>
        <v>0</v>
      </c>
      <c r="BH78" s="255">
        <f t="shared" si="56"/>
        <v>0</v>
      </c>
      <c r="BI78" s="255">
        <f t="shared" si="57"/>
        <v>0</v>
      </c>
      <c r="BJ78" s="255">
        <f t="shared" si="58"/>
        <v>0</v>
      </c>
      <c r="BK78" s="256">
        <f t="shared" si="59"/>
        <v>0</v>
      </c>
      <c r="BL78" s="262">
        <f t="shared" si="60"/>
        <v>0</v>
      </c>
      <c r="BM78" s="257">
        <f t="shared" si="5"/>
        <v>0</v>
      </c>
      <c r="BO78" s="714" t="str">
        <f t="shared" si="6"/>
        <v/>
      </c>
      <c r="BT78" s="137"/>
    </row>
    <row r="79" spans="2:72" ht="15" customHeight="1" x14ac:dyDescent="0.25">
      <c r="B79" s="19">
        <f>B77+1</f>
        <v>7</v>
      </c>
      <c r="C79" s="833" t="s">
        <v>553</v>
      </c>
      <c r="D79" s="45"/>
      <c r="E79" s="835" t="s">
        <v>104</v>
      </c>
      <c r="G79" s="482">
        <f>SUM('DUoS (t)'!G79,'TUoS (t)'!G79,'JSO (t)'!G79)</f>
        <v>0</v>
      </c>
      <c r="H79" s="479">
        <f>SUM('DUoS (t)'!H79,'TUoS (t)'!H79,'JSO (t)'!H79)</f>
        <v>0</v>
      </c>
      <c r="I79" s="461">
        <f>SUM('DUoS (t)'!I79,'TUoS (t)'!I79,'JSO (t)'!I79)</f>
        <v>0</v>
      </c>
      <c r="J79" s="461">
        <f>SUM('DUoS (t)'!J79,'TUoS (t)'!J79,'JSO (t)'!J79)</f>
        <v>0</v>
      </c>
      <c r="K79" s="462">
        <f>SUM('DUoS (t)'!K79,'TUoS (t)'!K79,'JSO (t)'!K79)</f>
        <v>0</v>
      </c>
      <c r="L79" s="461">
        <f>SUM('DUoS (t)'!L79,'TUoS (t)'!L79,'JSO (t)'!L79)</f>
        <v>0</v>
      </c>
      <c r="M79" s="461">
        <f>SUM('DUoS (t)'!M79,'TUoS (t)'!M79,'JSO (t)'!M79)</f>
        <v>0</v>
      </c>
      <c r="N79" s="461">
        <f>SUM('DUoS (t)'!N79,'TUoS (t)'!N79,'JSO (t)'!N79)</f>
        <v>0</v>
      </c>
      <c r="O79" s="462">
        <f>SUM('DUoS (t)'!O79,'TUoS (t)'!O79,'JSO (t)'!O79)</f>
        <v>0</v>
      </c>
      <c r="P79" s="461">
        <f>SUM('DUoS (t)'!P79,'TUoS (t)'!P79,'JSO (t)'!P79)</f>
        <v>0</v>
      </c>
      <c r="Q79" s="461">
        <f>SUM('DUoS (t)'!Q79,'TUoS (t)'!Q79,'JSO (t)'!Q79)</f>
        <v>0</v>
      </c>
      <c r="R79" s="462">
        <f>SUM('DUoS (t)'!R79,'TUoS (t)'!R79,'JSO (t)'!R79)</f>
        <v>0</v>
      </c>
      <c r="S79" s="479">
        <f>SUM('DUoS (t)'!S79,'TUoS (t)'!S79,'JSO (t)'!S79)</f>
        <v>0</v>
      </c>
      <c r="T79" s="461">
        <f>SUM('DUoS (t)'!T79,'TUoS (t)'!T79,'JSO (t)'!T79)</f>
        <v>0</v>
      </c>
      <c r="U79" s="480">
        <f>SUM('DUoS (t)'!U79,'TUoS (t)'!U79,'JSO (t)'!U79)</f>
        <v>0</v>
      </c>
      <c r="V79" s="481">
        <f>SUM('DUoS (t)'!V79,'TUoS (t)'!V79,'JSO (t)'!V79)</f>
        <v>0</v>
      </c>
      <c r="X79" s="183">
        <f>'Q (t)'!G79</f>
        <v>0</v>
      </c>
      <c r="Y79" s="184">
        <f>'Q (t)'!H79</f>
        <v>0</v>
      </c>
      <c r="Z79" s="178">
        <f>'Q (t)'!I79</f>
        <v>0</v>
      </c>
      <c r="AA79" s="178">
        <f>'Q (t)'!J79</f>
        <v>0</v>
      </c>
      <c r="AB79" s="179">
        <f>'Q (t)'!K79</f>
        <v>0</v>
      </c>
      <c r="AC79" s="178">
        <f>'Q (t)'!L79</f>
        <v>0</v>
      </c>
      <c r="AD79" s="178">
        <f>'Q (t)'!M79</f>
        <v>0</v>
      </c>
      <c r="AE79" s="178">
        <f>'Q (t)'!N79</f>
        <v>0</v>
      </c>
      <c r="AF79" s="179">
        <f>'Q (t)'!O79</f>
        <v>0</v>
      </c>
      <c r="AG79" s="178">
        <f>'Q (t)'!P79</f>
        <v>0</v>
      </c>
      <c r="AH79" s="178">
        <f>'Q (t)'!Q79</f>
        <v>0</v>
      </c>
      <c r="AI79" s="179">
        <f>'Q (t)'!R79</f>
        <v>0</v>
      </c>
      <c r="AJ79" s="184">
        <f>'Q (t)'!S79</f>
        <v>0</v>
      </c>
      <c r="AK79" s="178">
        <f>'Q (t)'!T79</f>
        <v>0</v>
      </c>
      <c r="AL79" s="184">
        <f>'Q (t)'!U79</f>
        <v>0</v>
      </c>
      <c r="AM79" s="179">
        <f>'Q (t)'!V79</f>
        <v>0</v>
      </c>
      <c r="AO79" s="183">
        <f t="shared" si="2"/>
        <v>0</v>
      </c>
      <c r="AP79" s="184">
        <f t="shared" si="52"/>
        <v>0</v>
      </c>
      <c r="AQ79" s="178">
        <f t="shared" si="52"/>
        <v>0</v>
      </c>
      <c r="AR79" s="178">
        <f t="shared" si="52"/>
        <v>0</v>
      </c>
      <c r="AS79" s="179">
        <f t="shared" si="52"/>
        <v>0</v>
      </c>
      <c r="AT79" s="178">
        <f t="shared" si="52"/>
        <v>0</v>
      </c>
      <c r="AU79" s="178">
        <f t="shared" si="52"/>
        <v>0</v>
      </c>
      <c r="AV79" s="178">
        <f t="shared" si="52"/>
        <v>0</v>
      </c>
      <c r="AW79" s="179">
        <f t="shared" si="52"/>
        <v>0</v>
      </c>
      <c r="AX79" s="178">
        <f t="shared" si="53"/>
        <v>0</v>
      </c>
      <c r="AY79" s="178">
        <f t="shared" si="54"/>
        <v>0</v>
      </c>
      <c r="AZ79" s="179">
        <f t="shared" si="55"/>
        <v>0</v>
      </c>
      <c r="BA79" s="184">
        <f t="shared" si="25"/>
        <v>0</v>
      </c>
      <c r="BB79" s="178">
        <f t="shared" si="25"/>
        <v>0</v>
      </c>
      <c r="BC79" s="184">
        <f t="shared" si="25"/>
        <v>0</v>
      </c>
      <c r="BD79" s="178">
        <f t="shared" si="25"/>
        <v>0</v>
      </c>
      <c r="BE79" s="244">
        <f t="shared" si="3"/>
        <v>0</v>
      </c>
      <c r="BF79" s="245">
        <f t="shared" si="24"/>
        <v>0</v>
      </c>
      <c r="BH79" s="255">
        <f t="shared" si="56"/>
        <v>0</v>
      </c>
      <c r="BI79" s="255">
        <f t="shared" si="57"/>
        <v>0</v>
      </c>
      <c r="BJ79" s="255">
        <f t="shared" si="58"/>
        <v>0</v>
      </c>
      <c r="BK79" s="256">
        <f t="shared" si="59"/>
        <v>0</v>
      </c>
      <c r="BL79" s="262">
        <f t="shared" si="60"/>
        <v>0</v>
      </c>
      <c r="BM79" s="257">
        <f t="shared" si="5"/>
        <v>0</v>
      </c>
      <c r="BO79" s="714" t="str">
        <f t="shared" si="6"/>
        <v/>
      </c>
      <c r="BT79" s="137"/>
    </row>
    <row r="80" spans="2:72" ht="15" customHeight="1" x14ac:dyDescent="0.25">
      <c r="B80" s="19">
        <f t="shared" ref="B80:B93" si="61">B79+1</f>
        <v>8</v>
      </c>
      <c r="C80" s="833" t="s">
        <v>554</v>
      </c>
      <c r="D80" s="45"/>
      <c r="E80" s="835" t="s">
        <v>104</v>
      </c>
      <c r="G80" s="482">
        <f>SUM('DUoS (t)'!G80,'TUoS (t)'!G80,'JSO (t)'!G80)</f>
        <v>0</v>
      </c>
      <c r="H80" s="479">
        <f>SUM('DUoS (t)'!H80,'TUoS (t)'!H80,'JSO (t)'!H80)</f>
        <v>0</v>
      </c>
      <c r="I80" s="461">
        <f>SUM('DUoS (t)'!I80,'TUoS (t)'!I80,'JSO (t)'!I80)</f>
        <v>0</v>
      </c>
      <c r="J80" s="461">
        <f>SUM('DUoS (t)'!J80,'TUoS (t)'!J80,'JSO (t)'!J80)</f>
        <v>0</v>
      </c>
      <c r="K80" s="462">
        <f>SUM('DUoS (t)'!K80,'TUoS (t)'!K80,'JSO (t)'!K80)</f>
        <v>0</v>
      </c>
      <c r="L80" s="461">
        <f>SUM('DUoS (t)'!L80,'TUoS (t)'!L80,'JSO (t)'!L80)</f>
        <v>0</v>
      </c>
      <c r="M80" s="461">
        <f>SUM('DUoS (t)'!M80,'TUoS (t)'!M80,'JSO (t)'!M80)</f>
        <v>0</v>
      </c>
      <c r="N80" s="461">
        <f>SUM('DUoS (t)'!N80,'TUoS (t)'!N80,'JSO (t)'!N80)</f>
        <v>0</v>
      </c>
      <c r="O80" s="462">
        <f>SUM('DUoS (t)'!O80,'TUoS (t)'!O80,'JSO (t)'!O80)</f>
        <v>0</v>
      </c>
      <c r="P80" s="461">
        <f>SUM('DUoS (t)'!P80,'TUoS (t)'!P80,'JSO (t)'!P80)</f>
        <v>0</v>
      </c>
      <c r="Q80" s="461">
        <f>SUM('DUoS (t)'!Q80,'TUoS (t)'!Q80,'JSO (t)'!Q80)</f>
        <v>0</v>
      </c>
      <c r="R80" s="462">
        <f>SUM('DUoS (t)'!R80,'TUoS (t)'!R80,'JSO (t)'!R80)</f>
        <v>0</v>
      </c>
      <c r="S80" s="479">
        <f>SUM('DUoS (t)'!S80,'TUoS (t)'!S80,'JSO (t)'!S80)</f>
        <v>0</v>
      </c>
      <c r="T80" s="461">
        <f>SUM('DUoS (t)'!T80,'TUoS (t)'!T80,'JSO (t)'!T80)</f>
        <v>0</v>
      </c>
      <c r="U80" s="480">
        <f>SUM('DUoS (t)'!U80,'TUoS (t)'!U80,'JSO (t)'!U80)</f>
        <v>0</v>
      </c>
      <c r="V80" s="481">
        <f>SUM('DUoS (t)'!V80,'TUoS (t)'!V80,'JSO (t)'!V80)</f>
        <v>0</v>
      </c>
      <c r="X80" s="183">
        <f>'Q (t)'!G80</f>
        <v>0</v>
      </c>
      <c r="Y80" s="184">
        <f>'Q (t)'!H80</f>
        <v>0</v>
      </c>
      <c r="Z80" s="178">
        <f>'Q (t)'!I80</f>
        <v>0</v>
      </c>
      <c r="AA80" s="178">
        <f>'Q (t)'!J80</f>
        <v>0</v>
      </c>
      <c r="AB80" s="179">
        <f>'Q (t)'!K80</f>
        <v>0</v>
      </c>
      <c r="AC80" s="178">
        <f>'Q (t)'!L80</f>
        <v>0</v>
      </c>
      <c r="AD80" s="178">
        <f>'Q (t)'!M80</f>
        <v>0</v>
      </c>
      <c r="AE80" s="178">
        <f>'Q (t)'!N80</f>
        <v>0</v>
      </c>
      <c r="AF80" s="179">
        <f>'Q (t)'!O80</f>
        <v>0</v>
      </c>
      <c r="AG80" s="178">
        <f>'Q (t)'!P80</f>
        <v>0</v>
      </c>
      <c r="AH80" s="178">
        <f>'Q (t)'!Q80</f>
        <v>0</v>
      </c>
      <c r="AI80" s="179">
        <f>'Q (t)'!R80</f>
        <v>0</v>
      </c>
      <c r="AJ80" s="184">
        <f>'Q (t)'!S80</f>
        <v>0</v>
      </c>
      <c r="AK80" s="178">
        <f>'Q (t)'!T80</f>
        <v>0</v>
      </c>
      <c r="AL80" s="184">
        <f>'Q (t)'!U80</f>
        <v>0</v>
      </c>
      <c r="AM80" s="179">
        <f>'Q (t)'!V80</f>
        <v>0</v>
      </c>
      <c r="AO80" s="183">
        <f t="shared" ref="AO80:AO129" si="62">G80*X80/1000</f>
        <v>0</v>
      </c>
      <c r="AP80" s="184">
        <f t="shared" ref="AP80:AW96" si="63">H80*Y80</f>
        <v>0</v>
      </c>
      <c r="AQ80" s="178">
        <f t="shared" si="63"/>
        <v>0</v>
      </c>
      <c r="AR80" s="178">
        <f t="shared" si="63"/>
        <v>0</v>
      </c>
      <c r="AS80" s="179">
        <f t="shared" si="63"/>
        <v>0</v>
      </c>
      <c r="AT80" s="178">
        <f t="shared" si="63"/>
        <v>0</v>
      </c>
      <c r="AU80" s="178">
        <f t="shared" si="63"/>
        <v>0</v>
      </c>
      <c r="AV80" s="178">
        <f t="shared" si="63"/>
        <v>0</v>
      </c>
      <c r="AW80" s="179">
        <f t="shared" si="63"/>
        <v>0</v>
      </c>
      <c r="AX80" s="178">
        <f t="shared" si="53"/>
        <v>0</v>
      </c>
      <c r="AY80" s="178">
        <f t="shared" si="54"/>
        <v>0</v>
      </c>
      <c r="AZ80" s="179">
        <f t="shared" si="55"/>
        <v>0</v>
      </c>
      <c r="BA80" s="184">
        <f t="shared" si="25"/>
        <v>0</v>
      </c>
      <c r="BB80" s="178">
        <f t="shared" si="25"/>
        <v>0</v>
      </c>
      <c r="BC80" s="184">
        <f t="shared" si="25"/>
        <v>0</v>
      </c>
      <c r="BD80" s="178">
        <f t="shared" si="25"/>
        <v>0</v>
      </c>
      <c r="BE80" s="244">
        <f t="shared" ref="BE80:BE129" si="64">X80/$BE$7</f>
        <v>0</v>
      </c>
      <c r="BF80" s="245">
        <f t="shared" ref="BF80:BF111" si="65">SUM(Y80:AF80)</f>
        <v>0</v>
      </c>
      <c r="BH80" s="255">
        <f t="shared" si="56"/>
        <v>0</v>
      </c>
      <c r="BI80" s="255">
        <f t="shared" si="57"/>
        <v>0</v>
      </c>
      <c r="BJ80" s="255">
        <f t="shared" si="58"/>
        <v>0</v>
      </c>
      <c r="BK80" s="256">
        <f t="shared" si="59"/>
        <v>0</v>
      </c>
      <c r="BL80" s="262">
        <f t="shared" si="60"/>
        <v>0</v>
      </c>
      <c r="BM80" s="257">
        <f t="shared" ref="BM80:BM129" si="66">SUM(BH80:BL80)</f>
        <v>0</v>
      </c>
      <c r="BO80" s="714" t="str">
        <f t="shared" ref="BO80:BO129" si="67">IF(BF80=0,"",BM80*1000/BF80)</f>
        <v/>
      </c>
      <c r="BT80" s="137"/>
    </row>
    <row r="81" spans="2:72" ht="15" customHeight="1" x14ac:dyDescent="0.25">
      <c r="B81" s="19">
        <f t="shared" si="61"/>
        <v>9</v>
      </c>
      <c r="C81" s="44" t="s">
        <v>566</v>
      </c>
      <c r="D81" s="45"/>
      <c r="E81" s="105" t="s">
        <v>104</v>
      </c>
      <c r="G81" s="477">
        <f>SUM('DUoS (t)'!G81,'TUoS (t)'!G81,'JSO (t)'!G81)</f>
        <v>704.14919999999995</v>
      </c>
      <c r="H81" s="479">
        <f>SUM('DUoS (t)'!H81,'TUoS (t)'!H81,'JSO (t)'!H81)</f>
        <v>0</v>
      </c>
      <c r="I81" s="483">
        <f>SUM('DUoS (t)'!I81,'TUoS (t)'!I81,'JSO (t)'!I81)</f>
        <v>4.1700000000000001E-2</v>
      </c>
      <c r="J81" s="461">
        <f>SUM('DUoS (t)'!J81,'TUoS (t)'!J81,'JSO (t)'!J81)</f>
        <v>0</v>
      </c>
      <c r="K81" s="484">
        <f>SUM('DUoS (t)'!K81,'TUoS (t)'!K81,'JSO (t)'!K81)</f>
        <v>2.6100000000000002E-2</v>
      </c>
      <c r="L81" s="461">
        <f>SUM('DUoS (t)'!L81,'TUoS (t)'!L81,'JSO (t)'!L81)</f>
        <v>0</v>
      </c>
      <c r="M81" s="461">
        <f>SUM('DUoS (t)'!M81,'TUoS (t)'!M81,'JSO (t)'!M81)</f>
        <v>0</v>
      </c>
      <c r="N81" s="461">
        <f>SUM('DUoS (t)'!N81,'TUoS (t)'!N81,'JSO (t)'!N81)</f>
        <v>0</v>
      </c>
      <c r="O81" s="462">
        <f>SUM('DUoS (t)'!O81,'TUoS (t)'!O81,'JSO (t)'!O81)</f>
        <v>0</v>
      </c>
      <c r="P81" s="461">
        <f>SUM('DUoS (t)'!P81,'TUoS (t)'!P81,'JSO (t)'!P81)</f>
        <v>0</v>
      </c>
      <c r="Q81" s="461">
        <f>SUM('DUoS (t)'!Q81,'TUoS (t)'!Q81,'JSO (t)'!Q81)</f>
        <v>0</v>
      </c>
      <c r="R81" s="462">
        <f>SUM('DUoS (t)'!R81,'TUoS (t)'!R81,'JSO (t)'!R81)</f>
        <v>0</v>
      </c>
      <c r="S81" s="478">
        <f>SUM('DUoS (t)'!S81,'TUoS (t)'!S81,'JSO (t)'!S81)</f>
        <v>0.2198</v>
      </c>
      <c r="T81" s="483">
        <f>SUM('DUoS (t)'!T81,'TUoS (t)'!T81,'JSO (t)'!T81)</f>
        <v>0</v>
      </c>
      <c r="U81" s="480">
        <f>SUM('DUoS (t)'!U81,'TUoS (t)'!U81,'JSO (t)'!U81)</f>
        <v>0</v>
      </c>
      <c r="V81" s="481">
        <f>SUM('DUoS (t)'!V81,'TUoS (t)'!V81,'JSO (t)'!V81)</f>
        <v>0</v>
      </c>
      <c r="X81" s="183">
        <f>'Q (t)'!G81</f>
        <v>365</v>
      </c>
      <c r="Y81" s="184">
        <f>'Q (t)'!H81</f>
        <v>0</v>
      </c>
      <c r="Z81" s="178">
        <f>'Q (t)'!I81</f>
        <v>6380</v>
      </c>
      <c r="AA81" s="178">
        <f>'Q (t)'!J81</f>
        <v>0</v>
      </c>
      <c r="AB81" s="179">
        <f>'Q (t)'!K81</f>
        <v>13882</v>
      </c>
      <c r="AC81" s="178">
        <f>'Q (t)'!L81</f>
        <v>0</v>
      </c>
      <c r="AD81" s="178">
        <f>'Q (t)'!M81</f>
        <v>0</v>
      </c>
      <c r="AE81" s="178">
        <f>'Q (t)'!N81</f>
        <v>0</v>
      </c>
      <c r="AF81" s="179">
        <f>'Q (t)'!O81</f>
        <v>0</v>
      </c>
      <c r="AG81" s="178">
        <f>'Q (t)'!P81</f>
        <v>0</v>
      </c>
      <c r="AH81" s="178">
        <f>'Q (t)'!Q81</f>
        <v>0</v>
      </c>
      <c r="AI81" s="179">
        <f>'Q (t)'!R81</f>
        <v>0</v>
      </c>
      <c r="AJ81" s="184">
        <f>'Q (t)'!S81</f>
        <v>516353.33333333337</v>
      </c>
      <c r="AK81" s="178">
        <f>'Q (t)'!T81</f>
        <v>2083785</v>
      </c>
      <c r="AL81" s="184">
        <f>'Q (t)'!U81</f>
        <v>0</v>
      </c>
      <c r="AM81" s="179">
        <f>'Q (t)'!V81</f>
        <v>0</v>
      </c>
      <c r="AO81" s="183">
        <f t="shared" si="62"/>
        <v>257.01445799999999</v>
      </c>
      <c r="AP81" s="184">
        <f t="shared" si="63"/>
        <v>0</v>
      </c>
      <c r="AQ81" s="178">
        <f t="shared" si="63"/>
        <v>266.04599999999999</v>
      </c>
      <c r="AR81" s="178">
        <f t="shared" si="63"/>
        <v>0</v>
      </c>
      <c r="AS81" s="179">
        <f t="shared" si="63"/>
        <v>362.3202</v>
      </c>
      <c r="AT81" s="178">
        <f t="shared" si="63"/>
        <v>0</v>
      </c>
      <c r="AU81" s="178">
        <f t="shared" si="63"/>
        <v>0</v>
      </c>
      <c r="AV81" s="178">
        <f t="shared" si="63"/>
        <v>0</v>
      </c>
      <c r="AW81" s="179">
        <f t="shared" si="63"/>
        <v>0</v>
      </c>
      <c r="AX81" s="178">
        <f t="shared" si="53"/>
        <v>0</v>
      </c>
      <c r="AY81" s="178">
        <f t="shared" si="54"/>
        <v>0</v>
      </c>
      <c r="AZ81" s="179">
        <f t="shared" si="55"/>
        <v>0</v>
      </c>
      <c r="BA81" s="184">
        <f t="shared" si="25"/>
        <v>113.49446266666668</v>
      </c>
      <c r="BB81" s="178">
        <f t="shared" si="25"/>
        <v>0</v>
      </c>
      <c r="BC81" s="184">
        <f t="shared" si="25"/>
        <v>0</v>
      </c>
      <c r="BD81" s="178">
        <f t="shared" si="25"/>
        <v>0</v>
      </c>
      <c r="BE81" s="244">
        <f>X81/$BE$7</f>
        <v>1</v>
      </c>
      <c r="BF81" s="245">
        <f t="shared" si="65"/>
        <v>20262</v>
      </c>
      <c r="BH81" s="255">
        <f t="shared" si="56"/>
        <v>257.01445799999999</v>
      </c>
      <c r="BI81" s="255">
        <f t="shared" si="57"/>
        <v>628.36619999999994</v>
      </c>
      <c r="BJ81" s="255">
        <f t="shared" si="58"/>
        <v>0</v>
      </c>
      <c r="BK81" s="256">
        <f t="shared" si="59"/>
        <v>113.49446266666668</v>
      </c>
      <c r="BL81" s="262">
        <f t="shared" si="60"/>
        <v>0</v>
      </c>
      <c r="BM81" s="257">
        <f t="shared" si="66"/>
        <v>998.87512066666659</v>
      </c>
      <c r="BO81" s="714">
        <f t="shared" si="67"/>
        <v>49.297952850985418</v>
      </c>
      <c r="BT81" s="137"/>
    </row>
    <row r="82" spans="2:72" ht="15" customHeight="1" x14ac:dyDescent="0.25">
      <c r="B82" s="19">
        <f t="shared" si="61"/>
        <v>10</v>
      </c>
      <c r="C82" s="833" t="s">
        <v>555</v>
      </c>
      <c r="D82" s="45"/>
      <c r="E82" s="835" t="s">
        <v>104</v>
      </c>
      <c r="G82" s="482">
        <f>SUM('DUoS (t)'!G82,'TUoS (t)'!G82,'JSO (t)'!G82)</f>
        <v>0</v>
      </c>
      <c r="H82" s="479">
        <f>SUM('DUoS (t)'!H82,'TUoS (t)'!H82,'JSO (t)'!H82)</f>
        <v>0</v>
      </c>
      <c r="I82" s="461">
        <f>SUM('DUoS (t)'!I82,'TUoS (t)'!I82,'JSO (t)'!I82)</f>
        <v>0</v>
      </c>
      <c r="J82" s="461">
        <f>SUM('DUoS (t)'!J82,'TUoS (t)'!J82,'JSO (t)'!J82)</f>
        <v>0</v>
      </c>
      <c r="K82" s="462">
        <f>SUM('DUoS (t)'!K82,'TUoS (t)'!K82,'JSO (t)'!K82)</f>
        <v>0</v>
      </c>
      <c r="L82" s="461">
        <f>SUM('DUoS (t)'!L82,'TUoS (t)'!L82,'JSO (t)'!L82)</f>
        <v>0</v>
      </c>
      <c r="M82" s="461">
        <f>SUM('DUoS (t)'!M82,'TUoS (t)'!M82,'JSO (t)'!M82)</f>
        <v>0</v>
      </c>
      <c r="N82" s="461">
        <f>SUM('DUoS (t)'!N82,'TUoS (t)'!N82,'JSO (t)'!N82)</f>
        <v>0</v>
      </c>
      <c r="O82" s="462">
        <f>SUM('DUoS (t)'!O82,'TUoS (t)'!O82,'JSO (t)'!O82)</f>
        <v>0</v>
      </c>
      <c r="P82" s="461">
        <f>SUM('DUoS (t)'!P82,'TUoS (t)'!P82,'JSO (t)'!P82)</f>
        <v>0</v>
      </c>
      <c r="Q82" s="461">
        <f>SUM('DUoS (t)'!Q82,'TUoS (t)'!Q82,'JSO (t)'!Q82)</f>
        <v>0</v>
      </c>
      <c r="R82" s="462">
        <f>SUM('DUoS (t)'!R82,'TUoS (t)'!R82,'JSO (t)'!R82)</f>
        <v>0</v>
      </c>
      <c r="S82" s="479">
        <f>SUM('DUoS (t)'!S82,'TUoS (t)'!S82,'JSO (t)'!S82)</f>
        <v>0</v>
      </c>
      <c r="T82" s="461">
        <f>SUM('DUoS (t)'!T82,'TUoS (t)'!T82,'JSO (t)'!T82)</f>
        <v>0</v>
      </c>
      <c r="U82" s="480">
        <f>SUM('DUoS (t)'!U82,'TUoS (t)'!U82,'JSO (t)'!U82)</f>
        <v>0</v>
      </c>
      <c r="V82" s="481">
        <f>SUM('DUoS (t)'!V82,'TUoS (t)'!V82,'JSO (t)'!V82)</f>
        <v>0</v>
      </c>
      <c r="X82" s="183">
        <f>'Q (t)'!G82</f>
        <v>0</v>
      </c>
      <c r="Y82" s="184">
        <f>'Q (t)'!H82</f>
        <v>0</v>
      </c>
      <c r="Z82" s="178">
        <f>'Q (t)'!I82</f>
        <v>0</v>
      </c>
      <c r="AA82" s="178">
        <f>'Q (t)'!J82</f>
        <v>0</v>
      </c>
      <c r="AB82" s="179">
        <f>'Q (t)'!K82</f>
        <v>0</v>
      </c>
      <c r="AC82" s="178">
        <f>'Q (t)'!L82</f>
        <v>0</v>
      </c>
      <c r="AD82" s="178">
        <f>'Q (t)'!M82</f>
        <v>0</v>
      </c>
      <c r="AE82" s="178">
        <f>'Q (t)'!N82</f>
        <v>0</v>
      </c>
      <c r="AF82" s="179">
        <f>'Q (t)'!O82</f>
        <v>0</v>
      </c>
      <c r="AG82" s="178">
        <f>'Q (t)'!P82</f>
        <v>0</v>
      </c>
      <c r="AH82" s="178">
        <f>'Q (t)'!Q82</f>
        <v>0</v>
      </c>
      <c r="AI82" s="179">
        <f>'Q (t)'!R82</f>
        <v>0</v>
      </c>
      <c r="AJ82" s="184">
        <f>'Q (t)'!S82</f>
        <v>0</v>
      </c>
      <c r="AK82" s="178">
        <f>'Q (t)'!T82</f>
        <v>0</v>
      </c>
      <c r="AL82" s="184">
        <f>'Q (t)'!U82</f>
        <v>0</v>
      </c>
      <c r="AM82" s="179">
        <f>'Q (t)'!V82</f>
        <v>0</v>
      </c>
      <c r="AO82" s="183">
        <f t="shared" si="62"/>
        <v>0</v>
      </c>
      <c r="AP82" s="184">
        <f t="shared" si="63"/>
        <v>0</v>
      </c>
      <c r="AQ82" s="178">
        <f t="shared" si="63"/>
        <v>0</v>
      </c>
      <c r="AR82" s="178">
        <f t="shared" si="63"/>
        <v>0</v>
      </c>
      <c r="AS82" s="179">
        <f t="shared" si="63"/>
        <v>0</v>
      </c>
      <c r="AT82" s="178">
        <f t="shared" si="63"/>
        <v>0</v>
      </c>
      <c r="AU82" s="178">
        <f t="shared" si="63"/>
        <v>0</v>
      </c>
      <c r="AV82" s="178">
        <f t="shared" si="63"/>
        <v>0</v>
      </c>
      <c r="AW82" s="179">
        <f t="shared" si="63"/>
        <v>0</v>
      </c>
      <c r="AX82" s="178">
        <f t="shared" si="53"/>
        <v>0</v>
      </c>
      <c r="AY82" s="178">
        <f t="shared" si="54"/>
        <v>0</v>
      </c>
      <c r="AZ82" s="179">
        <f t="shared" si="55"/>
        <v>0</v>
      </c>
      <c r="BA82" s="184">
        <f t="shared" si="25"/>
        <v>0</v>
      </c>
      <c r="BB82" s="178">
        <f t="shared" si="25"/>
        <v>0</v>
      </c>
      <c r="BC82" s="184">
        <f t="shared" si="25"/>
        <v>0</v>
      </c>
      <c r="BD82" s="178">
        <f t="shared" si="25"/>
        <v>0</v>
      </c>
      <c r="BE82" s="244">
        <f t="shared" si="64"/>
        <v>0</v>
      </c>
      <c r="BF82" s="245">
        <f t="shared" si="65"/>
        <v>0</v>
      </c>
      <c r="BH82" s="255">
        <f t="shared" si="56"/>
        <v>0</v>
      </c>
      <c r="BI82" s="255">
        <f t="shared" si="57"/>
        <v>0</v>
      </c>
      <c r="BJ82" s="255">
        <f t="shared" si="58"/>
        <v>0</v>
      </c>
      <c r="BK82" s="256">
        <f t="shared" si="59"/>
        <v>0</v>
      </c>
      <c r="BL82" s="262">
        <f t="shared" si="60"/>
        <v>0</v>
      </c>
      <c r="BM82" s="257">
        <f t="shared" si="66"/>
        <v>0</v>
      </c>
      <c r="BO82" s="714" t="str">
        <f t="shared" si="67"/>
        <v/>
      </c>
      <c r="BT82" s="137"/>
    </row>
    <row r="83" spans="2:72" ht="15" customHeight="1" x14ac:dyDescent="0.25">
      <c r="B83" s="19">
        <f t="shared" si="61"/>
        <v>11</v>
      </c>
      <c r="C83" s="833" t="s">
        <v>556</v>
      </c>
      <c r="D83" s="45"/>
      <c r="E83" s="835" t="s">
        <v>104</v>
      </c>
      <c r="G83" s="482">
        <f>SUM('DUoS (t)'!G83,'TUoS (t)'!G83,'JSO (t)'!G83)</f>
        <v>0</v>
      </c>
      <c r="H83" s="479">
        <f>SUM('DUoS (t)'!H83,'TUoS (t)'!H83,'JSO (t)'!H83)</f>
        <v>0</v>
      </c>
      <c r="I83" s="461">
        <f>SUM('DUoS (t)'!I83,'TUoS (t)'!I83,'JSO (t)'!I83)</f>
        <v>0</v>
      </c>
      <c r="J83" s="461">
        <f>SUM('DUoS (t)'!J83,'TUoS (t)'!J83,'JSO (t)'!J83)</f>
        <v>0</v>
      </c>
      <c r="K83" s="462">
        <f>SUM('DUoS (t)'!K83,'TUoS (t)'!K83,'JSO (t)'!K83)</f>
        <v>0</v>
      </c>
      <c r="L83" s="461">
        <f>SUM('DUoS (t)'!L83,'TUoS (t)'!L83,'JSO (t)'!L83)</f>
        <v>0</v>
      </c>
      <c r="M83" s="461">
        <f>SUM('DUoS (t)'!M83,'TUoS (t)'!M83,'JSO (t)'!M83)</f>
        <v>0</v>
      </c>
      <c r="N83" s="461">
        <f>SUM('DUoS (t)'!N83,'TUoS (t)'!N83,'JSO (t)'!N83)</f>
        <v>0</v>
      </c>
      <c r="O83" s="462">
        <f>SUM('DUoS (t)'!O83,'TUoS (t)'!O83,'JSO (t)'!O83)</f>
        <v>0</v>
      </c>
      <c r="P83" s="461">
        <f>SUM('DUoS (t)'!P83,'TUoS (t)'!P83,'JSO (t)'!P83)</f>
        <v>0</v>
      </c>
      <c r="Q83" s="461">
        <f>SUM('DUoS (t)'!Q83,'TUoS (t)'!Q83,'JSO (t)'!Q83)</f>
        <v>0</v>
      </c>
      <c r="R83" s="462">
        <f>SUM('DUoS (t)'!R83,'TUoS (t)'!R83,'JSO (t)'!R83)</f>
        <v>0</v>
      </c>
      <c r="S83" s="479">
        <f>SUM('DUoS (t)'!S83,'TUoS (t)'!S83,'JSO (t)'!S83)</f>
        <v>0</v>
      </c>
      <c r="T83" s="461">
        <f>SUM('DUoS (t)'!T83,'TUoS (t)'!T83,'JSO (t)'!T83)</f>
        <v>0</v>
      </c>
      <c r="U83" s="480">
        <f>SUM('DUoS (t)'!U83,'TUoS (t)'!U83,'JSO (t)'!U83)</f>
        <v>0</v>
      </c>
      <c r="V83" s="481">
        <f>SUM('DUoS (t)'!V83,'TUoS (t)'!V83,'JSO (t)'!V83)</f>
        <v>0</v>
      </c>
      <c r="X83" s="183">
        <f>'Q (t)'!G83</f>
        <v>0</v>
      </c>
      <c r="Y83" s="184">
        <f>'Q (t)'!H83</f>
        <v>0</v>
      </c>
      <c r="Z83" s="178">
        <f>'Q (t)'!I83</f>
        <v>0</v>
      </c>
      <c r="AA83" s="178">
        <f>'Q (t)'!J83</f>
        <v>0</v>
      </c>
      <c r="AB83" s="179">
        <f>'Q (t)'!K83</f>
        <v>0</v>
      </c>
      <c r="AC83" s="178">
        <f>'Q (t)'!L83</f>
        <v>0</v>
      </c>
      <c r="AD83" s="178">
        <f>'Q (t)'!M83</f>
        <v>0</v>
      </c>
      <c r="AE83" s="178">
        <f>'Q (t)'!N83</f>
        <v>0</v>
      </c>
      <c r="AF83" s="179">
        <f>'Q (t)'!O83</f>
        <v>0</v>
      </c>
      <c r="AG83" s="178">
        <f>'Q (t)'!P83</f>
        <v>0</v>
      </c>
      <c r="AH83" s="178">
        <f>'Q (t)'!Q83</f>
        <v>0</v>
      </c>
      <c r="AI83" s="179">
        <f>'Q (t)'!R83</f>
        <v>0</v>
      </c>
      <c r="AJ83" s="184">
        <f>'Q (t)'!S83</f>
        <v>0</v>
      </c>
      <c r="AK83" s="178">
        <f>'Q (t)'!T83</f>
        <v>0</v>
      </c>
      <c r="AL83" s="184">
        <f>'Q (t)'!U83</f>
        <v>0</v>
      </c>
      <c r="AM83" s="179">
        <f>'Q (t)'!V83</f>
        <v>0</v>
      </c>
      <c r="AO83" s="183">
        <f t="shared" si="62"/>
        <v>0</v>
      </c>
      <c r="AP83" s="184">
        <f t="shared" si="63"/>
        <v>0</v>
      </c>
      <c r="AQ83" s="178">
        <f t="shared" si="63"/>
        <v>0</v>
      </c>
      <c r="AR83" s="178">
        <f t="shared" si="63"/>
        <v>0</v>
      </c>
      <c r="AS83" s="179">
        <f t="shared" si="63"/>
        <v>0</v>
      </c>
      <c r="AT83" s="178">
        <f t="shared" si="63"/>
        <v>0</v>
      </c>
      <c r="AU83" s="178">
        <f t="shared" si="63"/>
        <v>0</v>
      </c>
      <c r="AV83" s="178">
        <f t="shared" si="63"/>
        <v>0</v>
      </c>
      <c r="AW83" s="179">
        <f t="shared" si="63"/>
        <v>0</v>
      </c>
      <c r="AX83" s="178">
        <f t="shared" si="53"/>
        <v>0</v>
      </c>
      <c r="AY83" s="178">
        <f t="shared" si="54"/>
        <v>0</v>
      </c>
      <c r="AZ83" s="179">
        <f t="shared" si="55"/>
        <v>0</v>
      </c>
      <c r="BA83" s="184">
        <f t="shared" si="25"/>
        <v>0</v>
      </c>
      <c r="BB83" s="178">
        <f t="shared" si="25"/>
        <v>0</v>
      </c>
      <c r="BC83" s="184">
        <f t="shared" si="25"/>
        <v>0</v>
      </c>
      <c r="BD83" s="178">
        <f t="shared" si="25"/>
        <v>0</v>
      </c>
      <c r="BE83" s="244">
        <f t="shared" si="64"/>
        <v>0</v>
      </c>
      <c r="BF83" s="245">
        <f t="shared" si="65"/>
        <v>0</v>
      </c>
      <c r="BH83" s="255">
        <f t="shared" si="56"/>
        <v>0</v>
      </c>
      <c r="BI83" s="255">
        <f t="shared" si="57"/>
        <v>0</v>
      </c>
      <c r="BJ83" s="255">
        <f t="shared" si="58"/>
        <v>0</v>
      </c>
      <c r="BK83" s="256">
        <f t="shared" si="59"/>
        <v>0</v>
      </c>
      <c r="BL83" s="262">
        <f t="shared" si="60"/>
        <v>0</v>
      </c>
      <c r="BM83" s="257">
        <f t="shared" si="66"/>
        <v>0</v>
      </c>
      <c r="BO83" s="714" t="str">
        <f t="shared" si="67"/>
        <v/>
      </c>
      <c r="BT83" s="137"/>
    </row>
    <row r="84" spans="2:72" ht="15" customHeight="1" x14ac:dyDescent="0.25">
      <c r="B84" s="19">
        <f t="shared" si="61"/>
        <v>12</v>
      </c>
      <c r="C84" s="833" t="s">
        <v>557</v>
      </c>
      <c r="D84" s="45"/>
      <c r="E84" s="835" t="s">
        <v>104</v>
      </c>
      <c r="G84" s="482">
        <f>SUM('DUoS (t)'!G84,'TUoS (t)'!G84,'JSO (t)'!G84)</f>
        <v>0</v>
      </c>
      <c r="H84" s="479">
        <f>SUM('DUoS (t)'!H84,'TUoS (t)'!H84,'JSO (t)'!H84)</f>
        <v>0</v>
      </c>
      <c r="I84" s="461">
        <f>SUM('DUoS (t)'!I84,'TUoS (t)'!I84,'JSO (t)'!I84)</f>
        <v>0</v>
      </c>
      <c r="J84" s="461">
        <f>SUM('DUoS (t)'!J84,'TUoS (t)'!J84,'JSO (t)'!J84)</f>
        <v>0</v>
      </c>
      <c r="K84" s="462">
        <f>SUM('DUoS (t)'!K84,'TUoS (t)'!K84,'JSO (t)'!K84)</f>
        <v>0</v>
      </c>
      <c r="L84" s="461">
        <f>SUM('DUoS (t)'!L84,'TUoS (t)'!L84,'JSO (t)'!L84)</f>
        <v>0</v>
      </c>
      <c r="M84" s="461">
        <f>SUM('DUoS (t)'!M84,'TUoS (t)'!M84,'JSO (t)'!M84)</f>
        <v>0</v>
      </c>
      <c r="N84" s="461">
        <f>SUM('DUoS (t)'!N84,'TUoS (t)'!N84,'JSO (t)'!N84)</f>
        <v>0</v>
      </c>
      <c r="O84" s="462">
        <f>SUM('DUoS (t)'!O84,'TUoS (t)'!O84,'JSO (t)'!O84)</f>
        <v>0</v>
      </c>
      <c r="P84" s="461">
        <f>SUM('DUoS (t)'!P84,'TUoS (t)'!P84,'JSO (t)'!P84)</f>
        <v>0</v>
      </c>
      <c r="Q84" s="461">
        <f>SUM('DUoS (t)'!Q84,'TUoS (t)'!Q84,'JSO (t)'!Q84)</f>
        <v>0</v>
      </c>
      <c r="R84" s="462">
        <f>SUM('DUoS (t)'!R84,'TUoS (t)'!R84,'JSO (t)'!R84)</f>
        <v>0</v>
      </c>
      <c r="S84" s="479">
        <f>SUM('DUoS (t)'!S84,'TUoS (t)'!S84,'JSO (t)'!S84)</f>
        <v>0</v>
      </c>
      <c r="T84" s="461">
        <f>SUM('DUoS (t)'!T84,'TUoS (t)'!T84,'JSO (t)'!T84)</f>
        <v>0</v>
      </c>
      <c r="U84" s="480">
        <f>SUM('DUoS (t)'!U84,'TUoS (t)'!U84,'JSO (t)'!U84)</f>
        <v>0</v>
      </c>
      <c r="V84" s="481">
        <f>SUM('DUoS (t)'!V84,'TUoS (t)'!V84,'JSO (t)'!V84)</f>
        <v>0</v>
      </c>
      <c r="X84" s="183">
        <f>'Q (t)'!G84</f>
        <v>0</v>
      </c>
      <c r="Y84" s="184">
        <f>'Q (t)'!H84</f>
        <v>0</v>
      </c>
      <c r="Z84" s="178">
        <f>'Q (t)'!I84</f>
        <v>0</v>
      </c>
      <c r="AA84" s="178">
        <f>'Q (t)'!J84</f>
        <v>0</v>
      </c>
      <c r="AB84" s="179">
        <f>'Q (t)'!K84</f>
        <v>0</v>
      </c>
      <c r="AC84" s="178">
        <f>'Q (t)'!L84</f>
        <v>0</v>
      </c>
      <c r="AD84" s="178">
        <f>'Q (t)'!M84</f>
        <v>0</v>
      </c>
      <c r="AE84" s="178">
        <f>'Q (t)'!N84</f>
        <v>0</v>
      </c>
      <c r="AF84" s="179">
        <f>'Q (t)'!O84</f>
        <v>0</v>
      </c>
      <c r="AG84" s="178">
        <f>'Q (t)'!P84</f>
        <v>0</v>
      </c>
      <c r="AH84" s="178">
        <f>'Q (t)'!Q84</f>
        <v>0</v>
      </c>
      <c r="AI84" s="179">
        <f>'Q (t)'!R84</f>
        <v>0</v>
      </c>
      <c r="AJ84" s="184">
        <f>'Q (t)'!S84</f>
        <v>0</v>
      </c>
      <c r="AK84" s="178">
        <f>'Q (t)'!T84</f>
        <v>0</v>
      </c>
      <c r="AL84" s="184">
        <f>'Q (t)'!U84</f>
        <v>0</v>
      </c>
      <c r="AM84" s="179">
        <f>'Q (t)'!V84</f>
        <v>0</v>
      </c>
      <c r="AO84" s="183">
        <f t="shared" si="62"/>
        <v>0</v>
      </c>
      <c r="AP84" s="184">
        <f t="shared" si="63"/>
        <v>0</v>
      </c>
      <c r="AQ84" s="178">
        <f t="shared" si="63"/>
        <v>0</v>
      </c>
      <c r="AR84" s="178">
        <f t="shared" si="63"/>
        <v>0</v>
      </c>
      <c r="AS84" s="179">
        <f t="shared" si="63"/>
        <v>0</v>
      </c>
      <c r="AT84" s="178">
        <f t="shared" si="63"/>
        <v>0</v>
      </c>
      <c r="AU84" s="178">
        <f t="shared" si="63"/>
        <v>0</v>
      </c>
      <c r="AV84" s="178">
        <f t="shared" si="63"/>
        <v>0</v>
      </c>
      <c r="AW84" s="179">
        <f t="shared" si="63"/>
        <v>0</v>
      </c>
      <c r="AX84" s="178">
        <f t="shared" si="53"/>
        <v>0</v>
      </c>
      <c r="AY84" s="178">
        <f t="shared" si="54"/>
        <v>0</v>
      </c>
      <c r="AZ84" s="179">
        <f t="shared" si="55"/>
        <v>0</v>
      </c>
      <c r="BA84" s="184">
        <f t="shared" si="25"/>
        <v>0</v>
      </c>
      <c r="BB84" s="178">
        <f t="shared" si="25"/>
        <v>0</v>
      </c>
      <c r="BC84" s="184">
        <f t="shared" si="25"/>
        <v>0</v>
      </c>
      <c r="BD84" s="178">
        <f t="shared" si="25"/>
        <v>0</v>
      </c>
      <c r="BE84" s="244">
        <f t="shared" si="64"/>
        <v>0</v>
      </c>
      <c r="BF84" s="245">
        <f t="shared" si="65"/>
        <v>0</v>
      </c>
      <c r="BH84" s="255">
        <f t="shared" si="56"/>
        <v>0</v>
      </c>
      <c r="BI84" s="255">
        <f t="shared" si="57"/>
        <v>0</v>
      </c>
      <c r="BJ84" s="255">
        <f t="shared" si="58"/>
        <v>0</v>
      </c>
      <c r="BK84" s="256">
        <f t="shared" si="59"/>
        <v>0</v>
      </c>
      <c r="BL84" s="262">
        <f t="shared" si="60"/>
        <v>0</v>
      </c>
      <c r="BM84" s="257">
        <f t="shared" si="66"/>
        <v>0</v>
      </c>
      <c r="BO84" s="714" t="str">
        <f t="shared" si="67"/>
        <v/>
      </c>
      <c r="BT84" s="137"/>
    </row>
    <row r="85" spans="2:72" ht="15" customHeight="1" x14ac:dyDescent="0.25">
      <c r="B85" s="19">
        <f t="shared" si="61"/>
        <v>13</v>
      </c>
      <c r="C85" s="44" t="s">
        <v>558</v>
      </c>
      <c r="D85" s="45"/>
      <c r="E85" s="105" t="s">
        <v>104</v>
      </c>
      <c r="G85" s="477">
        <f>SUM('DUoS (t)'!G85,'TUoS (t)'!G85,'JSO (t)'!G85)</f>
        <v>140.43110000000001</v>
      </c>
      <c r="H85" s="479">
        <f>SUM('DUoS (t)'!H85,'TUoS (t)'!H85,'JSO (t)'!H85)</f>
        <v>0</v>
      </c>
      <c r="I85" s="483">
        <f>SUM('DUoS (t)'!I85,'TUoS (t)'!I85,'JSO (t)'!I85)</f>
        <v>2.76E-2</v>
      </c>
      <c r="J85" s="461">
        <f>SUM('DUoS (t)'!J85,'TUoS (t)'!J85,'JSO (t)'!J85)</f>
        <v>0</v>
      </c>
      <c r="K85" s="484">
        <f>SUM('DUoS (t)'!K85,'TUoS (t)'!K85,'JSO (t)'!K85)</f>
        <v>1.7299999999999999E-2</v>
      </c>
      <c r="L85" s="461">
        <f>SUM('DUoS (t)'!L85,'TUoS (t)'!L85,'JSO (t)'!L85)</f>
        <v>0</v>
      </c>
      <c r="M85" s="461">
        <f>SUM('DUoS (t)'!M85,'TUoS (t)'!M85,'JSO (t)'!M85)</f>
        <v>0</v>
      </c>
      <c r="N85" s="461">
        <f>SUM('DUoS (t)'!N85,'TUoS (t)'!N85,'JSO (t)'!N85)</f>
        <v>0</v>
      </c>
      <c r="O85" s="462">
        <f>SUM('DUoS (t)'!O85,'TUoS (t)'!O85,'JSO (t)'!O85)</f>
        <v>0</v>
      </c>
      <c r="P85" s="461">
        <f>SUM('DUoS (t)'!P85,'TUoS (t)'!P85,'JSO (t)'!P85)</f>
        <v>0</v>
      </c>
      <c r="Q85" s="461">
        <f>SUM('DUoS (t)'!Q85,'TUoS (t)'!Q85,'JSO (t)'!Q85)</f>
        <v>0</v>
      </c>
      <c r="R85" s="462">
        <f>SUM('DUoS (t)'!R85,'TUoS (t)'!R85,'JSO (t)'!R85)</f>
        <v>0</v>
      </c>
      <c r="S85" s="478">
        <f>SUM('DUoS (t)'!S85,'TUoS (t)'!S85,'JSO (t)'!S85)</f>
        <v>0.27710000000000001</v>
      </c>
      <c r="T85" s="483">
        <f>SUM('DUoS (t)'!T85,'TUoS (t)'!T85,'JSO (t)'!T85)</f>
        <v>0.1007</v>
      </c>
      <c r="U85" s="480">
        <f>SUM('DUoS (t)'!U85,'TUoS (t)'!U85,'JSO (t)'!U85)</f>
        <v>0</v>
      </c>
      <c r="V85" s="481">
        <f>SUM('DUoS (t)'!V85,'TUoS (t)'!V85,'JSO (t)'!V85)</f>
        <v>0</v>
      </c>
      <c r="X85" s="183">
        <f>'Q (t)'!G85</f>
        <v>365</v>
      </c>
      <c r="Y85" s="184">
        <f>'Q (t)'!H85</f>
        <v>0</v>
      </c>
      <c r="Z85" s="178">
        <f>'Q (t)'!I85</f>
        <v>11400</v>
      </c>
      <c r="AA85" s="178">
        <f>'Q (t)'!J85</f>
        <v>0</v>
      </c>
      <c r="AB85" s="179">
        <f>'Q (t)'!K85</f>
        <v>11400</v>
      </c>
      <c r="AC85" s="178">
        <f>'Q (t)'!L85</f>
        <v>0</v>
      </c>
      <c r="AD85" s="178">
        <f>'Q (t)'!M85</f>
        <v>0</v>
      </c>
      <c r="AE85" s="178">
        <f>'Q (t)'!N85</f>
        <v>0</v>
      </c>
      <c r="AF85" s="179">
        <f>'Q (t)'!O85</f>
        <v>0</v>
      </c>
      <c r="AG85" s="178">
        <f>'Q (t)'!P85</f>
        <v>0</v>
      </c>
      <c r="AH85" s="178">
        <f>'Q (t)'!Q85</f>
        <v>0</v>
      </c>
      <c r="AI85" s="179">
        <f>'Q (t)'!R85</f>
        <v>0</v>
      </c>
      <c r="AJ85" s="184">
        <f>'Q (t)'!S85</f>
        <v>1572055</v>
      </c>
      <c r="AK85" s="178">
        <f>'Q (t)'!T85</f>
        <v>1667685</v>
      </c>
      <c r="AL85" s="184">
        <f>'Q (t)'!U85</f>
        <v>0</v>
      </c>
      <c r="AM85" s="179">
        <f>'Q (t)'!V85</f>
        <v>0</v>
      </c>
      <c r="AO85" s="183">
        <f t="shared" si="62"/>
        <v>51.257351500000006</v>
      </c>
      <c r="AP85" s="184">
        <f t="shared" si="63"/>
        <v>0</v>
      </c>
      <c r="AQ85" s="178">
        <f t="shared" si="63"/>
        <v>314.64</v>
      </c>
      <c r="AR85" s="178">
        <f t="shared" si="63"/>
        <v>0</v>
      </c>
      <c r="AS85" s="179">
        <f t="shared" si="63"/>
        <v>197.22</v>
      </c>
      <c r="AT85" s="178">
        <f t="shared" si="63"/>
        <v>0</v>
      </c>
      <c r="AU85" s="178">
        <f t="shared" si="63"/>
        <v>0</v>
      </c>
      <c r="AV85" s="178">
        <f t="shared" si="63"/>
        <v>0</v>
      </c>
      <c r="AW85" s="179">
        <f t="shared" si="63"/>
        <v>0</v>
      </c>
      <c r="AX85" s="178">
        <f t="shared" si="53"/>
        <v>0</v>
      </c>
      <c r="AY85" s="178">
        <f t="shared" si="54"/>
        <v>0</v>
      </c>
      <c r="AZ85" s="179">
        <f t="shared" si="55"/>
        <v>0</v>
      </c>
      <c r="BA85" s="184">
        <f t="shared" si="25"/>
        <v>435.61644050000001</v>
      </c>
      <c r="BB85" s="178">
        <f t="shared" si="25"/>
        <v>167.9358795</v>
      </c>
      <c r="BC85" s="184">
        <f t="shared" si="25"/>
        <v>0</v>
      </c>
      <c r="BD85" s="178">
        <f t="shared" si="25"/>
        <v>0</v>
      </c>
      <c r="BE85" s="244">
        <f t="shared" si="64"/>
        <v>1</v>
      </c>
      <c r="BF85" s="245">
        <f t="shared" si="65"/>
        <v>22800</v>
      </c>
      <c r="BH85" s="255">
        <f t="shared" si="56"/>
        <v>51.257351500000006</v>
      </c>
      <c r="BI85" s="255">
        <f t="shared" si="57"/>
        <v>511.86</v>
      </c>
      <c r="BJ85" s="255">
        <f t="shared" si="58"/>
        <v>0</v>
      </c>
      <c r="BK85" s="256">
        <f t="shared" si="59"/>
        <v>603.55232000000001</v>
      </c>
      <c r="BL85" s="262">
        <f t="shared" si="60"/>
        <v>0</v>
      </c>
      <c r="BM85" s="257">
        <f t="shared" si="66"/>
        <v>1166.6696715</v>
      </c>
      <c r="BO85" s="714">
        <f t="shared" si="67"/>
        <v>51.16972243421052</v>
      </c>
      <c r="BT85" s="137"/>
    </row>
    <row r="86" spans="2:72" ht="15" customHeight="1" x14ac:dyDescent="0.25">
      <c r="B86" s="19">
        <f t="shared" si="61"/>
        <v>14</v>
      </c>
      <c r="C86" s="44" t="s">
        <v>631</v>
      </c>
      <c r="D86" s="45"/>
      <c r="E86" s="105" t="s">
        <v>104</v>
      </c>
      <c r="G86" s="477">
        <f>SUM('DUoS (t)'!G86,'TUoS (t)'!G86,'JSO (t)'!G86)</f>
        <v>393.20920000000001</v>
      </c>
      <c r="H86" s="479">
        <f>SUM('DUoS (t)'!H86,'TUoS (t)'!H86,'JSO (t)'!H86)</f>
        <v>0</v>
      </c>
      <c r="I86" s="483">
        <f>SUM('DUoS (t)'!I86,'TUoS (t)'!I86,'JSO (t)'!I86)</f>
        <v>4.1700000000000001E-2</v>
      </c>
      <c r="J86" s="461">
        <f>SUM('DUoS (t)'!J86,'TUoS (t)'!J86,'JSO (t)'!J86)</f>
        <v>0</v>
      </c>
      <c r="K86" s="484">
        <f>SUM('DUoS (t)'!K86,'TUoS (t)'!K86,'JSO (t)'!K86)</f>
        <v>2.6100000000000002E-2</v>
      </c>
      <c r="L86" s="461">
        <f>SUM('DUoS (t)'!L86,'TUoS (t)'!L86,'JSO (t)'!L86)</f>
        <v>0</v>
      </c>
      <c r="M86" s="461">
        <f>SUM('DUoS (t)'!M86,'TUoS (t)'!M86,'JSO (t)'!M86)</f>
        <v>0</v>
      </c>
      <c r="N86" s="461">
        <f>SUM('DUoS (t)'!N86,'TUoS (t)'!N86,'JSO (t)'!N86)</f>
        <v>0</v>
      </c>
      <c r="O86" s="462">
        <f>SUM('DUoS (t)'!O86,'TUoS (t)'!O86,'JSO (t)'!O86)</f>
        <v>0</v>
      </c>
      <c r="P86" s="461">
        <f>SUM('DUoS (t)'!P86,'TUoS (t)'!P86,'JSO (t)'!P86)</f>
        <v>0</v>
      </c>
      <c r="Q86" s="461">
        <f>SUM('DUoS (t)'!Q86,'TUoS (t)'!Q86,'JSO (t)'!Q86)</f>
        <v>0</v>
      </c>
      <c r="R86" s="462">
        <f>SUM('DUoS (t)'!R86,'TUoS (t)'!R86,'JSO (t)'!R86)</f>
        <v>0</v>
      </c>
      <c r="S86" s="478">
        <f>SUM('DUoS (t)'!S86,'TUoS (t)'!S86,'JSO (t)'!S86)</f>
        <v>0.2198</v>
      </c>
      <c r="T86" s="483">
        <f>SUM('DUoS (t)'!T86,'TUoS (t)'!T86,'JSO (t)'!T86)</f>
        <v>0.1007</v>
      </c>
      <c r="U86" s="480">
        <f>SUM('DUoS (t)'!U86,'TUoS (t)'!U86,'JSO (t)'!U86)</f>
        <v>0</v>
      </c>
      <c r="V86" s="481">
        <f>SUM('DUoS (t)'!V86,'TUoS (t)'!V86,'JSO (t)'!V86)</f>
        <v>0</v>
      </c>
      <c r="X86" s="183">
        <f>'Q (t)'!G86</f>
        <v>365</v>
      </c>
      <c r="Y86" s="184">
        <f>'Q (t)'!H86</f>
        <v>0</v>
      </c>
      <c r="Z86" s="178">
        <f>'Q (t)'!I86</f>
        <v>10400</v>
      </c>
      <c r="AA86" s="178">
        <f>'Q (t)'!J86</f>
        <v>0</v>
      </c>
      <c r="AB86" s="179">
        <f>'Q (t)'!K86</f>
        <v>9600</v>
      </c>
      <c r="AC86" s="178">
        <f>'Q (t)'!L86</f>
        <v>0</v>
      </c>
      <c r="AD86" s="178">
        <f>'Q (t)'!M86</f>
        <v>0</v>
      </c>
      <c r="AE86" s="178">
        <f>'Q (t)'!N86</f>
        <v>0</v>
      </c>
      <c r="AF86" s="179">
        <f>'Q (t)'!O86</f>
        <v>0</v>
      </c>
      <c r="AG86" s="178">
        <f>'Q (t)'!P86</f>
        <v>0</v>
      </c>
      <c r="AH86" s="178">
        <f>'Q (t)'!Q86</f>
        <v>0</v>
      </c>
      <c r="AI86" s="179">
        <f>'Q (t)'!R86</f>
        <v>0</v>
      </c>
      <c r="AJ86" s="184">
        <f>'Q (t)'!S86</f>
        <v>1488105</v>
      </c>
      <c r="AK86" s="178">
        <f>'Q (t)'!T86</f>
        <v>1766235</v>
      </c>
      <c r="AL86" s="184">
        <f>'Q (t)'!U86</f>
        <v>0</v>
      </c>
      <c r="AM86" s="179">
        <f>'Q (t)'!V86</f>
        <v>0</v>
      </c>
      <c r="AO86" s="183">
        <f>G86*X86/1000</f>
        <v>143.52135800000002</v>
      </c>
      <c r="AP86" s="184">
        <f t="shared" ref="AP86:AW86" si="68">H86*Y86</f>
        <v>0</v>
      </c>
      <c r="AQ86" s="178">
        <f t="shared" si="68"/>
        <v>433.68</v>
      </c>
      <c r="AR86" s="178">
        <f t="shared" si="68"/>
        <v>0</v>
      </c>
      <c r="AS86" s="179">
        <f t="shared" si="68"/>
        <v>250.56</v>
      </c>
      <c r="AT86" s="178">
        <f t="shared" si="68"/>
        <v>0</v>
      </c>
      <c r="AU86" s="178">
        <f t="shared" si="68"/>
        <v>0</v>
      </c>
      <c r="AV86" s="178">
        <f t="shared" si="68"/>
        <v>0</v>
      </c>
      <c r="AW86" s="179">
        <f t="shared" si="68"/>
        <v>0</v>
      </c>
      <c r="AX86" s="178">
        <f t="shared" si="53"/>
        <v>0</v>
      </c>
      <c r="AY86" s="178">
        <f t="shared" si="54"/>
        <v>0</v>
      </c>
      <c r="AZ86" s="179">
        <f t="shared" si="55"/>
        <v>0</v>
      </c>
      <c r="BA86" s="184">
        <f>S86*AJ86/1000</f>
        <v>327.08547899999996</v>
      </c>
      <c r="BB86" s="178">
        <f>T86*AK86/1000</f>
        <v>177.85986449999999</v>
      </c>
      <c r="BC86" s="184">
        <f>U86*AL86/1000</f>
        <v>0</v>
      </c>
      <c r="BD86" s="178">
        <f>V86*AM86/1000</f>
        <v>0</v>
      </c>
      <c r="BE86" s="244">
        <f>X86/$BE$7</f>
        <v>1</v>
      </c>
      <c r="BF86" s="245">
        <f>SUM(Y86:AF86)</f>
        <v>20000</v>
      </c>
      <c r="BH86" s="255">
        <f>SUM(AO86)</f>
        <v>143.52135800000002</v>
      </c>
      <c r="BI86" s="255">
        <f>SUM(AP86:AS86)</f>
        <v>684.24</v>
      </c>
      <c r="BJ86" s="255">
        <f>SUM(AT86:AW86)</f>
        <v>0</v>
      </c>
      <c r="BK86" s="256">
        <f>SUM(AX86:BB86)</f>
        <v>504.94534349999992</v>
      </c>
      <c r="BL86" s="262">
        <f>SUM(BC86:BD86)</f>
        <v>0</v>
      </c>
      <c r="BM86" s="257">
        <f>SUM(BH86:BL86)</f>
        <v>1332.7067014999998</v>
      </c>
      <c r="BO86" s="714">
        <f>IF(BF86=0,"",BM86*1000/BF86)</f>
        <v>66.635335074999986</v>
      </c>
      <c r="BT86" s="137"/>
    </row>
    <row r="87" spans="2:72" ht="15" customHeight="1" x14ac:dyDescent="0.25">
      <c r="B87" s="19">
        <f t="shared" si="61"/>
        <v>15</v>
      </c>
      <c r="C87" s="833" t="s">
        <v>559</v>
      </c>
      <c r="D87" s="45"/>
      <c r="E87" s="835" t="s">
        <v>104</v>
      </c>
      <c r="G87" s="482">
        <f>SUM('DUoS (t)'!G87,'TUoS (t)'!G87,'JSO (t)'!G87)</f>
        <v>0</v>
      </c>
      <c r="H87" s="479">
        <f>SUM('DUoS (t)'!H87,'TUoS (t)'!H87,'JSO (t)'!H87)</f>
        <v>0</v>
      </c>
      <c r="I87" s="461">
        <f>SUM('DUoS (t)'!I87,'TUoS (t)'!I87,'JSO (t)'!I87)</f>
        <v>0</v>
      </c>
      <c r="J87" s="461">
        <f>SUM('DUoS (t)'!J87,'TUoS (t)'!J87,'JSO (t)'!J87)</f>
        <v>0</v>
      </c>
      <c r="K87" s="462">
        <f>SUM('DUoS (t)'!K87,'TUoS (t)'!K87,'JSO (t)'!K87)</f>
        <v>0</v>
      </c>
      <c r="L87" s="461">
        <f>SUM('DUoS (t)'!L87,'TUoS (t)'!L87,'JSO (t)'!L87)</f>
        <v>0</v>
      </c>
      <c r="M87" s="461">
        <f>SUM('DUoS (t)'!M87,'TUoS (t)'!M87,'JSO (t)'!M87)</f>
        <v>0</v>
      </c>
      <c r="N87" s="461">
        <f>SUM('DUoS (t)'!N87,'TUoS (t)'!N87,'JSO (t)'!N87)</f>
        <v>0</v>
      </c>
      <c r="O87" s="462">
        <f>SUM('DUoS (t)'!O87,'TUoS (t)'!O87,'JSO (t)'!O87)</f>
        <v>0</v>
      </c>
      <c r="P87" s="461">
        <f>SUM('DUoS (t)'!P87,'TUoS (t)'!P87,'JSO (t)'!P87)</f>
        <v>0</v>
      </c>
      <c r="Q87" s="461">
        <f>SUM('DUoS (t)'!Q87,'TUoS (t)'!Q87,'JSO (t)'!Q87)</f>
        <v>0</v>
      </c>
      <c r="R87" s="462">
        <f>SUM('DUoS (t)'!R87,'TUoS (t)'!R87,'JSO (t)'!R87)</f>
        <v>0</v>
      </c>
      <c r="S87" s="479">
        <f>SUM('DUoS (t)'!S87,'TUoS (t)'!S87,'JSO (t)'!S87)</f>
        <v>0</v>
      </c>
      <c r="T87" s="461">
        <f>SUM('DUoS (t)'!T87,'TUoS (t)'!T87,'JSO (t)'!T87)</f>
        <v>0</v>
      </c>
      <c r="U87" s="480">
        <f>SUM('DUoS (t)'!U87,'TUoS (t)'!U87,'JSO (t)'!U87)</f>
        <v>0</v>
      </c>
      <c r="V87" s="481">
        <f>SUM('DUoS (t)'!V87,'TUoS (t)'!V87,'JSO (t)'!V87)</f>
        <v>0</v>
      </c>
      <c r="X87" s="183">
        <f>'Q (t)'!G87</f>
        <v>0</v>
      </c>
      <c r="Y87" s="184">
        <f>'Q (t)'!H87</f>
        <v>0</v>
      </c>
      <c r="Z87" s="178">
        <f>'Q (t)'!I87</f>
        <v>0</v>
      </c>
      <c r="AA87" s="178">
        <f>'Q (t)'!J87</f>
        <v>0</v>
      </c>
      <c r="AB87" s="179">
        <f>'Q (t)'!K87</f>
        <v>0</v>
      </c>
      <c r="AC87" s="178">
        <f>'Q (t)'!L87</f>
        <v>0</v>
      </c>
      <c r="AD87" s="178">
        <f>'Q (t)'!M87</f>
        <v>0</v>
      </c>
      <c r="AE87" s="178">
        <f>'Q (t)'!N87</f>
        <v>0</v>
      </c>
      <c r="AF87" s="179">
        <f>'Q (t)'!O87</f>
        <v>0</v>
      </c>
      <c r="AG87" s="178">
        <f>'Q (t)'!P87</f>
        <v>0</v>
      </c>
      <c r="AH87" s="178">
        <f>'Q (t)'!Q87</f>
        <v>0</v>
      </c>
      <c r="AI87" s="179">
        <f>'Q (t)'!R87</f>
        <v>0</v>
      </c>
      <c r="AJ87" s="184">
        <f>'Q (t)'!S87</f>
        <v>0</v>
      </c>
      <c r="AK87" s="178">
        <f>'Q (t)'!T87</f>
        <v>0</v>
      </c>
      <c r="AL87" s="184">
        <f>'Q (t)'!U87</f>
        <v>0</v>
      </c>
      <c r="AM87" s="179">
        <f>'Q (t)'!V87</f>
        <v>0</v>
      </c>
      <c r="AO87" s="183">
        <f t="shared" si="62"/>
        <v>0</v>
      </c>
      <c r="AP87" s="184">
        <f t="shared" si="63"/>
        <v>0</v>
      </c>
      <c r="AQ87" s="178">
        <f t="shared" si="63"/>
        <v>0</v>
      </c>
      <c r="AR87" s="178">
        <f t="shared" si="63"/>
        <v>0</v>
      </c>
      <c r="AS87" s="179">
        <f t="shared" si="63"/>
        <v>0</v>
      </c>
      <c r="AT87" s="178">
        <f t="shared" si="63"/>
        <v>0</v>
      </c>
      <c r="AU87" s="178">
        <f t="shared" si="63"/>
        <v>0</v>
      </c>
      <c r="AV87" s="178">
        <f t="shared" si="63"/>
        <v>0</v>
      </c>
      <c r="AW87" s="179">
        <f t="shared" si="63"/>
        <v>0</v>
      </c>
      <c r="AX87" s="178">
        <f t="shared" si="53"/>
        <v>0</v>
      </c>
      <c r="AY87" s="178">
        <f t="shared" si="54"/>
        <v>0</v>
      </c>
      <c r="AZ87" s="179">
        <f t="shared" si="55"/>
        <v>0</v>
      </c>
      <c r="BA87" s="184">
        <f t="shared" si="25"/>
        <v>0</v>
      </c>
      <c r="BB87" s="178">
        <f t="shared" si="25"/>
        <v>0</v>
      </c>
      <c r="BC87" s="184">
        <f t="shared" si="25"/>
        <v>0</v>
      </c>
      <c r="BD87" s="178">
        <f t="shared" si="25"/>
        <v>0</v>
      </c>
      <c r="BE87" s="244">
        <f t="shared" si="64"/>
        <v>0</v>
      </c>
      <c r="BF87" s="245">
        <f t="shared" si="65"/>
        <v>0</v>
      </c>
      <c r="BH87" s="255">
        <f t="shared" si="56"/>
        <v>0</v>
      </c>
      <c r="BI87" s="255">
        <f t="shared" si="57"/>
        <v>0</v>
      </c>
      <c r="BJ87" s="255">
        <f t="shared" si="58"/>
        <v>0</v>
      </c>
      <c r="BK87" s="256">
        <f t="shared" si="59"/>
        <v>0</v>
      </c>
      <c r="BL87" s="262">
        <f t="shared" si="60"/>
        <v>0</v>
      </c>
      <c r="BM87" s="257">
        <f t="shared" si="66"/>
        <v>0</v>
      </c>
      <c r="BO87" s="714" t="str">
        <f t="shared" si="67"/>
        <v/>
      </c>
      <c r="BT87" s="137"/>
    </row>
    <row r="88" spans="2:72" ht="15" customHeight="1" x14ac:dyDescent="0.25">
      <c r="B88" s="19">
        <f t="shared" si="61"/>
        <v>16</v>
      </c>
      <c r="C88" s="785"/>
      <c r="D88" s="772"/>
      <c r="E88" s="836"/>
      <c r="G88" s="482">
        <f>SUM('DUoS (t)'!G88,'TUoS (t)'!G88,'JSO (t)'!G88)</f>
        <v>0</v>
      </c>
      <c r="H88" s="479">
        <f>SUM('DUoS (t)'!H88,'TUoS (t)'!H88,'JSO (t)'!H88)</f>
        <v>0</v>
      </c>
      <c r="I88" s="461">
        <f>SUM('DUoS (t)'!I88,'TUoS (t)'!I88,'JSO (t)'!I88)</f>
        <v>0</v>
      </c>
      <c r="J88" s="461">
        <f>SUM('DUoS (t)'!J88,'TUoS (t)'!J88,'JSO (t)'!J88)</f>
        <v>0</v>
      </c>
      <c r="K88" s="462">
        <f>SUM('DUoS (t)'!K88,'TUoS (t)'!K88,'JSO (t)'!K88)</f>
        <v>0</v>
      </c>
      <c r="L88" s="461">
        <f>SUM('DUoS (t)'!L88,'TUoS (t)'!L88,'JSO (t)'!L88)</f>
        <v>0</v>
      </c>
      <c r="M88" s="461">
        <f>SUM('DUoS (t)'!M88,'TUoS (t)'!M88,'JSO (t)'!M88)</f>
        <v>0</v>
      </c>
      <c r="N88" s="461">
        <f>SUM('DUoS (t)'!N88,'TUoS (t)'!N88,'JSO (t)'!N88)</f>
        <v>0</v>
      </c>
      <c r="O88" s="462">
        <f>SUM('DUoS (t)'!O88,'TUoS (t)'!O88,'JSO (t)'!O88)</f>
        <v>0</v>
      </c>
      <c r="P88" s="461">
        <f>SUM('DUoS (t)'!P88,'TUoS (t)'!P88,'JSO (t)'!P88)</f>
        <v>0</v>
      </c>
      <c r="Q88" s="461">
        <f>SUM('DUoS (t)'!Q88,'TUoS (t)'!Q88,'JSO (t)'!Q88)</f>
        <v>0</v>
      </c>
      <c r="R88" s="462">
        <f>SUM('DUoS (t)'!R88,'TUoS (t)'!R88,'JSO (t)'!R88)</f>
        <v>0</v>
      </c>
      <c r="S88" s="479">
        <f>SUM('DUoS (t)'!S88,'TUoS (t)'!S88,'JSO (t)'!S88)</f>
        <v>0</v>
      </c>
      <c r="T88" s="461">
        <f>SUM('DUoS (t)'!T88,'TUoS (t)'!T88,'JSO (t)'!T88)</f>
        <v>0</v>
      </c>
      <c r="U88" s="479">
        <f>SUM('DUoS (t)'!U88,'TUoS (t)'!U88,'JSO (t)'!U88)</f>
        <v>0</v>
      </c>
      <c r="V88" s="462">
        <f>SUM('DUoS (t)'!V88,'TUoS (t)'!V88,'JSO (t)'!V88)</f>
        <v>0</v>
      </c>
      <c r="X88" s="183">
        <f>'Q (t)'!G88</f>
        <v>0</v>
      </c>
      <c r="Y88" s="184">
        <f>'Q (t)'!H88</f>
        <v>0</v>
      </c>
      <c r="Z88" s="178">
        <f>'Q (t)'!I88</f>
        <v>0</v>
      </c>
      <c r="AA88" s="178">
        <f>'Q (t)'!J88</f>
        <v>0</v>
      </c>
      <c r="AB88" s="179">
        <f>'Q (t)'!K88</f>
        <v>0</v>
      </c>
      <c r="AC88" s="178">
        <f>'Q (t)'!L88</f>
        <v>0</v>
      </c>
      <c r="AD88" s="178">
        <f>'Q (t)'!M88</f>
        <v>0</v>
      </c>
      <c r="AE88" s="178">
        <f>'Q (t)'!N88</f>
        <v>0</v>
      </c>
      <c r="AF88" s="179">
        <f>'Q (t)'!O88</f>
        <v>0</v>
      </c>
      <c r="AG88" s="178">
        <f>'Q (t)'!P88</f>
        <v>0</v>
      </c>
      <c r="AH88" s="178">
        <f>'Q (t)'!Q88</f>
        <v>0</v>
      </c>
      <c r="AI88" s="179">
        <f>'Q (t)'!R88</f>
        <v>0</v>
      </c>
      <c r="AJ88" s="184">
        <f>'Q (t)'!S88</f>
        <v>0</v>
      </c>
      <c r="AK88" s="178">
        <f>'Q (t)'!T88</f>
        <v>0</v>
      </c>
      <c r="AL88" s="184">
        <f>'Q (t)'!U88</f>
        <v>0</v>
      </c>
      <c r="AM88" s="179">
        <f>'Q (t)'!V88</f>
        <v>0</v>
      </c>
      <c r="AO88" s="183">
        <f t="shared" si="62"/>
        <v>0</v>
      </c>
      <c r="AP88" s="184">
        <f t="shared" si="63"/>
        <v>0</v>
      </c>
      <c r="AQ88" s="178">
        <f t="shared" si="63"/>
        <v>0</v>
      </c>
      <c r="AR88" s="178">
        <f t="shared" si="63"/>
        <v>0</v>
      </c>
      <c r="AS88" s="179">
        <f t="shared" si="63"/>
        <v>0</v>
      </c>
      <c r="AT88" s="178">
        <f t="shared" si="63"/>
        <v>0</v>
      </c>
      <c r="AU88" s="178">
        <f t="shared" si="63"/>
        <v>0</v>
      </c>
      <c r="AV88" s="178">
        <f t="shared" si="63"/>
        <v>0</v>
      </c>
      <c r="AW88" s="179">
        <f t="shared" si="63"/>
        <v>0</v>
      </c>
      <c r="AX88" s="178">
        <f t="shared" si="53"/>
        <v>0</v>
      </c>
      <c r="AY88" s="178">
        <f t="shared" si="54"/>
        <v>0</v>
      </c>
      <c r="AZ88" s="179">
        <f t="shared" si="55"/>
        <v>0</v>
      </c>
      <c r="BA88" s="184">
        <f t="shared" si="25"/>
        <v>0</v>
      </c>
      <c r="BB88" s="178">
        <f t="shared" si="25"/>
        <v>0</v>
      </c>
      <c r="BC88" s="184">
        <f t="shared" si="25"/>
        <v>0</v>
      </c>
      <c r="BD88" s="178">
        <f t="shared" si="25"/>
        <v>0</v>
      </c>
      <c r="BE88" s="244">
        <f t="shared" si="64"/>
        <v>0</v>
      </c>
      <c r="BF88" s="245">
        <f t="shared" si="65"/>
        <v>0</v>
      </c>
      <c r="BH88" s="255">
        <f t="shared" si="56"/>
        <v>0</v>
      </c>
      <c r="BI88" s="255">
        <f t="shared" si="57"/>
        <v>0</v>
      </c>
      <c r="BJ88" s="255">
        <f t="shared" si="58"/>
        <v>0</v>
      </c>
      <c r="BK88" s="256">
        <f t="shared" si="59"/>
        <v>0</v>
      </c>
      <c r="BL88" s="262">
        <f t="shared" si="60"/>
        <v>0</v>
      </c>
      <c r="BM88" s="257">
        <f t="shared" si="66"/>
        <v>0</v>
      </c>
      <c r="BO88" s="714" t="str">
        <f t="shared" si="67"/>
        <v/>
      </c>
    </row>
    <row r="89" spans="2:72" ht="15" customHeight="1" x14ac:dyDescent="0.25">
      <c r="B89" s="19">
        <f t="shared" si="61"/>
        <v>17</v>
      </c>
      <c r="C89" s="785"/>
      <c r="D89" s="772"/>
      <c r="E89" s="836"/>
      <c r="G89" s="482">
        <f>SUM('DUoS (t)'!G89,'TUoS (t)'!G89,'JSO (t)'!G89)</f>
        <v>0</v>
      </c>
      <c r="H89" s="479">
        <f>SUM('DUoS (t)'!H89,'TUoS (t)'!H89,'JSO (t)'!H89)</f>
        <v>0</v>
      </c>
      <c r="I89" s="461">
        <f>SUM('DUoS (t)'!I89,'TUoS (t)'!I89,'JSO (t)'!I89)</f>
        <v>0</v>
      </c>
      <c r="J89" s="461">
        <f>SUM('DUoS (t)'!J89,'TUoS (t)'!J89,'JSO (t)'!J89)</f>
        <v>0</v>
      </c>
      <c r="K89" s="462">
        <f>SUM('DUoS (t)'!K89,'TUoS (t)'!K89,'JSO (t)'!K89)</f>
        <v>0</v>
      </c>
      <c r="L89" s="461">
        <f>SUM('DUoS (t)'!L89,'TUoS (t)'!L89,'JSO (t)'!L89)</f>
        <v>0</v>
      </c>
      <c r="M89" s="461">
        <f>SUM('DUoS (t)'!M89,'TUoS (t)'!M89,'JSO (t)'!M89)</f>
        <v>0</v>
      </c>
      <c r="N89" s="461">
        <f>SUM('DUoS (t)'!N89,'TUoS (t)'!N89,'JSO (t)'!N89)</f>
        <v>0</v>
      </c>
      <c r="O89" s="462">
        <f>SUM('DUoS (t)'!O89,'TUoS (t)'!O89,'JSO (t)'!O89)</f>
        <v>0</v>
      </c>
      <c r="P89" s="461">
        <f>SUM('DUoS (t)'!P89,'TUoS (t)'!P89,'JSO (t)'!P89)</f>
        <v>0</v>
      </c>
      <c r="Q89" s="461">
        <f>SUM('DUoS (t)'!Q89,'TUoS (t)'!Q89,'JSO (t)'!Q89)</f>
        <v>0</v>
      </c>
      <c r="R89" s="462">
        <f>SUM('DUoS (t)'!R89,'TUoS (t)'!R89,'JSO (t)'!R89)</f>
        <v>0</v>
      </c>
      <c r="S89" s="479">
        <f>SUM('DUoS (t)'!S89,'TUoS (t)'!S89,'JSO (t)'!S89)</f>
        <v>0</v>
      </c>
      <c r="T89" s="461">
        <f>SUM('DUoS (t)'!T89,'TUoS (t)'!T89,'JSO (t)'!T89)</f>
        <v>0</v>
      </c>
      <c r="U89" s="479">
        <f>SUM('DUoS (t)'!U89,'TUoS (t)'!U89,'JSO (t)'!U89)</f>
        <v>0</v>
      </c>
      <c r="V89" s="462">
        <f>SUM('DUoS (t)'!V89,'TUoS (t)'!V89,'JSO (t)'!V89)</f>
        <v>0</v>
      </c>
      <c r="X89" s="183">
        <f>'Q (t)'!G89</f>
        <v>0</v>
      </c>
      <c r="Y89" s="184">
        <f>'Q (t)'!H89</f>
        <v>0</v>
      </c>
      <c r="Z89" s="178">
        <f>'Q (t)'!I89</f>
        <v>0</v>
      </c>
      <c r="AA89" s="178">
        <f>'Q (t)'!J89</f>
        <v>0</v>
      </c>
      <c r="AB89" s="179">
        <f>'Q (t)'!K89</f>
        <v>0</v>
      </c>
      <c r="AC89" s="178">
        <f>'Q (t)'!L89</f>
        <v>0</v>
      </c>
      <c r="AD89" s="178">
        <f>'Q (t)'!M89</f>
        <v>0</v>
      </c>
      <c r="AE89" s="178">
        <f>'Q (t)'!N89</f>
        <v>0</v>
      </c>
      <c r="AF89" s="179">
        <f>'Q (t)'!O89</f>
        <v>0</v>
      </c>
      <c r="AG89" s="178">
        <f>'Q (t)'!P89</f>
        <v>0</v>
      </c>
      <c r="AH89" s="178">
        <f>'Q (t)'!Q89</f>
        <v>0</v>
      </c>
      <c r="AI89" s="179">
        <f>'Q (t)'!R89</f>
        <v>0</v>
      </c>
      <c r="AJ89" s="184">
        <f>'Q (t)'!S89</f>
        <v>0</v>
      </c>
      <c r="AK89" s="178">
        <f>'Q (t)'!T89</f>
        <v>0</v>
      </c>
      <c r="AL89" s="184">
        <f>'Q (t)'!U89</f>
        <v>0</v>
      </c>
      <c r="AM89" s="179">
        <f>'Q (t)'!V89</f>
        <v>0</v>
      </c>
      <c r="AO89" s="183">
        <f t="shared" si="62"/>
        <v>0</v>
      </c>
      <c r="AP89" s="184">
        <f t="shared" si="63"/>
        <v>0</v>
      </c>
      <c r="AQ89" s="178">
        <f t="shared" si="63"/>
        <v>0</v>
      </c>
      <c r="AR89" s="178">
        <f t="shared" si="63"/>
        <v>0</v>
      </c>
      <c r="AS89" s="179">
        <f t="shared" si="63"/>
        <v>0</v>
      </c>
      <c r="AT89" s="178">
        <f t="shared" si="63"/>
        <v>0</v>
      </c>
      <c r="AU89" s="178">
        <f t="shared" si="63"/>
        <v>0</v>
      </c>
      <c r="AV89" s="178">
        <f t="shared" si="63"/>
        <v>0</v>
      </c>
      <c r="AW89" s="179">
        <f t="shared" si="63"/>
        <v>0</v>
      </c>
      <c r="AX89" s="178">
        <f t="shared" si="53"/>
        <v>0</v>
      </c>
      <c r="AY89" s="178">
        <f t="shared" si="54"/>
        <v>0</v>
      </c>
      <c r="AZ89" s="179">
        <f t="shared" si="55"/>
        <v>0</v>
      </c>
      <c r="BA89" s="184">
        <f t="shared" si="25"/>
        <v>0</v>
      </c>
      <c r="BB89" s="178">
        <f t="shared" si="25"/>
        <v>0</v>
      </c>
      <c r="BC89" s="184">
        <f t="shared" si="25"/>
        <v>0</v>
      </c>
      <c r="BD89" s="178">
        <f t="shared" si="25"/>
        <v>0</v>
      </c>
      <c r="BE89" s="244">
        <f t="shared" si="64"/>
        <v>0</v>
      </c>
      <c r="BF89" s="245">
        <f t="shared" si="65"/>
        <v>0</v>
      </c>
      <c r="BH89" s="255">
        <f t="shared" si="56"/>
        <v>0</v>
      </c>
      <c r="BI89" s="255">
        <f t="shared" si="57"/>
        <v>0</v>
      </c>
      <c r="BJ89" s="255">
        <f t="shared" si="58"/>
        <v>0</v>
      </c>
      <c r="BK89" s="256">
        <f t="shared" si="59"/>
        <v>0</v>
      </c>
      <c r="BL89" s="262">
        <f t="shared" si="60"/>
        <v>0</v>
      </c>
      <c r="BM89" s="257">
        <f t="shared" si="66"/>
        <v>0</v>
      </c>
      <c r="BO89" s="714" t="str">
        <f t="shared" si="67"/>
        <v/>
      </c>
    </row>
    <row r="90" spans="2:72" ht="15" customHeight="1" x14ac:dyDescent="0.25">
      <c r="B90" s="19">
        <f t="shared" si="61"/>
        <v>18</v>
      </c>
      <c r="C90" s="785"/>
      <c r="D90" s="772"/>
      <c r="E90" s="836"/>
      <c r="G90" s="482">
        <f>SUM('DUoS (t)'!G90,'TUoS (t)'!G90,'JSO (t)'!G90)</f>
        <v>0</v>
      </c>
      <c r="H90" s="479">
        <f>SUM('DUoS (t)'!H90,'TUoS (t)'!H90,'JSO (t)'!H90)</f>
        <v>0</v>
      </c>
      <c r="I90" s="461">
        <f>SUM('DUoS (t)'!I90,'TUoS (t)'!I90,'JSO (t)'!I90)</f>
        <v>0</v>
      </c>
      <c r="J90" s="461">
        <f>SUM('DUoS (t)'!J90,'TUoS (t)'!J90,'JSO (t)'!J90)</f>
        <v>0</v>
      </c>
      <c r="K90" s="462">
        <f>SUM('DUoS (t)'!K90,'TUoS (t)'!K90,'JSO (t)'!K90)</f>
        <v>0</v>
      </c>
      <c r="L90" s="461">
        <f>SUM('DUoS (t)'!L90,'TUoS (t)'!L90,'JSO (t)'!L90)</f>
        <v>0</v>
      </c>
      <c r="M90" s="461">
        <f>SUM('DUoS (t)'!M90,'TUoS (t)'!M90,'JSO (t)'!M90)</f>
        <v>0</v>
      </c>
      <c r="N90" s="461">
        <f>SUM('DUoS (t)'!N90,'TUoS (t)'!N90,'JSO (t)'!N90)</f>
        <v>0</v>
      </c>
      <c r="O90" s="462">
        <f>SUM('DUoS (t)'!O90,'TUoS (t)'!O90,'JSO (t)'!O90)</f>
        <v>0</v>
      </c>
      <c r="P90" s="461">
        <f>SUM('DUoS (t)'!P90,'TUoS (t)'!P90,'JSO (t)'!P90)</f>
        <v>0</v>
      </c>
      <c r="Q90" s="461">
        <f>SUM('DUoS (t)'!Q90,'TUoS (t)'!Q90,'JSO (t)'!Q90)</f>
        <v>0</v>
      </c>
      <c r="R90" s="462">
        <f>SUM('DUoS (t)'!R90,'TUoS (t)'!R90,'JSO (t)'!R90)</f>
        <v>0</v>
      </c>
      <c r="S90" s="479">
        <f>SUM('DUoS (t)'!S90,'TUoS (t)'!S90,'JSO (t)'!S90)</f>
        <v>0</v>
      </c>
      <c r="T90" s="461">
        <f>SUM('DUoS (t)'!T90,'TUoS (t)'!T90,'JSO (t)'!T90)</f>
        <v>0</v>
      </c>
      <c r="U90" s="479">
        <f>SUM('DUoS (t)'!U90,'TUoS (t)'!U90,'JSO (t)'!U90)</f>
        <v>0</v>
      </c>
      <c r="V90" s="462">
        <f>SUM('DUoS (t)'!V90,'TUoS (t)'!V90,'JSO (t)'!V90)</f>
        <v>0</v>
      </c>
      <c r="X90" s="183">
        <f>'Q (t)'!G90</f>
        <v>0</v>
      </c>
      <c r="Y90" s="184">
        <f>'Q (t)'!H90</f>
        <v>0</v>
      </c>
      <c r="Z90" s="178">
        <f>'Q (t)'!I90</f>
        <v>0</v>
      </c>
      <c r="AA90" s="178">
        <f>'Q (t)'!J90</f>
        <v>0</v>
      </c>
      <c r="AB90" s="179">
        <f>'Q (t)'!K90</f>
        <v>0</v>
      </c>
      <c r="AC90" s="178">
        <f>'Q (t)'!L90</f>
        <v>0</v>
      </c>
      <c r="AD90" s="178">
        <f>'Q (t)'!M90</f>
        <v>0</v>
      </c>
      <c r="AE90" s="178">
        <f>'Q (t)'!N90</f>
        <v>0</v>
      </c>
      <c r="AF90" s="179">
        <f>'Q (t)'!O90</f>
        <v>0</v>
      </c>
      <c r="AG90" s="178">
        <f>'Q (t)'!P90</f>
        <v>0</v>
      </c>
      <c r="AH90" s="178">
        <f>'Q (t)'!Q90</f>
        <v>0</v>
      </c>
      <c r="AI90" s="179">
        <f>'Q (t)'!R90</f>
        <v>0</v>
      </c>
      <c r="AJ90" s="184">
        <f>'Q (t)'!S90</f>
        <v>0</v>
      </c>
      <c r="AK90" s="178">
        <f>'Q (t)'!T90</f>
        <v>0</v>
      </c>
      <c r="AL90" s="184">
        <f>'Q (t)'!U90</f>
        <v>0</v>
      </c>
      <c r="AM90" s="179">
        <f>'Q (t)'!V90</f>
        <v>0</v>
      </c>
      <c r="AO90" s="183">
        <f t="shared" si="62"/>
        <v>0</v>
      </c>
      <c r="AP90" s="184">
        <f t="shared" si="63"/>
        <v>0</v>
      </c>
      <c r="AQ90" s="178">
        <f t="shared" si="63"/>
        <v>0</v>
      </c>
      <c r="AR90" s="178">
        <f t="shared" si="63"/>
        <v>0</v>
      </c>
      <c r="AS90" s="179">
        <f t="shared" si="63"/>
        <v>0</v>
      </c>
      <c r="AT90" s="178">
        <f t="shared" si="63"/>
        <v>0</v>
      </c>
      <c r="AU90" s="178">
        <f t="shared" si="63"/>
        <v>0</v>
      </c>
      <c r="AV90" s="178">
        <f t="shared" si="63"/>
        <v>0</v>
      </c>
      <c r="AW90" s="179">
        <f t="shared" si="63"/>
        <v>0</v>
      </c>
      <c r="AX90" s="178">
        <f t="shared" si="53"/>
        <v>0</v>
      </c>
      <c r="AY90" s="178">
        <f t="shared" si="54"/>
        <v>0</v>
      </c>
      <c r="AZ90" s="179">
        <f t="shared" si="55"/>
        <v>0</v>
      </c>
      <c r="BA90" s="184">
        <f t="shared" si="25"/>
        <v>0</v>
      </c>
      <c r="BB90" s="178">
        <f t="shared" si="25"/>
        <v>0</v>
      </c>
      <c r="BC90" s="184">
        <f t="shared" si="25"/>
        <v>0</v>
      </c>
      <c r="BD90" s="178">
        <f t="shared" si="25"/>
        <v>0</v>
      </c>
      <c r="BE90" s="244">
        <f t="shared" si="64"/>
        <v>0</v>
      </c>
      <c r="BF90" s="245">
        <f t="shared" si="65"/>
        <v>0</v>
      </c>
      <c r="BH90" s="255">
        <f t="shared" si="56"/>
        <v>0</v>
      </c>
      <c r="BI90" s="255">
        <f t="shared" si="57"/>
        <v>0</v>
      </c>
      <c r="BJ90" s="255">
        <f t="shared" si="58"/>
        <v>0</v>
      </c>
      <c r="BK90" s="256">
        <f t="shared" si="59"/>
        <v>0</v>
      </c>
      <c r="BL90" s="262">
        <f t="shared" si="60"/>
        <v>0</v>
      </c>
      <c r="BM90" s="257">
        <f t="shared" si="66"/>
        <v>0</v>
      </c>
      <c r="BO90" s="714" t="str">
        <f t="shared" si="67"/>
        <v/>
      </c>
    </row>
    <row r="91" spans="2:72" ht="15" customHeight="1" x14ac:dyDescent="0.25">
      <c r="B91" s="19">
        <f t="shared" si="61"/>
        <v>19</v>
      </c>
      <c r="C91" s="785"/>
      <c r="D91" s="772"/>
      <c r="E91" s="836"/>
      <c r="G91" s="482">
        <f>SUM('DUoS (t)'!G91,'TUoS (t)'!G91,'JSO (t)'!G91)</f>
        <v>0</v>
      </c>
      <c r="H91" s="479">
        <f>SUM('DUoS (t)'!H91,'TUoS (t)'!H91,'JSO (t)'!H91)</f>
        <v>0</v>
      </c>
      <c r="I91" s="461">
        <f>SUM('DUoS (t)'!I91,'TUoS (t)'!I91,'JSO (t)'!I91)</f>
        <v>0</v>
      </c>
      <c r="J91" s="461">
        <f>SUM('DUoS (t)'!J91,'TUoS (t)'!J91,'JSO (t)'!J91)</f>
        <v>0</v>
      </c>
      <c r="K91" s="462">
        <f>SUM('DUoS (t)'!K91,'TUoS (t)'!K91,'JSO (t)'!K91)</f>
        <v>0</v>
      </c>
      <c r="L91" s="461">
        <f>SUM('DUoS (t)'!L91,'TUoS (t)'!L91,'JSO (t)'!L91)</f>
        <v>0</v>
      </c>
      <c r="M91" s="461">
        <f>SUM('DUoS (t)'!M91,'TUoS (t)'!M91,'JSO (t)'!M91)</f>
        <v>0</v>
      </c>
      <c r="N91" s="461">
        <f>SUM('DUoS (t)'!N91,'TUoS (t)'!N91,'JSO (t)'!N91)</f>
        <v>0</v>
      </c>
      <c r="O91" s="462">
        <f>SUM('DUoS (t)'!O91,'TUoS (t)'!O91,'JSO (t)'!O91)</f>
        <v>0</v>
      </c>
      <c r="P91" s="461">
        <f>SUM('DUoS (t)'!P91,'TUoS (t)'!P91,'JSO (t)'!P91)</f>
        <v>0</v>
      </c>
      <c r="Q91" s="461">
        <f>SUM('DUoS (t)'!Q91,'TUoS (t)'!Q91,'JSO (t)'!Q91)</f>
        <v>0</v>
      </c>
      <c r="R91" s="462">
        <f>SUM('DUoS (t)'!R91,'TUoS (t)'!R91,'JSO (t)'!R91)</f>
        <v>0</v>
      </c>
      <c r="S91" s="479">
        <f>SUM('DUoS (t)'!S91,'TUoS (t)'!S91,'JSO (t)'!S91)</f>
        <v>0</v>
      </c>
      <c r="T91" s="461">
        <f>SUM('DUoS (t)'!T91,'TUoS (t)'!T91,'JSO (t)'!T91)</f>
        <v>0</v>
      </c>
      <c r="U91" s="479">
        <f>SUM('DUoS (t)'!U91,'TUoS (t)'!U91,'JSO (t)'!U91)</f>
        <v>0</v>
      </c>
      <c r="V91" s="462">
        <f>SUM('DUoS (t)'!V91,'TUoS (t)'!V91,'JSO (t)'!V91)</f>
        <v>0</v>
      </c>
      <c r="X91" s="183">
        <f>'Q (t)'!G91</f>
        <v>0</v>
      </c>
      <c r="Y91" s="184">
        <f>'Q (t)'!H91</f>
        <v>0</v>
      </c>
      <c r="Z91" s="178">
        <f>'Q (t)'!I91</f>
        <v>0</v>
      </c>
      <c r="AA91" s="178">
        <f>'Q (t)'!J91</f>
        <v>0</v>
      </c>
      <c r="AB91" s="179">
        <f>'Q (t)'!K91</f>
        <v>0</v>
      </c>
      <c r="AC91" s="178">
        <f>'Q (t)'!L91</f>
        <v>0</v>
      </c>
      <c r="AD91" s="178">
        <f>'Q (t)'!M91</f>
        <v>0</v>
      </c>
      <c r="AE91" s="178">
        <f>'Q (t)'!N91</f>
        <v>0</v>
      </c>
      <c r="AF91" s="179">
        <f>'Q (t)'!O91</f>
        <v>0</v>
      </c>
      <c r="AG91" s="178">
        <f>'Q (t)'!P91</f>
        <v>0</v>
      </c>
      <c r="AH91" s="178">
        <f>'Q (t)'!Q91</f>
        <v>0</v>
      </c>
      <c r="AI91" s="179">
        <f>'Q (t)'!R91</f>
        <v>0</v>
      </c>
      <c r="AJ91" s="184">
        <f>'Q (t)'!S91</f>
        <v>0</v>
      </c>
      <c r="AK91" s="178">
        <f>'Q (t)'!T91</f>
        <v>0</v>
      </c>
      <c r="AL91" s="184">
        <f>'Q (t)'!U91</f>
        <v>0</v>
      </c>
      <c r="AM91" s="179">
        <f>'Q (t)'!V91</f>
        <v>0</v>
      </c>
      <c r="AO91" s="183">
        <f t="shared" si="62"/>
        <v>0</v>
      </c>
      <c r="AP91" s="184">
        <f t="shared" si="63"/>
        <v>0</v>
      </c>
      <c r="AQ91" s="178">
        <f t="shared" si="63"/>
        <v>0</v>
      </c>
      <c r="AR91" s="178">
        <f t="shared" si="63"/>
        <v>0</v>
      </c>
      <c r="AS91" s="179">
        <f t="shared" si="63"/>
        <v>0</v>
      </c>
      <c r="AT91" s="178">
        <f t="shared" si="63"/>
        <v>0</v>
      </c>
      <c r="AU91" s="178">
        <f t="shared" si="63"/>
        <v>0</v>
      </c>
      <c r="AV91" s="178">
        <f t="shared" si="63"/>
        <v>0</v>
      </c>
      <c r="AW91" s="179">
        <f t="shared" si="63"/>
        <v>0</v>
      </c>
      <c r="AX91" s="178">
        <f t="shared" si="53"/>
        <v>0</v>
      </c>
      <c r="AY91" s="178">
        <f t="shared" si="54"/>
        <v>0</v>
      </c>
      <c r="AZ91" s="179">
        <f t="shared" si="55"/>
        <v>0</v>
      </c>
      <c r="BA91" s="184">
        <f t="shared" si="25"/>
        <v>0</v>
      </c>
      <c r="BB91" s="178">
        <f t="shared" si="25"/>
        <v>0</v>
      </c>
      <c r="BC91" s="184">
        <f t="shared" si="25"/>
        <v>0</v>
      </c>
      <c r="BD91" s="178">
        <f t="shared" si="25"/>
        <v>0</v>
      </c>
      <c r="BE91" s="244">
        <f t="shared" si="64"/>
        <v>0</v>
      </c>
      <c r="BF91" s="245">
        <f t="shared" si="65"/>
        <v>0</v>
      </c>
      <c r="BH91" s="255">
        <f t="shared" si="56"/>
        <v>0</v>
      </c>
      <c r="BI91" s="255">
        <f t="shared" si="57"/>
        <v>0</v>
      </c>
      <c r="BJ91" s="255">
        <f t="shared" si="58"/>
        <v>0</v>
      </c>
      <c r="BK91" s="256">
        <f t="shared" si="59"/>
        <v>0</v>
      </c>
      <c r="BL91" s="262">
        <f t="shared" si="60"/>
        <v>0</v>
      </c>
      <c r="BM91" s="257">
        <f t="shared" si="66"/>
        <v>0</v>
      </c>
      <c r="BO91" s="714" t="str">
        <f t="shared" si="67"/>
        <v/>
      </c>
    </row>
    <row r="92" spans="2:72" ht="15" customHeight="1" x14ac:dyDescent="0.25">
      <c r="B92" s="19">
        <f t="shared" si="61"/>
        <v>20</v>
      </c>
      <c r="C92" s="785"/>
      <c r="D92" s="772"/>
      <c r="E92" s="836"/>
      <c r="G92" s="482">
        <f>SUM('DUoS (t)'!G92,'TUoS (t)'!G92,'JSO (t)'!G92)</f>
        <v>0</v>
      </c>
      <c r="H92" s="479">
        <f>SUM('DUoS (t)'!H92,'TUoS (t)'!H92,'JSO (t)'!H92)</f>
        <v>0</v>
      </c>
      <c r="I92" s="461">
        <f>SUM('DUoS (t)'!I92,'TUoS (t)'!I92,'JSO (t)'!I92)</f>
        <v>0</v>
      </c>
      <c r="J92" s="461">
        <f>SUM('DUoS (t)'!J92,'TUoS (t)'!J92,'JSO (t)'!J92)</f>
        <v>0</v>
      </c>
      <c r="K92" s="462">
        <f>SUM('DUoS (t)'!K92,'TUoS (t)'!K92,'JSO (t)'!K92)</f>
        <v>0</v>
      </c>
      <c r="L92" s="461">
        <f>SUM('DUoS (t)'!L92,'TUoS (t)'!L92,'JSO (t)'!L92)</f>
        <v>0</v>
      </c>
      <c r="M92" s="461">
        <f>SUM('DUoS (t)'!M92,'TUoS (t)'!M92,'JSO (t)'!M92)</f>
        <v>0</v>
      </c>
      <c r="N92" s="461">
        <f>SUM('DUoS (t)'!N92,'TUoS (t)'!N92,'JSO (t)'!N92)</f>
        <v>0</v>
      </c>
      <c r="O92" s="462">
        <f>SUM('DUoS (t)'!O92,'TUoS (t)'!O92,'JSO (t)'!O92)</f>
        <v>0</v>
      </c>
      <c r="P92" s="461">
        <f>SUM('DUoS (t)'!P92,'TUoS (t)'!P92,'JSO (t)'!P92)</f>
        <v>0</v>
      </c>
      <c r="Q92" s="461">
        <f>SUM('DUoS (t)'!Q92,'TUoS (t)'!Q92,'JSO (t)'!Q92)</f>
        <v>0</v>
      </c>
      <c r="R92" s="462">
        <f>SUM('DUoS (t)'!R92,'TUoS (t)'!R92,'JSO (t)'!R92)</f>
        <v>0</v>
      </c>
      <c r="S92" s="479">
        <f>SUM('DUoS (t)'!S92,'TUoS (t)'!S92,'JSO (t)'!S92)</f>
        <v>0</v>
      </c>
      <c r="T92" s="461">
        <f>SUM('DUoS (t)'!T92,'TUoS (t)'!T92,'JSO (t)'!T92)</f>
        <v>0</v>
      </c>
      <c r="U92" s="479">
        <f>SUM('DUoS (t)'!U92,'TUoS (t)'!U92,'JSO (t)'!U92)</f>
        <v>0</v>
      </c>
      <c r="V92" s="462">
        <f>SUM('DUoS (t)'!V92,'TUoS (t)'!V92,'JSO (t)'!V92)</f>
        <v>0</v>
      </c>
      <c r="X92" s="183">
        <f>'Q (t)'!G92</f>
        <v>0</v>
      </c>
      <c r="Y92" s="184">
        <f>'Q (t)'!H92</f>
        <v>0</v>
      </c>
      <c r="Z92" s="178">
        <f>'Q (t)'!I92</f>
        <v>0</v>
      </c>
      <c r="AA92" s="178">
        <f>'Q (t)'!J92</f>
        <v>0</v>
      </c>
      <c r="AB92" s="179">
        <f>'Q (t)'!K92</f>
        <v>0</v>
      </c>
      <c r="AC92" s="178">
        <f>'Q (t)'!L92</f>
        <v>0</v>
      </c>
      <c r="AD92" s="178">
        <f>'Q (t)'!M92</f>
        <v>0</v>
      </c>
      <c r="AE92" s="178">
        <f>'Q (t)'!N92</f>
        <v>0</v>
      </c>
      <c r="AF92" s="179">
        <f>'Q (t)'!O92</f>
        <v>0</v>
      </c>
      <c r="AG92" s="178">
        <f>'Q (t)'!P92</f>
        <v>0</v>
      </c>
      <c r="AH92" s="178">
        <f>'Q (t)'!Q92</f>
        <v>0</v>
      </c>
      <c r="AI92" s="179">
        <f>'Q (t)'!R92</f>
        <v>0</v>
      </c>
      <c r="AJ92" s="184">
        <f>'Q (t)'!S92</f>
        <v>0</v>
      </c>
      <c r="AK92" s="178">
        <f>'Q (t)'!T92</f>
        <v>0</v>
      </c>
      <c r="AL92" s="184">
        <f>'Q (t)'!U92</f>
        <v>0</v>
      </c>
      <c r="AM92" s="179">
        <f>'Q (t)'!V92</f>
        <v>0</v>
      </c>
      <c r="AO92" s="183">
        <f t="shared" si="62"/>
        <v>0</v>
      </c>
      <c r="AP92" s="184">
        <f t="shared" si="63"/>
        <v>0</v>
      </c>
      <c r="AQ92" s="178">
        <f t="shared" si="63"/>
        <v>0</v>
      </c>
      <c r="AR92" s="178">
        <f t="shared" si="63"/>
        <v>0</v>
      </c>
      <c r="AS92" s="179">
        <f t="shared" si="63"/>
        <v>0</v>
      </c>
      <c r="AT92" s="178">
        <f t="shared" si="63"/>
        <v>0</v>
      </c>
      <c r="AU92" s="178">
        <f t="shared" si="63"/>
        <v>0</v>
      </c>
      <c r="AV92" s="178">
        <f t="shared" si="63"/>
        <v>0</v>
      </c>
      <c r="AW92" s="179">
        <f t="shared" si="63"/>
        <v>0</v>
      </c>
      <c r="AX92" s="178">
        <f t="shared" si="53"/>
        <v>0</v>
      </c>
      <c r="AY92" s="178">
        <f t="shared" si="54"/>
        <v>0</v>
      </c>
      <c r="AZ92" s="179">
        <f t="shared" si="55"/>
        <v>0</v>
      </c>
      <c r="BA92" s="184">
        <f t="shared" si="25"/>
        <v>0</v>
      </c>
      <c r="BB92" s="178">
        <f t="shared" si="25"/>
        <v>0</v>
      </c>
      <c r="BC92" s="184">
        <f t="shared" si="25"/>
        <v>0</v>
      </c>
      <c r="BD92" s="178">
        <f t="shared" si="25"/>
        <v>0</v>
      </c>
      <c r="BE92" s="244">
        <f t="shared" si="64"/>
        <v>0</v>
      </c>
      <c r="BF92" s="245">
        <f t="shared" si="65"/>
        <v>0</v>
      </c>
      <c r="BH92" s="255">
        <f t="shared" si="56"/>
        <v>0</v>
      </c>
      <c r="BI92" s="255">
        <f t="shared" si="57"/>
        <v>0</v>
      </c>
      <c r="BJ92" s="255">
        <f t="shared" si="58"/>
        <v>0</v>
      </c>
      <c r="BK92" s="256">
        <f t="shared" si="59"/>
        <v>0</v>
      </c>
      <c r="BL92" s="262">
        <f t="shared" si="60"/>
        <v>0</v>
      </c>
      <c r="BM92" s="257">
        <f t="shared" si="66"/>
        <v>0</v>
      </c>
      <c r="BO92" s="714" t="str">
        <f t="shared" si="67"/>
        <v/>
      </c>
    </row>
    <row r="93" spans="2:72" ht="15" customHeight="1" x14ac:dyDescent="0.25">
      <c r="B93" s="26">
        <f t="shared" si="61"/>
        <v>21</v>
      </c>
      <c r="C93" s="837"/>
      <c r="D93" s="778"/>
      <c r="E93" s="838"/>
      <c r="G93" s="498">
        <f>SUM('DUoS (t)'!G93,'TUoS (t)'!G93,'JSO (t)'!G93)</f>
        <v>0</v>
      </c>
      <c r="H93" s="491">
        <f>SUM('DUoS (t)'!H93,'TUoS (t)'!H93,'JSO (t)'!H93)</f>
        <v>0</v>
      </c>
      <c r="I93" s="487">
        <f>SUM('DUoS (t)'!I93,'TUoS (t)'!I93,'JSO (t)'!I93)</f>
        <v>0</v>
      </c>
      <c r="J93" s="487">
        <f>SUM('DUoS (t)'!J93,'TUoS (t)'!J93,'JSO (t)'!J93)</f>
        <v>0</v>
      </c>
      <c r="K93" s="488">
        <f>SUM('DUoS (t)'!K93,'TUoS (t)'!K93,'JSO (t)'!K93)</f>
        <v>0</v>
      </c>
      <c r="L93" s="487">
        <f>SUM('DUoS (t)'!L93,'TUoS (t)'!L93,'JSO (t)'!L93)</f>
        <v>0</v>
      </c>
      <c r="M93" s="487">
        <f>SUM('DUoS (t)'!M93,'TUoS (t)'!M93,'JSO (t)'!M93)</f>
        <v>0</v>
      </c>
      <c r="N93" s="487">
        <f>SUM('DUoS (t)'!N93,'TUoS (t)'!N93,'JSO (t)'!N93)</f>
        <v>0</v>
      </c>
      <c r="O93" s="488">
        <f>SUM('DUoS (t)'!O93,'TUoS (t)'!O93,'JSO (t)'!O93)</f>
        <v>0</v>
      </c>
      <c r="P93" s="487">
        <f>SUM('DUoS (t)'!P93,'TUoS (t)'!P93,'JSO (t)'!P93)</f>
        <v>0</v>
      </c>
      <c r="Q93" s="487">
        <f>SUM('DUoS (t)'!Q93,'TUoS (t)'!Q93,'JSO (t)'!Q93)</f>
        <v>0</v>
      </c>
      <c r="R93" s="488">
        <f>SUM('DUoS (t)'!R93,'TUoS (t)'!R93,'JSO (t)'!R93)</f>
        <v>0</v>
      </c>
      <c r="S93" s="491">
        <f>SUM('DUoS (t)'!S93,'TUoS (t)'!S93,'JSO (t)'!S93)</f>
        <v>0</v>
      </c>
      <c r="T93" s="487">
        <f>SUM('DUoS (t)'!T93,'TUoS (t)'!T93,'JSO (t)'!T93)</f>
        <v>0</v>
      </c>
      <c r="U93" s="491">
        <f>SUM('DUoS (t)'!U93,'TUoS (t)'!U93,'JSO (t)'!U93)</f>
        <v>0</v>
      </c>
      <c r="V93" s="488">
        <f>SUM('DUoS (t)'!V93,'TUoS (t)'!V93,'JSO (t)'!V93)</f>
        <v>0</v>
      </c>
      <c r="X93" s="190">
        <f>'Q (t)'!G93</f>
        <v>0</v>
      </c>
      <c r="Y93" s="197">
        <f>'Q (t)'!H93</f>
        <v>0</v>
      </c>
      <c r="Z93" s="192">
        <f>'Q (t)'!I93</f>
        <v>0</v>
      </c>
      <c r="AA93" s="192">
        <f>'Q (t)'!J93</f>
        <v>0</v>
      </c>
      <c r="AB93" s="193">
        <f>'Q (t)'!K93</f>
        <v>0</v>
      </c>
      <c r="AC93" s="192">
        <f>'Q (t)'!L93</f>
        <v>0</v>
      </c>
      <c r="AD93" s="192">
        <f>'Q (t)'!M93</f>
        <v>0</v>
      </c>
      <c r="AE93" s="192">
        <f>'Q (t)'!N93</f>
        <v>0</v>
      </c>
      <c r="AF93" s="193">
        <f>'Q (t)'!O93</f>
        <v>0</v>
      </c>
      <c r="AG93" s="192">
        <f>'Q (t)'!P93</f>
        <v>0</v>
      </c>
      <c r="AH93" s="192">
        <f>'Q (t)'!Q93</f>
        <v>0</v>
      </c>
      <c r="AI93" s="193">
        <f>'Q (t)'!R93</f>
        <v>0</v>
      </c>
      <c r="AJ93" s="197">
        <f>'Q (t)'!S93</f>
        <v>0</v>
      </c>
      <c r="AK93" s="192">
        <f>'Q (t)'!T93</f>
        <v>0</v>
      </c>
      <c r="AL93" s="197">
        <f>'Q (t)'!U93</f>
        <v>0</v>
      </c>
      <c r="AM93" s="193">
        <f>'Q (t)'!V93</f>
        <v>0</v>
      </c>
      <c r="AO93" s="190">
        <f t="shared" si="62"/>
        <v>0</v>
      </c>
      <c r="AP93" s="197">
        <f t="shared" si="63"/>
        <v>0</v>
      </c>
      <c r="AQ93" s="192">
        <f t="shared" si="63"/>
        <v>0</v>
      </c>
      <c r="AR93" s="192">
        <f t="shared" si="63"/>
        <v>0</v>
      </c>
      <c r="AS93" s="193">
        <f t="shared" si="63"/>
        <v>0</v>
      </c>
      <c r="AT93" s="192">
        <f t="shared" si="63"/>
        <v>0</v>
      </c>
      <c r="AU93" s="192">
        <f t="shared" si="63"/>
        <v>0</v>
      </c>
      <c r="AV93" s="192">
        <f t="shared" si="63"/>
        <v>0</v>
      </c>
      <c r="AW93" s="193">
        <f t="shared" si="63"/>
        <v>0</v>
      </c>
      <c r="AX93" s="192">
        <f t="shared" si="53"/>
        <v>0</v>
      </c>
      <c r="AY93" s="192">
        <f t="shared" si="54"/>
        <v>0</v>
      </c>
      <c r="AZ93" s="193">
        <f t="shared" si="55"/>
        <v>0</v>
      </c>
      <c r="BA93" s="197">
        <f t="shared" si="25"/>
        <v>0</v>
      </c>
      <c r="BB93" s="192">
        <f t="shared" si="25"/>
        <v>0</v>
      </c>
      <c r="BC93" s="197">
        <f t="shared" si="25"/>
        <v>0</v>
      </c>
      <c r="BD93" s="192">
        <f t="shared" si="25"/>
        <v>0</v>
      </c>
      <c r="BE93" s="246">
        <f t="shared" si="64"/>
        <v>0</v>
      </c>
      <c r="BF93" s="247">
        <f t="shared" si="65"/>
        <v>0</v>
      </c>
      <c r="BH93" s="255">
        <f>SUM(AO93)</f>
        <v>0</v>
      </c>
      <c r="BI93" s="255">
        <f>SUM(AP93:AS93)</f>
        <v>0</v>
      </c>
      <c r="BJ93" s="255">
        <f>SUM(AT93:AW93)</f>
        <v>0</v>
      </c>
      <c r="BK93" s="256">
        <f>SUM(AX93:BB93)</f>
        <v>0</v>
      </c>
      <c r="BL93" s="262">
        <f>SUM(BC93:BD93)</f>
        <v>0</v>
      </c>
      <c r="BM93" s="257">
        <f t="shared" si="66"/>
        <v>0</v>
      </c>
      <c r="BO93" s="714" t="str">
        <f t="shared" si="67"/>
        <v/>
      </c>
    </row>
    <row r="94" spans="2:72" ht="15" customHeight="1" x14ac:dyDescent="0.25">
      <c r="B94" s="35" t="s">
        <v>112</v>
      </c>
      <c r="C94" s="36" t="s">
        <v>113</v>
      </c>
      <c r="D94" s="36"/>
      <c r="E94" s="107"/>
      <c r="G94" s="482">
        <f>SUM('DUoS (t)'!G94,'TUoS (t)'!G94,'JSO (t)'!G94)</f>
        <v>0</v>
      </c>
      <c r="H94" s="479">
        <f>SUM('DUoS (t)'!H94,'TUoS (t)'!H94,'JSO (t)'!H94)</f>
        <v>0</v>
      </c>
      <c r="I94" s="461">
        <f>SUM('DUoS (t)'!I94,'TUoS (t)'!I94,'JSO (t)'!I94)</f>
        <v>0</v>
      </c>
      <c r="J94" s="461">
        <f>SUM('DUoS (t)'!J94,'TUoS (t)'!J94,'JSO (t)'!J94)</f>
        <v>0</v>
      </c>
      <c r="K94" s="462">
        <f>SUM('DUoS (t)'!K94,'TUoS (t)'!K94,'JSO (t)'!K94)</f>
        <v>0</v>
      </c>
      <c r="L94" s="461">
        <f>SUM('DUoS (t)'!L94,'TUoS (t)'!L94,'JSO (t)'!L94)</f>
        <v>0</v>
      </c>
      <c r="M94" s="461">
        <f>SUM('DUoS (t)'!M94,'TUoS (t)'!M94,'JSO (t)'!M94)</f>
        <v>0</v>
      </c>
      <c r="N94" s="461">
        <f>SUM('DUoS (t)'!N94,'TUoS (t)'!N94,'JSO (t)'!N94)</f>
        <v>0</v>
      </c>
      <c r="O94" s="462">
        <f>SUM('DUoS (t)'!O94,'TUoS (t)'!O94,'JSO (t)'!O94)</f>
        <v>0</v>
      </c>
      <c r="P94" s="461">
        <f>SUM('DUoS (t)'!P94,'TUoS (t)'!P94,'JSO (t)'!P94)</f>
        <v>0</v>
      </c>
      <c r="Q94" s="461">
        <f>SUM('DUoS (t)'!Q94,'TUoS (t)'!Q94,'JSO (t)'!Q94)</f>
        <v>0</v>
      </c>
      <c r="R94" s="462">
        <f>SUM('DUoS (t)'!R94,'TUoS (t)'!R94,'JSO (t)'!R94)</f>
        <v>0</v>
      </c>
      <c r="S94" s="479">
        <f>SUM('DUoS (t)'!S94,'TUoS (t)'!S94,'JSO (t)'!S94)</f>
        <v>0</v>
      </c>
      <c r="T94" s="461">
        <f>SUM('DUoS (t)'!T94,'TUoS (t)'!T94,'JSO (t)'!T94)</f>
        <v>0</v>
      </c>
      <c r="U94" s="479">
        <f>SUM('DUoS (t)'!U94,'TUoS (t)'!U94,'JSO (t)'!U94)</f>
        <v>0</v>
      </c>
      <c r="V94" s="462">
        <f>SUM('DUoS (t)'!V94,'TUoS (t)'!V94,'JSO (t)'!V94)</f>
        <v>0</v>
      </c>
      <c r="X94" s="183">
        <f>'Q (t)'!G94</f>
        <v>0</v>
      </c>
      <c r="Y94" s="184">
        <f>'Q (t)'!H94</f>
        <v>0</v>
      </c>
      <c r="Z94" s="178">
        <f>'Q (t)'!I94</f>
        <v>0</v>
      </c>
      <c r="AA94" s="178">
        <f>'Q (t)'!J94</f>
        <v>0</v>
      </c>
      <c r="AB94" s="179">
        <f>'Q (t)'!K94</f>
        <v>0</v>
      </c>
      <c r="AC94" s="178">
        <f>'Q (t)'!L94</f>
        <v>0</v>
      </c>
      <c r="AD94" s="178">
        <f>'Q (t)'!M94</f>
        <v>0</v>
      </c>
      <c r="AE94" s="178">
        <f>'Q (t)'!N94</f>
        <v>0</v>
      </c>
      <c r="AF94" s="179">
        <f>'Q (t)'!O94</f>
        <v>0</v>
      </c>
      <c r="AG94" s="178">
        <f>'Q (t)'!P94</f>
        <v>0</v>
      </c>
      <c r="AH94" s="178">
        <f>'Q (t)'!Q94</f>
        <v>0</v>
      </c>
      <c r="AI94" s="179">
        <f>'Q (t)'!R94</f>
        <v>0</v>
      </c>
      <c r="AJ94" s="184">
        <f>'Q (t)'!S94</f>
        <v>0</v>
      </c>
      <c r="AK94" s="178">
        <f>'Q (t)'!T94</f>
        <v>0</v>
      </c>
      <c r="AL94" s="184">
        <f>'Q (t)'!U94</f>
        <v>0</v>
      </c>
      <c r="AM94" s="179">
        <f>'Q (t)'!V94</f>
        <v>0</v>
      </c>
      <c r="AO94" s="183">
        <f t="shared" si="62"/>
        <v>0</v>
      </c>
      <c r="AP94" s="184">
        <f t="shared" si="63"/>
        <v>0</v>
      </c>
      <c r="AQ94" s="178">
        <f t="shared" si="63"/>
        <v>0</v>
      </c>
      <c r="AR94" s="178">
        <f t="shared" si="63"/>
        <v>0</v>
      </c>
      <c r="AS94" s="179">
        <f t="shared" si="63"/>
        <v>0</v>
      </c>
      <c r="AT94" s="178">
        <f t="shared" si="63"/>
        <v>0</v>
      </c>
      <c r="AU94" s="178">
        <f t="shared" si="63"/>
        <v>0</v>
      </c>
      <c r="AV94" s="178">
        <f t="shared" si="63"/>
        <v>0</v>
      </c>
      <c r="AW94" s="179">
        <f t="shared" si="63"/>
        <v>0</v>
      </c>
      <c r="AX94" s="178">
        <f t="shared" si="53"/>
        <v>0</v>
      </c>
      <c r="AY94" s="178">
        <f t="shared" si="54"/>
        <v>0</v>
      </c>
      <c r="AZ94" s="179">
        <f t="shared" si="55"/>
        <v>0</v>
      </c>
      <c r="BA94" s="184">
        <f t="shared" si="25"/>
        <v>0</v>
      </c>
      <c r="BB94" s="178">
        <f t="shared" si="25"/>
        <v>0</v>
      </c>
      <c r="BC94" s="184">
        <f t="shared" si="25"/>
        <v>0</v>
      </c>
      <c r="BD94" s="178">
        <f t="shared" si="25"/>
        <v>0</v>
      </c>
      <c r="BE94" s="244">
        <f t="shared" si="64"/>
        <v>0</v>
      </c>
      <c r="BF94" s="245">
        <f t="shared" si="65"/>
        <v>0</v>
      </c>
      <c r="BH94" s="253">
        <f>SUBTOTAL(9,BH95:BH129)</f>
        <v>7739.4565345000001</v>
      </c>
      <c r="BI94" s="253">
        <f>SUBTOTAL(9,BI95:BI129)</f>
        <v>6142.6620000000003</v>
      </c>
      <c r="BJ94" s="253">
        <f>SUBTOTAL(9,BJ95:BJ129)</f>
        <v>0</v>
      </c>
      <c r="BK94" s="253">
        <f>SUBTOTAL(9,BK95:BK129)</f>
        <v>17972.338733000001</v>
      </c>
      <c r="BL94" s="253">
        <f>SUBTOTAL(9,BL95:BL129)</f>
        <v>0</v>
      </c>
      <c r="BM94" s="257">
        <f t="shared" si="66"/>
        <v>31854.457267500002</v>
      </c>
      <c r="BO94" s="714" t="str">
        <f t="shared" si="67"/>
        <v/>
      </c>
    </row>
    <row r="95" spans="2:72" ht="15" customHeight="1" x14ac:dyDescent="0.25">
      <c r="B95" s="19"/>
      <c r="C95" s="36" t="s">
        <v>114</v>
      </c>
      <c r="D95" s="85"/>
      <c r="E95" s="85"/>
      <c r="G95" s="482">
        <f>SUM('DUoS (t)'!G95,'TUoS (t)'!G95,'JSO (t)'!G95)</f>
        <v>0</v>
      </c>
      <c r="H95" s="479">
        <f>SUM('DUoS (t)'!H95,'TUoS (t)'!H95,'JSO (t)'!H95)</f>
        <v>0</v>
      </c>
      <c r="I95" s="461">
        <f>SUM('DUoS (t)'!I95,'TUoS (t)'!I95,'JSO (t)'!I95)</f>
        <v>0</v>
      </c>
      <c r="J95" s="461">
        <f>SUM('DUoS (t)'!J95,'TUoS (t)'!J95,'JSO (t)'!J95)</f>
        <v>0</v>
      </c>
      <c r="K95" s="462">
        <f>SUM('DUoS (t)'!K95,'TUoS (t)'!K95,'JSO (t)'!K95)</f>
        <v>0</v>
      </c>
      <c r="L95" s="461">
        <f>SUM('DUoS (t)'!L95,'TUoS (t)'!L95,'JSO (t)'!L95)</f>
        <v>0</v>
      </c>
      <c r="M95" s="461">
        <f>SUM('DUoS (t)'!M95,'TUoS (t)'!M95,'JSO (t)'!M95)</f>
        <v>0</v>
      </c>
      <c r="N95" s="461">
        <f>SUM('DUoS (t)'!N95,'TUoS (t)'!N95,'JSO (t)'!N95)</f>
        <v>0</v>
      </c>
      <c r="O95" s="462">
        <f>SUM('DUoS (t)'!O95,'TUoS (t)'!O95,'JSO (t)'!O95)</f>
        <v>0</v>
      </c>
      <c r="P95" s="461">
        <f>SUM('DUoS (t)'!P95,'TUoS (t)'!P95,'JSO (t)'!P95)</f>
        <v>0</v>
      </c>
      <c r="Q95" s="461">
        <f>SUM('DUoS (t)'!Q95,'TUoS (t)'!Q95,'JSO (t)'!Q95)</f>
        <v>0</v>
      </c>
      <c r="R95" s="462">
        <f>SUM('DUoS (t)'!R95,'TUoS (t)'!R95,'JSO (t)'!R95)</f>
        <v>0</v>
      </c>
      <c r="S95" s="479">
        <f>SUM('DUoS (t)'!S95,'TUoS (t)'!S95,'JSO (t)'!S95)</f>
        <v>0</v>
      </c>
      <c r="T95" s="461">
        <f>SUM('DUoS (t)'!T95,'TUoS (t)'!T95,'JSO (t)'!T95)</f>
        <v>0</v>
      </c>
      <c r="U95" s="479">
        <f>SUM('DUoS (t)'!U95,'TUoS (t)'!U95,'JSO (t)'!U95)</f>
        <v>0</v>
      </c>
      <c r="V95" s="462">
        <f>SUM('DUoS (t)'!V95,'TUoS (t)'!V95,'JSO (t)'!V95)</f>
        <v>0</v>
      </c>
      <c r="X95" s="183">
        <f>'Q (t)'!G95</f>
        <v>0</v>
      </c>
      <c r="Y95" s="184">
        <f>'Q (t)'!H95</f>
        <v>0</v>
      </c>
      <c r="Z95" s="178">
        <f>'Q (t)'!I95</f>
        <v>0</v>
      </c>
      <c r="AA95" s="178">
        <f>'Q (t)'!J95</f>
        <v>0</v>
      </c>
      <c r="AB95" s="179">
        <f>'Q (t)'!K95</f>
        <v>0</v>
      </c>
      <c r="AC95" s="178">
        <f>'Q (t)'!L95</f>
        <v>0</v>
      </c>
      <c r="AD95" s="178">
        <f>'Q (t)'!M95</f>
        <v>0</v>
      </c>
      <c r="AE95" s="178">
        <f>'Q (t)'!N95</f>
        <v>0</v>
      </c>
      <c r="AF95" s="179">
        <f>'Q (t)'!O95</f>
        <v>0</v>
      </c>
      <c r="AG95" s="178">
        <f>'Q (t)'!P95</f>
        <v>0</v>
      </c>
      <c r="AH95" s="178">
        <f>'Q (t)'!Q95</f>
        <v>0</v>
      </c>
      <c r="AI95" s="179">
        <f>'Q (t)'!R95</f>
        <v>0</v>
      </c>
      <c r="AJ95" s="184">
        <f>'Q (t)'!S95</f>
        <v>0</v>
      </c>
      <c r="AK95" s="178">
        <f>'Q (t)'!T95</f>
        <v>0</v>
      </c>
      <c r="AL95" s="184">
        <f>'Q (t)'!U95</f>
        <v>0</v>
      </c>
      <c r="AM95" s="179">
        <f>'Q (t)'!V95</f>
        <v>0</v>
      </c>
      <c r="AO95" s="183">
        <f t="shared" si="62"/>
        <v>0</v>
      </c>
      <c r="AP95" s="184">
        <f t="shared" si="63"/>
        <v>0</v>
      </c>
      <c r="AQ95" s="178">
        <f t="shared" si="63"/>
        <v>0</v>
      </c>
      <c r="AR95" s="178">
        <f t="shared" si="63"/>
        <v>0</v>
      </c>
      <c r="AS95" s="179">
        <f t="shared" si="63"/>
        <v>0</v>
      </c>
      <c r="AT95" s="178">
        <f t="shared" si="63"/>
        <v>0</v>
      </c>
      <c r="AU95" s="178">
        <f t="shared" si="63"/>
        <v>0</v>
      </c>
      <c r="AV95" s="178">
        <f t="shared" si="63"/>
        <v>0</v>
      </c>
      <c r="AW95" s="179">
        <f t="shared" si="63"/>
        <v>0</v>
      </c>
      <c r="AX95" s="178">
        <f t="shared" si="53"/>
        <v>0</v>
      </c>
      <c r="AY95" s="178">
        <f t="shared" si="54"/>
        <v>0</v>
      </c>
      <c r="AZ95" s="179">
        <f t="shared" si="55"/>
        <v>0</v>
      </c>
      <c r="BA95" s="184">
        <f t="shared" si="25"/>
        <v>0</v>
      </c>
      <c r="BB95" s="178">
        <f t="shared" si="25"/>
        <v>0</v>
      </c>
      <c r="BC95" s="184">
        <f t="shared" si="25"/>
        <v>0</v>
      </c>
      <c r="BD95" s="178">
        <f t="shared" si="25"/>
        <v>0</v>
      </c>
      <c r="BE95" s="244">
        <f t="shared" si="64"/>
        <v>0</v>
      </c>
      <c r="BF95" s="245">
        <f t="shared" si="65"/>
        <v>0</v>
      </c>
      <c r="BH95" s="252">
        <f>SUBTOTAL(9,BH96:BH103)</f>
        <v>914.03022799999997</v>
      </c>
      <c r="BI95" s="252">
        <f>SUBTOTAL(9,BI96:BI103)</f>
        <v>1430.348</v>
      </c>
      <c r="BJ95" s="252">
        <f>SUBTOTAL(9,BJ96:BJ103)</f>
        <v>0</v>
      </c>
      <c r="BK95" s="252">
        <f>SUBTOTAL(9,BK96:BK103)</f>
        <v>2661.2683994999998</v>
      </c>
      <c r="BL95" s="252">
        <f>SUBTOTAL(9,BL96:BL103)</f>
        <v>0</v>
      </c>
      <c r="BM95" s="257">
        <f t="shared" si="66"/>
        <v>5005.6466275000002</v>
      </c>
      <c r="BO95" s="714" t="str">
        <f t="shared" si="67"/>
        <v/>
      </c>
    </row>
    <row r="96" spans="2:72" ht="15" customHeight="1" x14ac:dyDescent="0.25">
      <c r="B96" s="19">
        <v>1</v>
      </c>
      <c r="C96" s="44" t="s">
        <v>115</v>
      </c>
      <c r="D96" s="45"/>
      <c r="E96" s="105" t="s">
        <v>116</v>
      </c>
      <c r="G96" s="477">
        <f>SUM('DUoS (t)'!G96,'TUoS (t)'!G96,'JSO (t)'!G96)</f>
        <v>0</v>
      </c>
      <c r="H96" s="478">
        <f>SUM('DUoS (t)'!H96,'TUoS (t)'!H96,'JSO (t)'!H96)</f>
        <v>1.4E-2</v>
      </c>
      <c r="I96" s="461">
        <f>SUM('DUoS (t)'!I96,'TUoS (t)'!I96,'JSO (t)'!I96)</f>
        <v>0</v>
      </c>
      <c r="J96" s="461">
        <f>SUM('DUoS (t)'!J96,'TUoS (t)'!J96,'JSO (t)'!J96)</f>
        <v>0</v>
      </c>
      <c r="K96" s="462">
        <f>SUM('DUoS (t)'!K96,'TUoS (t)'!K96,'JSO (t)'!K96)</f>
        <v>0</v>
      </c>
      <c r="L96" s="461">
        <f>SUM('DUoS (t)'!L96,'TUoS (t)'!L96,'JSO (t)'!L96)</f>
        <v>0</v>
      </c>
      <c r="M96" s="461">
        <f>SUM('DUoS (t)'!M96,'TUoS (t)'!M96,'JSO (t)'!M96)</f>
        <v>0</v>
      </c>
      <c r="N96" s="461">
        <f>SUM('DUoS (t)'!N96,'TUoS (t)'!N96,'JSO (t)'!N96)</f>
        <v>0</v>
      </c>
      <c r="O96" s="462">
        <f>SUM('DUoS (t)'!O96,'TUoS (t)'!O96,'JSO (t)'!O96)</f>
        <v>0</v>
      </c>
      <c r="P96" s="461">
        <f>SUM('DUoS (t)'!P96,'TUoS (t)'!P96,'JSO (t)'!P96)</f>
        <v>0</v>
      </c>
      <c r="Q96" s="461">
        <f>SUM('DUoS (t)'!Q96,'TUoS (t)'!Q96,'JSO (t)'!Q96)</f>
        <v>0</v>
      </c>
      <c r="R96" s="462">
        <f>SUM('DUoS (t)'!R96,'TUoS (t)'!R96,'JSO (t)'!R96)</f>
        <v>0</v>
      </c>
      <c r="S96" s="478">
        <f>SUM('DUoS (t)'!S96,'TUoS (t)'!S96,'JSO (t)'!S96)</f>
        <v>0.15689999999999998</v>
      </c>
      <c r="T96" s="483">
        <f>SUM('DUoS (t)'!T96,'TUoS (t)'!T96,'JSO (t)'!T96)</f>
        <v>7.2700000000000001E-2</v>
      </c>
      <c r="U96" s="480">
        <f>SUM('DUoS (t)'!U96,'TUoS (t)'!U96,'JSO (t)'!U96)</f>
        <v>0</v>
      </c>
      <c r="V96" s="481">
        <f>SUM('DUoS (t)'!V96,'TUoS (t)'!V96,'JSO (t)'!V96)</f>
        <v>0</v>
      </c>
      <c r="X96" s="183">
        <f>'Q (t)'!G96</f>
        <v>0</v>
      </c>
      <c r="Y96" s="184">
        <f>'Q (t)'!H96</f>
        <v>0</v>
      </c>
      <c r="Z96" s="178">
        <f>'Q (t)'!I96</f>
        <v>0</v>
      </c>
      <c r="AA96" s="178">
        <f>'Q (t)'!J96</f>
        <v>0</v>
      </c>
      <c r="AB96" s="179">
        <f>'Q (t)'!K96</f>
        <v>0</v>
      </c>
      <c r="AC96" s="178">
        <f>'Q (t)'!L96</f>
        <v>0</v>
      </c>
      <c r="AD96" s="178">
        <f>'Q (t)'!M96</f>
        <v>0</v>
      </c>
      <c r="AE96" s="178">
        <f>'Q (t)'!N96</f>
        <v>0</v>
      </c>
      <c r="AF96" s="179">
        <f>'Q (t)'!O96</f>
        <v>0</v>
      </c>
      <c r="AG96" s="178">
        <f>'Q (t)'!P96</f>
        <v>0</v>
      </c>
      <c r="AH96" s="178">
        <f>'Q (t)'!Q96</f>
        <v>0</v>
      </c>
      <c r="AI96" s="179">
        <f>'Q (t)'!R96</f>
        <v>0</v>
      </c>
      <c r="AJ96" s="184">
        <f>'Q (t)'!S96</f>
        <v>0</v>
      </c>
      <c r="AK96" s="178">
        <f>'Q (t)'!T96</f>
        <v>0</v>
      </c>
      <c r="AL96" s="184">
        <f>'Q (t)'!U96</f>
        <v>0</v>
      </c>
      <c r="AM96" s="179">
        <f>'Q (t)'!V96</f>
        <v>0</v>
      </c>
      <c r="AO96" s="183">
        <f t="shared" si="62"/>
        <v>0</v>
      </c>
      <c r="AP96" s="184">
        <f t="shared" si="63"/>
        <v>0</v>
      </c>
      <c r="AQ96" s="178">
        <f t="shared" si="63"/>
        <v>0</v>
      </c>
      <c r="AR96" s="178">
        <f t="shared" si="63"/>
        <v>0</v>
      </c>
      <c r="AS96" s="179">
        <f t="shared" si="63"/>
        <v>0</v>
      </c>
      <c r="AT96" s="178">
        <f t="shared" si="63"/>
        <v>0</v>
      </c>
      <c r="AU96" s="178">
        <f t="shared" si="63"/>
        <v>0</v>
      </c>
      <c r="AV96" s="178">
        <f t="shared" si="63"/>
        <v>0</v>
      </c>
      <c r="AW96" s="179">
        <f t="shared" si="63"/>
        <v>0</v>
      </c>
      <c r="AX96" s="178">
        <f t="shared" si="53"/>
        <v>0</v>
      </c>
      <c r="AY96" s="178">
        <f t="shared" si="54"/>
        <v>0</v>
      </c>
      <c r="AZ96" s="179">
        <f t="shared" si="55"/>
        <v>0</v>
      </c>
      <c r="BA96" s="184">
        <f t="shared" si="25"/>
        <v>0</v>
      </c>
      <c r="BB96" s="178">
        <f t="shared" si="25"/>
        <v>0</v>
      </c>
      <c r="BC96" s="184">
        <f t="shared" si="25"/>
        <v>0</v>
      </c>
      <c r="BD96" s="178">
        <f t="shared" si="25"/>
        <v>0</v>
      </c>
      <c r="BE96" s="244">
        <f t="shared" si="64"/>
        <v>0</v>
      </c>
      <c r="BF96" s="245">
        <f t="shared" si="65"/>
        <v>0</v>
      </c>
      <c r="BH96" s="255">
        <f t="shared" ref="BH96:BH103" si="69">SUM(AO96)</f>
        <v>0</v>
      </c>
      <c r="BI96" s="255">
        <f t="shared" ref="BI96:BI103" si="70">SUM(AP96:AS96)</f>
        <v>0</v>
      </c>
      <c r="BJ96" s="255">
        <f t="shared" ref="BJ96:BJ103" si="71">SUM(AT96:AW96)</f>
        <v>0</v>
      </c>
      <c r="BK96" s="256">
        <f t="shared" ref="BK96:BK103" si="72">SUM(AX96:BB96)</f>
        <v>0</v>
      </c>
      <c r="BL96" s="262">
        <f t="shared" ref="BL96:BL103" si="73">SUM(BC96:BD96)</f>
        <v>0</v>
      </c>
      <c r="BM96" s="257">
        <f t="shared" si="66"/>
        <v>0</v>
      </c>
      <c r="BO96" s="714" t="str">
        <f t="shared" si="67"/>
        <v/>
      </c>
    </row>
    <row r="97" spans="2:67" ht="15" customHeight="1" x14ac:dyDescent="0.25">
      <c r="B97" s="19">
        <f>1+B96</f>
        <v>2</v>
      </c>
      <c r="C97" s="44" t="s">
        <v>117</v>
      </c>
      <c r="D97" s="45"/>
      <c r="E97" s="105" t="s">
        <v>118</v>
      </c>
      <c r="G97" s="477">
        <f>SUM('DUoS (t)'!G97,'TUoS (t)'!G97,'JSO (t)'!G97)</f>
        <v>0</v>
      </c>
      <c r="H97" s="478">
        <f>SUM('DUoS (t)'!H97,'TUoS (t)'!H97,'JSO (t)'!H97)</f>
        <v>1.4E-2</v>
      </c>
      <c r="I97" s="461">
        <f>SUM('DUoS (t)'!I97,'TUoS (t)'!I97,'JSO (t)'!I97)</f>
        <v>0</v>
      </c>
      <c r="J97" s="461">
        <f>SUM('DUoS (t)'!J97,'TUoS (t)'!J97,'JSO (t)'!J97)</f>
        <v>0</v>
      </c>
      <c r="K97" s="462">
        <f>SUM('DUoS (t)'!K97,'TUoS (t)'!K97,'JSO (t)'!K97)</f>
        <v>0</v>
      </c>
      <c r="L97" s="461">
        <f>SUM('DUoS (t)'!L97,'TUoS (t)'!L97,'JSO (t)'!L97)</f>
        <v>0</v>
      </c>
      <c r="M97" s="461">
        <f>SUM('DUoS (t)'!M97,'TUoS (t)'!M97,'JSO (t)'!M97)</f>
        <v>0</v>
      </c>
      <c r="N97" s="461">
        <f>SUM('DUoS (t)'!N97,'TUoS (t)'!N97,'JSO (t)'!N97)</f>
        <v>0</v>
      </c>
      <c r="O97" s="462">
        <f>SUM('DUoS (t)'!O97,'TUoS (t)'!O97,'JSO (t)'!O97)</f>
        <v>0</v>
      </c>
      <c r="P97" s="461">
        <f>SUM('DUoS (t)'!P97,'TUoS (t)'!P97,'JSO (t)'!P97)</f>
        <v>0</v>
      </c>
      <c r="Q97" s="461">
        <f>SUM('DUoS (t)'!Q97,'TUoS (t)'!Q97,'JSO (t)'!Q97)</f>
        <v>0</v>
      </c>
      <c r="R97" s="462">
        <f>SUM('DUoS (t)'!R97,'TUoS (t)'!R97,'JSO (t)'!R97)</f>
        <v>0</v>
      </c>
      <c r="S97" s="478">
        <f>SUM('DUoS (t)'!S97,'TUoS (t)'!S97,'JSO (t)'!S97)</f>
        <v>0.15689999999999998</v>
      </c>
      <c r="T97" s="483">
        <f>SUM('DUoS (t)'!T97,'TUoS (t)'!T97,'JSO (t)'!T97)</f>
        <v>7.2700000000000001E-2</v>
      </c>
      <c r="U97" s="480">
        <f>SUM('DUoS (t)'!U97,'TUoS (t)'!U97,'JSO (t)'!U97)</f>
        <v>0</v>
      </c>
      <c r="V97" s="481">
        <f>SUM('DUoS (t)'!V97,'TUoS (t)'!V97,'JSO (t)'!V97)</f>
        <v>0</v>
      </c>
      <c r="X97" s="183">
        <f>'Q (t)'!G97</f>
        <v>365</v>
      </c>
      <c r="Y97" s="184">
        <f>'Q (t)'!H97</f>
        <v>17740</v>
      </c>
      <c r="Z97" s="178">
        <f>'Q (t)'!I97</f>
        <v>0</v>
      </c>
      <c r="AA97" s="178">
        <f>'Q (t)'!J97</f>
        <v>0</v>
      </c>
      <c r="AB97" s="179">
        <f>'Q (t)'!K97</f>
        <v>0</v>
      </c>
      <c r="AC97" s="178">
        <f>'Q (t)'!L97</f>
        <v>0</v>
      </c>
      <c r="AD97" s="178">
        <f>'Q (t)'!M97</f>
        <v>0</v>
      </c>
      <c r="AE97" s="178">
        <f>'Q (t)'!N97</f>
        <v>0</v>
      </c>
      <c r="AF97" s="179">
        <f>'Q (t)'!O97</f>
        <v>0</v>
      </c>
      <c r="AG97" s="178">
        <f>'Q (t)'!P97</f>
        <v>0</v>
      </c>
      <c r="AH97" s="178">
        <f>'Q (t)'!Q97</f>
        <v>0</v>
      </c>
      <c r="AI97" s="179">
        <f>'Q (t)'!R97</f>
        <v>0</v>
      </c>
      <c r="AJ97" s="184">
        <f>'Q (t)'!S97</f>
        <v>1421310</v>
      </c>
      <c r="AK97" s="178">
        <f>'Q (t)'!T97</f>
        <v>1825000</v>
      </c>
      <c r="AL97" s="184">
        <f>'Q (t)'!U97</f>
        <v>0</v>
      </c>
      <c r="AM97" s="179">
        <f>'Q (t)'!V97</f>
        <v>0</v>
      </c>
      <c r="AO97" s="183">
        <f t="shared" si="62"/>
        <v>0</v>
      </c>
      <c r="AP97" s="184">
        <f t="shared" ref="AP97:AW112" si="74">H97*Y97</f>
        <v>248.36</v>
      </c>
      <c r="AQ97" s="178">
        <f t="shared" si="74"/>
        <v>0</v>
      </c>
      <c r="AR97" s="178">
        <f t="shared" si="74"/>
        <v>0</v>
      </c>
      <c r="AS97" s="179">
        <f t="shared" si="74"/>
        <v>0</v>
      </c>
      <c r="AT97" s="178">
        <f t="shared" si="74"/>
        <v>0</v>
      </c>
      <c r="AU97" s="178">
        <f t="shared" si="74"/>
        <v>0</v>
      </c>
      <c r="AV97" s="178">
        <f t="shared" si="74"/>
        <v>0</v>
      </c>
      <c r="AW97" s="179">
        <f t="shared" si="74"/>
        <v>0</v>
      </c>
      <c r="AX97" s="178">
        <f t="shared" si="53"/>
        <v>0</v>
      </c>
      <c r="AY97" s="178">
        <f t="shared" si="54"/>
        <v>0</v>
      </c>
      <c r="AZ97" s="179">
        <f t="shared" si="55"/>
        <v>0</v>
      </c>
      <c r="BA97" s="184">
        <f t="shared" si="25"/>
        <v>223.00353899999999</v>
      </c>
      <c r="BB97" s="178">
        <f t="shared" si="25"/>
        <v>132.67750000000001</v>
      </c>
      <c r="BC97" s="184">
        <f t="shared" si="25"/>
        <v>0</v>
      </c>
      <c r="BD97" s="178">
        <f t="shared" si="25"/>
        <v>0</v>
      </c>
      <c r="BE97" s="244">
        <f t="shared" si="64"/>
        <v>1</v>
      </c>
      <c r="BF97" s="245">
        <f t="shared" si="65"/>
        <v>17740</v>
      </c>
      <c r="BH97" s="255">
        <f t="shared" si="69"/>
        <v>0</v>
      </c>
      <c r="BI97" s="255">
        <f t="shared" si="70"/>
        <v>248.36</v>
      </c>
      <c r="BJ97" s="255">
        <f t="shared" si="71"/>
        <v>0</v>
      </c>
      <c r="BK97" s="256">
        <f t="shared" si="72"/>
        <v>355.681039</v>
      </c>
      <c r="BL97" s="262">
        <f t="shared" si="73"/>
        <v>0</v>
      </c>
      <c r="BM97" s="257">
        <f t="shared" si="66"/>
        <v>604.04103899999996</v>
      </c>
      <c r="BO97" s="714">
        <f t="shared" si="67"/>
        <v>34.049663979706878</v>
      </c>
    </row>
    <row r="98" spans="2:67" ht="15" customHeight="1" x14ac:dyDescent="0.25">
      <c r="B98" s="19">
        <f t="shared" ref="B98:B129" si="75">B97+1</f>
        <v>3</v>
      </c>
      <c r="C98" s="44" t="s">
        <v>122</v>
      </c>
      <c r="D98" s="45"/>
      <c r="E98" s="105" t="s">
        <v>118</v>
      </c>
      <c r="G98" s="477">
        <f>SUM('DUoS (t)'!G98,'TUoS (t)'!G98,'JSO (t)'!G98)</f>
        <v>596.04660000000001</v>
      </c>
      <c r="H98" s="478">
        <f>SUM('DUoS (t)'!H98,'TUoS (t)'!H98,'JSO (t)'!H98)</f>
        <v>1.4E-2</v>
      </c>
      <c r="I98" s="461">
        <f>SUM('DUoS (t)'!I98,'TUoS (t)'!I98,'JSO (t)'!I98)</f>
        <v>0</v>
      </c>
      <c r="J98" s="461">
        <f>SUM('DUoS (t)'!J98,'TUoS (t)'!J98,'JSO (t)'!J98)</f>
        <v>0</v>
      </c>
      <c r="K98" s="462">
        <f>SUM('DUoS (t)'!K98,'TUoS (t)'!K98,'JSO (t)'!K98)</f>
        <v>0</v>
      </c>
      <c r="L98" s="461">
        <f>SUM('DUoS (t)'!L98,'TUoS (t)'!L98,'JSO (t)'!L98)</f>
        <v>0</v>
      </c>
      <c r="M98" s="461">
        <f>SUM('DUoS (t)'!M98,'TUoS (t)'!M98,'JSO (t)'!M98)</f>
        <v>0</v>
      </c>
      <c r="N98" s="461">
        <f>SUM('DUoS (t)'!N98,'TUoS (t)'!N98,'JSO (t)'!N98)</f>
        <v>0</v>
      </c>
      <c r="O98" s="462">
        <f>SUM('DUoS (t)'!O98,'TUoS (t)'!O98,'JSO (t)'!O98)</f>
        <v>0</v>
      </c>
      <c r="P98" s="461">
        <f>SUM('DUoS (t)'!P98,'TUoS (t)'!P98,'JSO (t)'!P98)</f>
        <v>0</v>
      </c>
      <c r="Q98" s="461">
        <f>SUM('DUoS (t)'!Q98,'TUoS (t)'!Q98,'JSO (t)'!Q98)</f>
        <v>0</v>
      </c>
      <c r="R98" s="462">
        <f>SUM('DUoS (t)'!R98,'TUoS (t)'!R98,'JSO (t)'!R98)</f>
        <v>0</v>
      </c>
      <c r="S98" s="478">
        <f>SUM('DUoS (t)'!S98,'TUoS (t)'!S98,'JSO (t)'!S98)</f>
        <v>0.15689999999999998</v>
      </c>
      <c r="T98" s="483">
        <f>SUM('DUoS (t)'!T98,'TUoS (t)'!T98,'JSO (t)'!T98)</f>
        <v>7.2700000000000001E-2</v>
      </c>
      <c r="U98" s="480">
        <f>SUM('DUoS (t)'!U98,'TUoS (t)'!U98,'JSO (t)'!U98)</f>
        <v>0</v>
      </c>
      <c r="V98" s="481">
        <f>SUM('DUoS (t)'!V98,'TUoS (t)'!V98,'JSO (t)'!V98)</f>
        <v>0</v>
      </c>
      <c r="X98" s="183">
        <f>'Q (t)'!G98</f>
        <v>365</v>
      </c>
      <c r="Y98" s="184">
        <f>'Q (t)'!H98</f>
        <v>24440</v>
      </c>
      <c r="Z98" s="178">
        <f>'Q (t)'!I98</f>
        <v>0</v>
      </c>
      <c r="AA98" s="178">
        <f>'Q (t)'!J98</f>
        <v>0</v>
      </c>
      <c r="AB98" s="179">
        <f>'Q (t)'!K98</f>
        <v>0</v>
      </c>
      <c r="AC98" s="178">
        <f>'Q (t)'!L98</f>
        <v>0</v>
      </c>
      <c r="AD98" s="178">
        <f>'Q (t)'!M98</f>
        <v>0</v>
      </c>
      <c r="AE98" s="178">
        <f>'Q (t)'!N98</f>
        <v>0</v>
      </c>
      <c r="AF98" s="179">
        <f>'Q (t)'!O98</f>
        <v>0</v>
      </c>
      <c r="AG98" s="178">
        <f>'Q (t)'!P98</f>
        <v>0</v>
      </c>
      <c r="AH98" s="178">
        <f>'Q (t)'!Q98</f>
        <v>0</v>
      </c>
      <c r="AI98" s="179">
        <f>'Q (t)'!R98</f>
        <v>0</v>
      </c>
      <c r="AJ98" s="184">
        <f>'Q (t)'!S98</f>
        <v>1469855</v>
      </c>
      <c r="AK98" s="178">
        <f>'Q (t)'!T98</f>
        <v>1825000</v>
      </c>
      <c r="AL98" s="184">
        <f>'Q (t)'!U98</f>
        <v>0</v>
      </c>
      <c r="AM98" s="179">
        <f>'Q (t)'!V98</f>
        <v>0</v>
      </c>
      <c r="AO98" s="183">
        <f t="shared" si="62"/>
        <v>217.55700899999999</v>
      </c>
      <c r="AP98" s="184">
        <f t="shared" si="74"/>
        <v>342.16</v>
      </c>
      <c r="AQ98" s="178">
        <f t="shared" si="74"/>
        <v>0</v>
      </c>
      <c r="AR98" s="178">
        <f t="shared" si="74"/>
        <v>0</v>
      </c>
      <c r="AS98" s="179">
        <f t="shared" si="74"/>
        <v>0</v>
      </c>
      <c r="AT98" s="178">
        <f t="shared" si="74"/>
        <v>0</v>
      </c>
      <c r="AU98" s="178">
        <f t="shared" si="74"/>
        <v>0</v>
      </c>
      <c r="AV98" s="178">
        <f t="shared" si="74"/>
        <v>0</v>
      </c>
      <c r="AW98" s="179">
        <f t="shared" si="74"/>
        <v>0</v>
      </c>
      <c r="AX98" s="178">
        <f t="shared" si="53"/>
        <v>0</v>
      </c>
      <c r="AY98" s="178">
        <f t="shared" si="54"/>
        <v>0</v>
      </c>
      <c r="AZ98" s="179">
        <f t="shared" si="55"/>
        <v>0</v>
      </c>
      <c r="BA98" s="184">
        <f t="shared" si="25"/>
        <v>230.62024949999997</v>
      </c>
      <c r="BB98" s="178">
        <f t="shared" si="25"/>
        <v>132.67750000000001</v>
      </c>
      <c r="BC98" s="184">
        <f t="shared" si="25"/>
        <v>0</v>
      </c>
      <c r="BD98" s="178">
        <f t="shared" si="25"/>
        <v>0</v>
      </c>
      <c r="BE98" s="244">
        <f>X98/$BE$7</f>
        <v>1</v>
      </c>
      <c r="BF98" s="245">
        <f t="shared" si="65"/>
        <v>24440</v>
      </c>
      <c r="BH98" s="255">
        <f t="shared" si="69"/>
        <v>217.55700899999999</v>
      </c>
      <c r="BI98" s="255">
        <f t="shared" si="70"/>
        <v>342.16</v>
      </c>
      <c r="BJ98" s="255">
        <f t="shared" si="71"/>
        <v>0</v>
      </c>
      <c r="BK98" s="256">
        <f t="shared" si="72"/>
        <v>363.29774950000001</v>
      </c>
      <c r="BL98" s="262">
        <f t="shared" si="73"/>
        <v>0</v>
      </c>
      <c r="BM98" s="257">
        <f>SUM(BH98:BL98)</f>
        <v>923.01475849999997</v>
      </c>
      <c r="BO98" s="714">
        <f t="shared" si="67"/>
        <v>37.766561313420624</v>
      </c>
    </row>
    <row r="99" spans="2:67" ht="15" customHeight="1" x14ac:dyDescent="0.25">
      <c r="B99" s="19">
        <f t="shared" si="75"/>
        <v>4</v>
      </c>
      <c r="C99" s="44" t="s">
        <v>123</v>
      </c>
      <c r="D99" s="45"/>
      <c r="E99" s="105" t="s">
        <v>118</v>
      </c>
      <c r="G99" s="477">
        <f>SUM('DUoS (t)'!G99,'TUoS (t)'!G99,'JSO (t)'!G99)</f>
        <v>0</v>
      </c>
      <c r="H99" s="478">
        <f>SUM('DUoS (t)'!H99,'TUoS (t)'!H99,'JSO (t)'!H99)</f>
        <v>1.4E-2</v>
      </c>
      <c r="I99" s="461">
        <f>SUM('DUoS (t)'!I99,'TUoS (t)'!I99,'JSO (t)'!I99)</f>
        <v>0</v>
      </c>
      <c r="J99" s="461">
        <f>SUM('DUoS (t)'!J99,'TUoS (t)'!J99,'JSO (t)'!J99)</f>
        <v>0</v>
      </c>
      <c r="K99" s="462">
        <f>SUM('DUoS (t)'!K99,'TUoS (t)'!K99,'JSO (t)'!K99)</f>
        <v>0</v>
      </c>
      <c r="L99" s="461">
        <f>SUM('DUoS (t)'!L99,'TUoS (t)'!L99,'JSO (t)'!L99)</f>
        <v>0</v>
      </c>
      <c r="M99" s="461">
        <f>SUM('DUoS (t)'!M99,'TUoS (t)'!M99,'JSO (t)'!M99)</f>
        <v>0</v>
      </c>
      <c r="N99" s="461">
        <f>SUM('DUoS (t)'!N99,'TUoS (t)'!N99,'JSO (t)'!N99)</f>
        <v>0</v>
      </c>
      <c r="O99" s="462">
        <f>SUM('DUoS (t)'!O99,'TUoS (t)'!O99,'JSO (t)'!O99)</f>
        <v>0</v>
      </c>
      <c r="P99" s="461">
        <f>SUM('DUoS (t)'!P99,'TUoS (t)'!P99,'JSO (t)'!P99)</f>
        <v>0</v>
      </c>
      <c r="Q99" s="461">
        <f>SUM('DUoS (t)'!Q99,'TUoS (t)'!Q99,'JSO (t)'!Q99)</f>
        <v>0</v>
      </c>
      <c r="R99" s="462">
        <f>SUM('DUoS (t)'!R99,'TUoS (t)'!R99,'JSO (t)'!R99)</f>
        <v>0</v>
      </c>
      <c r="S99" s="478">
        <f>SUM('DUoS (t)'!S99,'TUoS (t)'!S99,'JSO (t)'!S99)</f>
        <v>0.15689999999999998</v>
      </c>
      <c r="T99" s="483">
        <f>SUM('DUoS (t)'!T99,'TUoS (t)'!T99,'JSO (t)'!T99)</f>
        <v>7.2700000000000001E-2</v>
      </c>
      <c r="U99" s="480">
        <f>SUM('DUoS (t)'!U99,'TUoS (t)'!U99,'JSO (t)'!U99)</f>
        <v>0</v>
      </c>
      <c r="V99" s="481">
        <f>SUM('DUoS (t)'!V99,'TUoS (t)'!V99,'JSO (t)'!V99)</f>
        <v>0</v>
      </c>
      <c r="X99" s="183">
        <f>'Q (t)'!G99</f>
        <v>365</v>
      </c>
      <c r="Y99" s="184">
        <f>'Q (t)'!H99</f>
        <v>11380</v>
      </c>
      <c r="Z99" s="178">
        <f>'Q (t)'!I99</f>
        <v>0</v>
      </c>
      <c r="AA99" s="178">
        <f>'Q (t)'!J99</f>
        <v>0</v>
      </c>
      <c r="AB99" s="179">
        <f>'Q (t)'!K99</f>
        <v>0</v>
      </c>
      <c r="AC99" s="178">
        <f>'Q (t)'!L99</f>
        <v>0</v>
      </c>
      <c r="AD99" s="178">
        <f>'Q (t)'!M99</f>
        <v>0</v>
      </c>
      <c r="AE99" s="178">
        <f>'Q (t)'!N99</f>
        <v>0</v>
      </c>
      <c r="AF99" s="179">
        <f>'Q (t)'!O99</f>
        <v>0</v>
      </c>
      <c r="AG99" s="178">
        <f>'Q (t)'!P99</f>
        <v>0</v>
      </c>
      <c r="AH99" s="178">
        <f>'Q (t)'!Q99</f>
        <v>0</v>
      </c>
      <c r="AI99" s="179">
        <f>'Q (t)'!R99</f>
        <v>0</v>
      </c>
      <c r="AJ99" s="184">
        <f>'Q (t)'!S99</f>
        <v>858480</v>
      </c>
      <c r="AK99" s="178">
        <f>'Q (t)'!T99</f>
        <v>1825000</v>
      </c>
      <c r="AL99" s="184">
        <f>'Q (t)'!U99</f>
        <v>0</v>
      </c>
      <c r="AM99" s="179">
        <f>'Q (t)'!V99</f>
        <v>0</v>
      </c>
      <c r="AO99" s="183">
        <f t="shared" si="62"/>
        <v>0</v>
      </c>
      <c r="AP99" s="184">
        <f t="shared" si="74"/>
        <v>159.32</v>
      </c>
      <c r="AQ99" s="178">
        <f t="shared" si="74"/>
        <v>0</v>
      </c>
      <c r="AR99" s="178">
        <f t="shared" si="74"/>
        <v>0</v>
      </c>
      <c r="AS99" s="179">
        <f t="shared" si="74"/>
        <v>0</v>
      </c>
      <c r="AT99" s="178">
        <f t="shared" si="74"/>
        <v>0</v>
      </c>
      <c r="AU99" s="178">
        <f t="shared" si="74"/>
        <v>0</v>
      </c>
      <c r="AV99" s="178">
        <f t="shared" si="74"/>
        <v>0</v>
      </c>
      <c r="AW99" s="179">
        <f t="shared" si="74"/>
        <v>0</v>
      </c>
      <c r="AX99" s="178">
        <f t="shared" si="53"/>
        <v>0</v>
      </c>
      <c r="AY99" s="178">
        <f t="shared" si="54"/>
        <v>0</v>
      </c>
      <c r="AZ99" s="179">
        <f t="shared" si="55"/>
        <v>0</v>
      </c>
      <c r="BA99" s="184">
        <f t="shared" si="25"/>
        <v>134.69551199999998</v>
      </c>
      <c r="BB99" s="178">
        <f t="shared" si="25"/>
        <v>132.67750000000001</v>
      </c>
      <c r="BC99" s="184">
        <f t="shared" si="25"/>
        <v>0</v>
      </c>
      <c r="BD99" s="178">
        <f t="shared" si="25"/>
        <v>0</v>
      </c>
      <c r="BE99" s="244">
        <f>X99/$BE$7</f>
        <v>1</v>
      </c>
      <c r="BF99" s="245">
        <f t="shared" si="65"/>
        <v>11380</v>
      </c>
      <c r="BH99" s="255">
        <f t="shared" si="69"/>
        <v>0</v>
      </c>
      <c r="BI99" s="255">
        <f t="shared" si="70"/>
        <v>159.32</v>
      </c>
      <c r="BJ99" s="255">
        <f t="shared" si="71"/>
        <v>0</v>
      </c>
      <c r="BK99" s="256">
        <f t="shared" si="72"/>
        <v>267.37301200000002</v>
      </c>
      <c r="BL99" s="262">
        <f t="shared" si="73"/>
        <v>0</v>
      </c>
      <c r="BM99" s="257">
        <f>SUM(BH99:BL99)</f>
        <v>426.69301200000001</v>
      </c>
      <c r="BO99" s="714">
        <f t="shared" si="67"/>
        <v>37.494992267135324</v>
      </c>
    </row>
    <row r="100" spans="2:67" ht="15" customHeight="1" x14ac:dyDescent="0.25">
      <c r="B100" s="19">
        <f t="shared" si="75"/>
        <v>5</v>
      </c>
      <c r="C100" s="44" t="s">
        <v>119</v>
      </c>
      <c r="D100" s="45"/>
      <c r="E100" s="105" t="s">
        <v>118</v>
      </c>
      <c r="G100" s="477">
        <f>SUM('DUoS (t)'!G100,'TUoS (t)'!G100,'JSO (t)'!G100)</f>
        <v>955</v>
      </c>
      <c r="H100" s="478">
        <f>SUM('DUoS (t)'!H100,'TUoS (t)'!H100,'JSO (t)'!H100)</f>
        <v>1.4E-2</v>
      </c>
      <c r="I100" s="461">
        <f>SUM('DUoS (t)'!I100,'TUoS (t)'!I100,'JSO (t)'!I100)</f>
        <v>0</v>
      </c>
      <c r="J100" s="461">
        <f>SUM('DUoS (t)'!J100,'TUoS (t)'!J100,'JSO (t)'!J100)</f>
        <v>0</v>
      </c>
      <c r="K100" s="462">
        <f>SUM('DUoS (t)'!K100,'TUoS (t)'!K100,'JSO (t)'!K100)</f>
        <v>0</v>
      </c>
      <c r="L100" s="461">
        <f>SUM('DUoS (t)'!L100,'TUoS (t)'!L100,'JSO (t)'!L100)</f>
        <v>0</v>
      </c>
      <c r="M100" s="461">
        <f>SUM('DUoS (t)'!M100,'TUoS (t)'!M100,'JSO (t)'!M100)</f>
        <v>0</v>
      </c>
      <c r="N100" s="461">
        <f>SUM('DUoS (t)'!N100,'TUoS (t)'!N100,'JSO (t)'!N100)</f>
        <v>0</v>
      </c>
      <c r="O100" s="462">
        <f>SUM('DUoS (t)'!O100,'TUoS (t)'!O100,'JSO (t)'!O100)</f>
        <v>0</v>
      </c>
      <c r="P100" s="461">
        <f>SUM('DUoS (t)'!P100,'TUoS (t)'!P100,'JSO (t)'!P100)</f>
        <v>0</v>
      </c>
      <c r="Q100" s="461">
        <f>SUM('DUoS (t)'!Q100,'TUoS (t)'!Q100,'JSO (t)'!Q100)</f>
        <v>0</v>
      </c>
      <c r="R100" s="462">
        <f>SUM('DUoS (t)'!R100,'TUoS (t)'!R100,'JSO (t)'!R100)</f>
        <v>0</v>
      </c>
      <c r="S100" s="478">
        <f>SUM('DUoS (t)'!S100,'TUoS (t)'!S100,'JSO (t)'!S100)</f>
        <v>0.15689999999999998</v>
      </c>
      <c r="T100" s="483">
        <f>SUM('DUoS (t)'!T100,'TUoS (t)'!T100,'JSO (t)'!T100)</f>
        <v>7.2700000000000001E-2</v>
      </c>
      <c r="U100" s="480">
        <f>SUM('DUoS (t)'!U100,'TUoS (t)'!U100,'JSO (t)'!U100)</f>
        <v>0</v>
      </c>
      <c r="V100" s="481">
        <f>SUM('DUoS (t)'!V100,'TUoS (t)'!V100,'JSO (t)'!V100)</f>
        <v>0</v>
      </c>
      <c r="X100" s="183">
        <f>'Q (t)'!G100</f>
        <v>365</v>
      </c>
      <c r="Y100" s="184">
        <f>'Q (t)'!H100</f>
        <v>25030</v>
      </c>
      <c r="Z100" s="178">
        <f>'Q (t)'!I100</f>
        <v>0</v>
      </c>
      <c r="AA100" s="178">
        <f>'Q (t)'!J100</f>
        <v>0</v>
      </c>
      <c r="AB100" s="179">
        <f>'Q (t)'!K100</f>
        <v>0</v>
      </c>
      <c r="AC100" s="178">
        <f>'Q (t)'!L100</f>
        <v>0</v>
      </c>
      <c r="AD100" s="178">
        <f>'Q (t)'!M100</f>
        <v>0</v>
      </c>
      <c r="AE100" s="178">
        <f>'Q (t)'!N100</f>
        <v>0</v>
      </c>
      <c r="AF100" s="179">
        <f>'Q (t)'!O100</f>
        <v>0</v>
      </c>
      <c r="AG100" s="178">
        <f>'Q (t)'!P100</f>
        <v>0</v>
      </c>
      <c r="AH100" s="178">
        <f>'Q (t)'!Q100</f>
        <v>0</v>
      </c>
      <c r="AI100" s="179">
        <f>'Q (t)'!R100</f>
        <v>0</v>
      </c>
      <c r="AJ100" s="184">
        <f>'Q (t)'!S100</f>
        <v>2326145</v>
      </c>
      <c r="AK100" s="178">
        <f>'Q (t)'!T100</f>
        <v>2562665</v>
      </c>
      <c r="AL100" s="184">
        <f>'Q (t)'!U100</f>
        <v>0</v>
      </c>
      <c r="AM100" s="179">
        <f>'Q (t)'!V100</f>
        <v>0</v>
      </c>
      <c r="AO100" s="183">
        <f t="shared" si="62"/>
        <v>348.57499999999999</v>
      </c>
      <c r="AP100" s="184">
        <f t="shared" si="74"/>
        <v>350.42</v>
      </c>
      <c r="AQ100" s="178">
        <f t="shared" si="74"/>
        <v>0</v>
      </c>
      <c r="AR100" s="178">
        <f t="shared" si="74"/>
        <v>0</v>
      </c>
      <c r="AS100" s="179">
        <f t="shared" si="74"/>
        <v>0</v>
      </c>
      <c r="AT100" s="178">
        <f t="shared" si="74"/>
        <v>0</v>
      </c>
      <c r="AU100" s="178">
        <f t="shared" si="74"/>
        <v>0</v>
      </c>
      <c r="AV100" s="178">
        <f t="shared" si="74"/>
        <v>0</v>
      </c>
      <c r="AW100" s="179">
        <f t="shared" si="74"/>
        <v>0</v>
      </c>
      <c r="AX100" s="178">
        <f t="shared" si="53"/>
        <v>0</v>
      </c>
      <c r="AY100" s="178">
        <f t="shared" si="54"/>
        <v>0</v>
      </c>
      <c r="AZ100" s="179">
        <f t="shared" si="55"/>
        <v>0</v>
      </c>
      <c r="BA100" s="184">
        <f t="shared" si="25"/>
        <v>364.9721505</v>
      </c>
      <c r="BB100" s="178">
        <f t="shared" si="25"/>
        <v>186.3057455</v>
      </c>
      <c r="BC100" s="184">
        <f t="shared" si="25"/>
        <v>0</v>
      </c>
      <c r="BD100" s="178">
        <f t="shared" si="25"/>
        <v>0</v>
      </c>
      <c r="BE100" s="244">
        <f t="shared" si="64"/>
        <v>1</v>
      </c>
      <c r="BF100" s="245">
        <f t="shared" si="65"/>
        <v>25030</v>
      </c>
      <c r="BH100" s="255">
        <f t="shared" si="69"/>
        <v>348.57499999999999</v>
      </c>
      <c r="BI100" s="255">
        <f t="shared" si="70"/>
        <v>350.42</v>
      </c>
      <c r="BJ100" s="255">
        <f t="shared" si="71"/>
        <v>0</v>
      </c>
      <c r="BK100" s="256">
        <f t="shared" si="72"/>
        <v>551.27789600000006</v>
      </c>
      <c r="BL100" s="262">
        <f t="shared" si="73"/>
        <v>0</v>
      </c>
      <c r="BM100" s="257">
        <f t="shared" si="66"/>
        <v>1250.2728959999999</v>
      </c>
      <c r="BO100" s="714">
        <f t="shared" si="67"/>
        <v>49.950974670395524</v>
      </c>
    </row>
    <row r="101" spans="2:67" ht="15" customHeight="1" x14ac:dyDescent="0.25">
      <c r="B101" s="19">
        <f t="shared" si="75"/>
        <v>6</v>
      </c>
      <c r="C101" s="44" t="s">
        <v>708</v>
      </c>
      <c r="D101" s="45"/>
      <c r="E101" s="105" t="s">
        <v>118</v>
      </c>
      <c r="G101" s="477">
        <f>SUM('DUoS (t)'!G101,'TUoS (t)'!G101,'JSO (t)'!G101)</f>
        <v>547.94520547945206</v>
      </c>
      <c r="H101" s="478">
        <f>SUM('DUoS (t)'!H101,'TUoS (t)'!H101,'JSO (t)'!H101)</f>
        <v>1.4E-2</v>
      </c>
      <c r="I101" s="461">
        <f>SUM('DUoS (t)'!I101,'TUoS (t)'!I101,'JSO (t)'!I101)</f>
        <v>0</v>
      </c>
      <c r="J101" s="461">
        <f>SUM('DUoS (t)'!J101,'TUoS (t)'!J101,'JSO (t)'!J101)</f>
        <v>0</v>
      </c>
      <c r="K101" s="462">
        <f>SUM('DUoS (t)'!K101,'TUoS (t)'!K101,'JSO (t)'!K101)</f>
        <v>0</v>
      </c>
      <c r="L101" s="461">
        <f>SUM('DUoS (t)'!L101,'TUoS (t)'!L101,'JSO (t)'!L101)</f>
        <v>0</v>
      </c>
      <c r="M101" s="461">
        <f>SUM('DUoS (t)'!M101,'TUoS (t)'!M101,'JSO (t)'!M101)</f>
        <v>0</v>
      </c>
      <c r="N101" s="461">
        <f>SUM('DUoS (t)'!N101,'TUoS (t)'!N101,'JSO (t)'!N101)</f>
        <v>0</v>
      </c>
      <c r="O101" s="462">
        <f>SUM('DUoS (t)'!O101,'TUoS (t)'!O101,'JSO (t)'!O101)</f>
        <v>0</v>
      </c>
      <c r="P101" s="461">
        <f>SUM('DUoS (t)'!P101,'TUoS (t)'!P101,'JSO (t)'!P101)</f>
        <v>0</v>
      </c>
      <c r="Q101" s="461">
        <f>SUM('DUoS (t)'!Q101,'TUoS (t)'!Q101,'JSO (t)'!Q101)</f>
        <v>0</v>
      </c>
      <c r="R101" s="462">
        <f>SUM('DUoS (t)'!R101,'TUoS (t)'!R101,'JSO (t)'!R101)</f>
        <v>0</v>
      </c>
      <c r="S101" s="478">
        <f>SUM('DUoS (t)'!S101,'TUoS (t)'!S101,'JSO (t)'!S101)</f>
        <v>0.15689999999999998</v>
      </c>
      <c r="T101" s="483">
        <f>SUM('DUoS (t)'!T101,'TUoS (t)'!T101,'JSO (t)'!T101)</f>
        <v>7.2700000000000001E-2</v>
      </c>
      <c r="U101" s="480">
        <f>SUM('DUoS (t)'!U101,'TUoS (t)'!U101,'JSO (t)'!U101)</f>
        <v>0</v>
      </c>
      <c r="V101" s="481">
        <f>SUM('DUoS (t)'!V101,'TUoS (t)'!V101,'JSO (t)'!V101)</f>
        <v>0</v>
      </c>
      <c r="X101" s="183">
        <f>'Q (t)'!G101</f>
        <v>365</v>
      </c>
      <c r="Y101" s="184">
        <f>'Q (t)'!H101</f>
        <v>11592</v>
      </c>
      <c r="Z101" s="178">
        <f>'Q (t)'!I101</f>
        <v>0</v>
      </c>
      <c r="AA101" s="178">
        <f>'Q (t)'!J101</f>
        <v>0</v>
      </c>
      <c r="AB101" s="179">
        <f>'Q (t)'!K101</f>
        <v>0</v>
      </c>
      <c r="AC101" s="178">
        <f>'Q (t)'!L101</f>
        <v>0</v>
      </c>
      <c r="AD101" s="178">
        <f>'Q (t)'!M101</f>
        <v>0</v>
      </c>
      <c r="AE101" s="178">
        <f>'Q (t)'!N101</f>
        <v>0</v>
      </c>
      <c r="AF101" s="179">
        <f>'Q (t)'!O101</f>
        <v>0</v>
      </c>
      <c r="AG101" s="178">
        <f>'Q (t)'!P101</f>
        <v>0</v>
      </c>
      <c r="AH101" s="178">
        <f>'Q (t)'!Q101</f>
        <v>0</v>
      </c>
      <c r="AI101" s="179">
        <f>'Q (t)'!R101</f>
        <v>0</v>
      </c>
      <c r="AJ101" s="184">
        <f>'Q (t)'!S101</f>
        <v>1096825</v>
      </c>
      <c r="AK101" s="178">
        <f>'Q (t)'!T101</f>
        <v>1825000</v>
      </c>
      <c r="AL101" s="184">
        <f>'Q (t)'!U101</f>
        <v>0</v>
      </c>
      <c r="AM101" s="179">
        <f>'Q (t)'!V101</f>
        <v>0</v>
      </c>
      <c r="AO101" s="183">
        <f>G101*X101/1000</f>
        <v>200</v>
      </c>
      <c r="AP101" s="184">
        <f t="shared" ref="AP101:AW101" si="76">H101*Y101</f>
        <v>162.28800000000001</v>
      </c>
      <c r="AQ101" s="178">
        <f t="shared" si="76"/>
        <v>0</v>
      </c>
      <c r="AR101" s="178">
        <f t="shared" si="76"/>
        <v>0</v>
      </c>
      <c r="AS101" s="179">
        <f t="shared" si="76"/>
        <v>0</v>
      </c>
      <c r="AT101" s="178">
        <f t="shared" si="76"/>
        <v>0</v>
      </c>
      <c r="AU101" s="178">
        <f t="shared" si="76"/>
        <v>0</v>
      </c>
      <c r="AV101" s="178">
        <f t="shared" si="76"/>
        <v>0</v>
      </c>
      <c r="AW101" s="179">
        <f t="shared" si="76"/>
        <v>0</v>
      </c>
      <c r="AX101" s="178">
        <f t="shared" si="53"/>
        <v>0</v>
      </c>
      <c r="AY101" s="178">
        <f t="shared" si="54"/>
        <v>0</v>
      </c>
      <c r="AZ101" s="179">
        <f t="shared" si="55"/>
        <v>0</v>
      </c>
      <c r="BA101" s="184">
        <f>S101*AJ101/1000</f>
        <v>172.09184249999996</v>
      </c>
      <c r="BB101" s="178">
        <f>T101*AK101/1000</f>
        <v>132.67750000000001</v>
      </c>
      <c r="BC101" s="184">
        <f>U101*AL101/1000</f>
        <v>0</v>
      </c>
      <c r="BD101" s="178">
        <f>V101*AM101/1000</f>
        <v>0</v>
      </c>
      <c r="BE101" s="244">
        <f>X101/$BE$7</f>
        <v>1</v>
      </c>
      <c r="BF101" s="245">
        <f>SUM(Y101:AF101)</f>
        <v>11592</v>
      </c>
      <c r="BH101" s="255">
        <f>SUM(AO101)</f>
        <v>200</v>
      </c>
      <c r="BI101" s="255">
        <f>SUM(AP101:AS101)</f>
        <v>162.28800000000001</v>
      </c>
      <c r="BJ101" s="255">
        <f>SUM(AT101:AW101)</f>
        <v>0</v>
      </c>
      <c r="BK101" s="256">
        <f>SUM(AX101:BB101)</f>
        <v>304.76934249999999</v>
      </c>
      <c r="BL101" s="262">
        <f>SUM(BC101:BD101)</f>
        <v>0</v>
      </c>
      <c r="BM101" s="257">
        <f>SUM(BH101:BL101)</f>
        <v>667.0573425</v>
      </c>
      <c r="BO101" s="714">
        <f>IF(BF101=0,"",BM101*1000/BF101)</f>
        <v>57.544629270186341</v>
      </c>
    </row>
    <row r="102" spans="2:67" ht="15" customHeight="1" x14ac:dyDescent="0.25">
      <c r="B102" s="19">
        <f t="shared" si="75"/>
        <v>7</v>
      </c>
      <c r="C102" s="44" t="s">
        <v>120</v>
      </c>
      <c r="D102" s="45"/>
      <c r="E102" s="105" t="s">
        <v>118</v>
      </c>
      <c r="G102" s="477">
        <f>SUM('DUoS (t)'!G102,'TUoS (t)'!G102,'JSO (t)'!G102)</f>
        <v>0</v>
      </c>
      <c r="H102" s="478">
        <f>SUM('DUoS (t)'!H102,'TUoS (t)'!H102,'JSO (t)'!H102)</f>
        <v>1.4E-2</v>
      </c>
      <c r="I102" s="461">
        <f>SUM('DUoS (t)'!I102,'TUoS (t)'!I102,'JSO (t)'!I102)</f>
        <v>0</v>
      </c>
      <c r="J102" s="461">
        <f>SUM('DUoS (t)'!J102,'TUoS (t)'!J102,'JSO (t)'!J102)</f>
        <v>0</v>
      </c>
      <c r="K102" s="462">
        <f>SUM('DUoS (t)'!K102,'TUoS (t)'!K102,'JSO (t)'!K102)</f>
        <v>0</v>
      </c>
      <c r="L102" s="461">
        <f>SUM('DUoS (t)'!L102,'TUoS (t)'!L102,'JSO (t)'!L102)</f>
        <v>0</v>
      </c>
      <c r="M102" s="461">
        <f>SUM('DUoS (t)'!M102,'TUoS (t)'!M102,'JSO (t)'!M102)</f>
        <v>0</v>
      </c>
      <c r="N102" s="461">
        <f>SUM('DUoS (t)'!N102,'TUoS (t)'!N102,'JSO (t)'!N102)</f>
        <v>0</v>
      </c>
      <c r="O102" s="462">
        <f>SUM('DUoS (t)'!O102,'TUoS (t)'!O102,'JSO (t)'!O102)</f>
        <v>0</v>
      </c>
      <c r="P102" s="461">
        <f>SUM('DUoS (t)'!P102,'TUoS (t)'!P102,'JSO (t)'!P102)</f>
        <v>0</v>
      </c>
      <c r="Q102" s="461">
        <f>SUM('DUoS (t)'!Q102,'TUoS (t)'!Q102,'JSO (t)'!Q102)</f>
        <v>0</v>
      </c>
      <c r="R102" s="462">
        <f>SUM('DUoS (t)'!R102,'TUoS (t)'!R102,'JSO (t)'!R102)</f>
        <v>0</v>
      </c>
      <c r="S102" s="478">
        <f>SUM('DUoS (t)'!S102,'TUoS (t)'!S102,'JSO (t)'!S102)</f>
        <v>0.15689999999999998</v>
      </c>
      <c r="T102" s="483">
        <f>SUM('DUoS (t)'!T102,'TUoS (t)'!T102,'JSO (t)'!T102)</f>
        <v>7.2700000000000001E-2</v>
      </c>
      <c r="U102" s="480">
        <f>SUM('DUoS (t)'!U102,'TUoS (t)'!U102,'JSO (t)'!U102)</f>
        <v>0</v>
      </c>
      <c r="V102" s="481">
        <f>SUM('DUoS (t)'!V102,'TUoS (t)'!V102,'JSO (t)'!V102)</f>
        <v>0</v>
      </c>
      <c r="X102" s="183">
        <f>'Q (t)'!G102</f>
        <v>365</v>
      </c>
      <c r="Y102" s="184">
        <f>'Q (t)'!H102</f>
        <v>2960</v>
      </c>
      <c r="Z102" s="178">
        <f>'Q (t)'!I102</f>
        <v>0</v>
      </c>
      <c r="AA102" s="178">
        <f>'Q (t)'!J102</f>
        <v>0</v>
      </c>
      <c r="AB102" s="179">
        <f>'Q (t)'!K102</f>
        <v>0</v>
      </c>
      <c r="AC102" s="178">
        <f>'Q (t)'!L102</f>
        <v>0</v>
      </c>
      <c r="AD102" s="178">
        <f>'Q (t)'!M102</f>
        <v>0</v>
      </c>
      <c r="AE102" s="178">
        <f>'Q (t)'!N102</f>
        <v>0</v>
      </c>
      <c r="AF102" s="179">
        <f>'Q (t)'!O102</f>
        <v>0</v>
      </c>
      <c r="AG102" s="178">
        <f>'Q (t)'!P102</f>
        <v>0</v>
      </c>
      <c r="AH102" s="178">
        <f>'Q (t)'!Q102</f>
        <v>0</v>
      </c>
      <c r="AI102" s="179">
        <f>'Q (t)'!R102</f>
        <v>0</v>
      </c>
      <c r="AJ102" s="184">
        <f>'Q (t)'!S102</f>
        <v>1301225</v>
      </c>
      <c r="AK102" s="178">
        <f>'Q (t)'!T102</f>
        <v>1928660</v>
      </c>
      <c r="AL102" s="184">
        <f>'Q (t)'!U102</f>
        <v>0</v>
      </c>
      <c r="AM102" s="179">
        <f>'Q (t)'!V102</f>
        <v>0</v>
      </c>
      <c r="AO102" s="183">
        <f t="shared" si="62"/>
        <v>0</v>
      </c>
      <c r="AP102" s="184">
        <f t="shared" si="74"/>
        <v>41.44</v>
      </c>
      <c r="AQ102" s="178">
        <f t="shared" si="74"/>
        <v>0</v>
      </c>
      <c r="AR102" s="178">
        <f t="shared" si="74"/>
        <v>0</v>
      </c>
      <c r="AS102" s="179">
        <f t="shared" si="74"/>
        <v>0</v>
      </c>
      <c r="AT102" s="178">
        <f t="shared" si="74"/>
        <v>0</v>
      </c>
      <c r="AU102" s="178">
        <f t="shared" si="74"/>
        <v>0</v>
      </c>
      <c r="AV102" s="178">
        <f t="shared" si="74"/>
        <v>0</v>
      </c>
      <c r="AW102" s="179">
        <f t="shared" si="74"/>
        <v>0</v>
      </c>
      <c r="AX102" s="178">
        <f t="shared" si="53"/>
        <v>0</v>
      </c>
      <c r="AY102" s="178">
        <f t="shared" si="54"/>
        <v>0</v>
      </c>
      <c r="AZ102" s="179">
        <f t="shared" si="55"/>
        <v>0</v>
      </c>
      <c r="BA102" s="184">
        <f t="shared" si="25"/>
        <v>204.16220249999998</v>
      </c>
      <c r="BB102" s="178">
        <f t="shared" si="25"/>
        <v>140.213582</v>
      </c>
      <c r="BC102" s="184">
        <f t="shared" si="25"/>
        <v>0</v>
      </c>
      <c r="BD102" s="178">
        <f t="shared" si="25"/>
        <v>0</v>
      </c>
      <c r="BE102" s="244">
        <f t="shared" si="64"/>
        <v>1</v>
      </c>
      <c r="BF102" s="245">
        <f t="shared" si="65"/>
        <v>2960</v>
      </c>
      <c r="BH102" s="255">
        <f t="shared" si="69"/>
        <v>0</v>
      </c>
      <c r="BI102" s="255">
        <f t="shared" si="70"/>
        <v>41.44</v>
      </c>
      <c r="BJ102" s="255">
        <f t="shared" si="71"/>
        <v>0</v>
      </c>
      <c r="BK102" s="256">
        <f t="shared" si="72"/>
        <v>344.37578450000001</v>
      </c>
      <c r="BL102" s="262">
        <f t="shared" si="73"/>
        <v>0</v>
      </c>
      <c r="BM102" s="257">
        <f t="shared" si="66"/>
        <v>385.81578450000001</v>
      </c>
      <c r="BO102" s="714">
        <f t="shared" si="67"/>
        <v>130.34317043918918</v>
      </c>
    </row>
    <row r="103" spans="2:67" ht="15" customHeight="1" x14ac:dyDescent="0.25">
      <c r="B103" s="19">
        <f t="shared" si="75"/>
        <v>8</v>
      </c>
      <c r="C103" s="44" t="s">
        <v>121</v>
      </c>
      <c r="D103" s="45"/>
      <c r="E103" s="105" t="s">
        <v>118</v>
      </c>
      <c r="G103" s="477">
        <f>SUM('DUoS (t)'!G103,'TUoS (t)'!G103,'JSO (t)'!G103)</f>
        <v>405.20060000000001</v>
      </c>
      <c r="H103" s="478">
        <f>SUM('DUoS (t)'!H103,'TUoS (t)'!H103,'JSO (t)'!H103)</f>
        <v>5.1999999999999998E-3</v>
      </c>
      <c r="I103" s="461">
        <f>SUM('DUoS (t)'!I103,'TUoS (t)'!I103,'JSO (t)'!I103)</f>
        <v>0</v>
      </c>
      <c r="J103" s="461">
        <f>SUM('DUoS (t)'!J103,'TUoS (t)'!J103,'JSO (t)'!J103)</f>
        <v>0</v>
      </c>
      <c r="K103" s="462">
        <f>SUM('DUoS (t)'!K103,'TUoS (t)'!K103,'JSO (t)'!K103)</f>
        <v>0</v>
      </c>
      <c r="L103" s="461">
        <f>SUM('DUoS (t)'!L103,'TUoS (t)'!L103,'JSO (t)'!L103)</f>
        <v>0</v>
      </c>
      <c r="M103" s="461">
        <f>SUM('DUoS (t)'!M103,'TUoS (t)'!M103,'JSO (t)'!M103)</f>
        <v>0</v>
      </c>
      <c r="N103" s="461">
        <f>SUM('DUoS (t)'!N103,'TUoS (t)'!N103,'JSO (t)'!N103)</f>
        <v>0</v>
      </c>
      <c r="O103" s="462">
        <f>SUM('DUoS (t)'!O103,'TUoS (t)'!O103,'JSO (t)'!O103)</f>
        <v>0</v>
      </c>
      <c r="P103" s="461">
        <f>SUM('DUoS (t)'!P103,'TUoS (t)'!P103,'JSO (t)'!P103)</f>
        <v>0</v>
      </c>
      <c r="Q103" s="461">
        <f>SUM('DUoS (t)'!Q103,'TUoS (t)'!Q103,'JSO (t)'!Q103)</f>
        <v>0</v>
      </c>
      <c r="R103" s="462">
        <f>SUM('DUoS (t)'!R103,'TUoS (t)'!R103,'JSO (t)'!R103)</f>
        <v>0</v>
      </c>
      <c r="S103" s="478">
        <f>SUM('DUoS (t)'!S103,'TUoS (t)'!S103,'JSO (t)'!S103)</f>
        <v>0.2142</v>
      </c>
      <c r="T103" s="483">
        <f>SUM('DUoS (t)'!T103,'TUoS (t)'!T103,'JSO (t)'!T103)</f>
        <v>7.2700000000000001E-2</v>
      </c>
      <c r="U103" s="480">
        <f>SUM('DUoS (t)'!U103,'TUoS (t)'!U103,'JSO (t)'!U103)</f>
        <v>0</v>
      </c>
      <c r="V103" s="481">
        <f>SUM('DUoS (t)'!V103,'TUoS (t)'!V103,'JSO (t)'!V103)</f>
        <v>0</v>
      </c>
      <c r="X103" s="183">
        <f>'Q (t)'!G103</f>
        <v>365</v>
      </c>
      <c r="Y103" s="184">
        <f>'Q (t)'!H103</f>
        <v>24300</v>
      </c>
      <c r="Z103" s="178">
        <f>'Q (t)'!I103</f>
        <v>0</v>
      </c>
      <c r="AA103" s="178">
        <f>'Q (t)'!J103</f>
        <v>0</v>
      </c>
      <c r="AB103" s="179">
        <f>'Q (t)'!K103</f>
        <v>0</v>
      </c>
      <c r="AC103" s="178">
        <f>'Q (t)'!L103</f>
        <v>0</v>
      </c>
      <c r="AD103" s="178">
        <f>'Q (t)'!M103</f>
        <v>0</v>
      </c>
      <c r="AE103" s="178">
        <f>'Q (t)'!N103</f>
        <v>0</v>
      </c>
      <c r="AF103" s="179">
        <f>'Q (t)'!O103</f>
        <v>0</v>
      </c>
      <c r="AG103" s="178">
        <f>'Q (t)'!P103</f>
        <v>0</v>
      </c>
      <c r="AH103" s="178">
        <f>'Q (t)'!Q103</f>
        <v>0</v>
      </c>
      <c r="AI103" s="179">
        <f>'Q (t)'!R103</f>
        <v>0</v>
      </c>
      <c r="AJ103" s="184">
        <f>'Q (t)'!S103</f>
        <v>1595780</v>
      </c>
      <c r="AK103" s="178">
        <f>'Q (t)'!T103</f>
        <v>1825000</v>
      </c>
      <c r="AL103" s="184">
        <f>'Q (t)'!U103</f>
        <v>0</v>
      </c>
      <c r="AM103" s="179">
        <f>'Q (t)'!V103</f>
        <v>0</v>
      </c>
      <c r="AO103" s="183">
        <f t="shared" si="62"/>
        <v>147.89821900000001</v>
      </c>
      <c r="AP103" s="184">
        <f t="shared" si="74"/>
        <v>126.36</v>
      </c>
      <c r="AQ103" s="178">
        <f t="shared" si="74"/>
        <v>0</v>
      </c>
      <c r="AR103" s="178">
        <f t="shared" si="74"/>
        <v>0</v>
      </c>
      <c r="AS103" s="179">
        <f t="shared" si="74"/>
        <v>0</v>
      </c>
      <c r="AT103" s="178">
        <f t="shared" si="74"/>
        <v>0</v>
      </c>
      <c r="AU103" s="178">
        <f t="shared" si="74"/>
        <v>0</v>
      </c>
      <c r="AV103" s="178">
        <f t="shared" si="74"/>
        <v>0</v>
      </c>
      <c r="AW103" s="179">
        <f t="shared" si="74"/>
        <v>0</v>
      </c>
      <c r="AX103" s="178">
        <f t="shared" si="53"/>
        <v>0</v>
      </c>
      <c r="AY103" s="178">
        <f t="shared" si="54"/>
        <v>0</v>
      </c>
      <c r="AZ103" s="179">
        <f t="shared" si="55"/>
        <v>0</v>
      </c>
      <c r="BA103" s="184">
        <f t="shared" si="25"/>
        <v>341.81607600000001</v>
      </c>
      <c r="BB103" s="178">
        <f t="shared" si="25"/>
        <v>132.67750000000001</v>
      </c>
      <c r="BC103" s="184">
        <f t="shared" si="25"/>
        <v>0</v>
      </c>
      <c r="BD103" s="178">
        <f t="shared" si="25"/>
        <v>0</v>
      </c>
      <c r="BE103" s="244">
        <f t="shared" si="64"/>
        <v>1</v>
      </c>
      <c r="BF103" s="245">
        <f t="shared" si="65"/>
        <v>24300</v>
      </c>
      <c r="BH103" s="255">
        <f t="shared" si="69"/>
        <v>147.89821900000001</v>
      </c>
      <c r="BI103" s="255">
        <f t="shared" si="70"/>
        <v>126.36</v>
      </c>
      <c r="BJ103" s="255">
        <f t="shared" si="71"/>
        <v>0</v>
      </c>
      <c r="BK103" s="256">
        <f t="shared" si="72"/>
        <v>474.49357600000002</v>
      </c>
      <c r="BL103" s="262">
        <f t="shared" si="73"/>
        <v>0</v>
      </c>
      <c r="BM103" s="257">
        <f t="shared" si="66"/>
        <v>748.75179500000002</v>
      </c>
      <c r="BO103" s="714">
        <f t="shared" si="67"/>
        <v>30.81283106995885</v>
      </c>
    </row>
    <row r="104" spans="2:67" ht="15" customHeight="1" x14ac:dyDescent="0.25">
      <c r="B104" s="19"/>
      <c r="C104" s="36" t="s">
        <v>124</v>
      </c>
      <c r="D104" s="85"/>
      <c r="E104" s="85"/>
      <c r="G104" s="482">
        <f>SUM('DUoS (t)'!G104,'TUoS (t)'!G104,'JSO (t)'!G104)</f>
        <v>0</v>
      </c>
      <c r="H104" s="479">
        <f>SUM('DUoS (t)'!H104,'TUoS (t)'!H104,'JSO (t)'!H104)</f>
        <v>0</v>
      </c>
      <c r="I104" s="461">
        <f>SUM('DUoS (t)'!I104,'TUoS (t)'!I104,'JSO (t)'!I104)</f>
        <v>0</v>
      </c>
      <c r="J104" s="461">
        <f>SUM('DUoS (t)'!J104,'TUoS (t)'!J104,'JSO (t)'!J104)</f>
        <v>0</v>
      </c>
      <c r="K104" s="462">
        <f>SUM('DUoS (t)'!K104,'TUoS (t)'!K104,'JSO (t)'!K104)</f>
        <v>0</v>
      </c>
      <c r="L104" s="461">
        <f>SUM('DUoS (t)'!L104,'TUoS (t)'!L104,'JSO (t)'!L104)</f>
        <v>0</v>
      </c>
      <c r="M104" s="461">
        <f>SUM('DUoS (t)'!M104,'TUoS (t)'!M104,'JSO (t)'!M104)</f>
        <v>0</v>
      </c>
      <c r="N104" s="461">
        <f>SUM('DUoS (t)'!N104,'TUoS (t)'!N104,'JSO (t)'!N104)</f>
        <v>0</v>
      </c>
      <c r="O104" s="462">
        <f>SUM('DUoS (t)'!O104,'TUoS (t)'!O104,'JSO (t)'!O104)</f>
        <v>0</v>
      </c>
      <c r="P104" s="461">
        <f>SUM('DUoS (t)'!P104,'TUoS (t)'!P104,'JSO (t)'!P104)</f>
        <v>0</v>
      </c>
      <c r="Q104" s="461">
        <f>SUM('DUoS (t)'!Q104,'TUoS (t)'!Q104,'JSO (t)'!Q104)</f>
        <v>0</v>
      </c>
      <c r="R104" s="462">
        <f>SUM('DUoS (t)'!R104,'TUoS (t)'!R104,'JSO (t)'!R104)</f>
        <v>0</v>
      </c>
      <c r="S104" s="479">
        <f>SUM('DUoS (t)'!S104,'TUoS (t)'!S104,'JSO (t)'!S104)</f>
        <v>0</v>
      </c>
      <c r="T104" s="461">
        <f>SUM('DUoS (t)'!T104,'TUoS (t)'!T104,'JSO (t)'!T104)</f>
        <v>0</v>
      </c>
      <c r="U104" s="479">
        <f>SUM('DUoS (t)'!U104,'TUoS (t)'!U104,'JSO (t)'!U104)</f>
        <v>0</v>
      </c>
      <c r="V104" s="462">
        <f>SUM('DUoS (t)'!V104,'TUoS (t)'!V104,'JSO (t)'!V104)</f>
        <v>0</v>
      </c>
      <c r="X104" s="183">
        <f>'Q (t)'!G104</f>
        <v>0</v>
      </c>
      <c r="Y104" s="184">
        <f>'Q (t)'!H104</f>
        <v>0</v>
      </c>
      <c r="Z104" s="178">
        <f>'Q (t)'!I104</f>
        <v>0</v>
      </c>
      <c r="AA104" s="178">
        <f>'Q (t)'!J104</f>
        <v>0</v>
      </c>
      <c r="AB104" s="179">
        <f>'Q (t)'!K104</f>
        <v>0</v>
      </c>
      <c r="AC104" s="178">
        <f>'Q (t)'!L104</f>
        <v>0</v>
      </c>
      <c r="AD104" s="178">
        <f>'Q (t)'!M104</f>
        <v>0</v>
      </c>
      <c r="AE104" s="178">
        <f>'Q (t)'!N104</f>
        <v>0</v>
      </c>
      <c r="AF104" s="179">
        <f>'Q (t)'!O104</f>
        <v>0</v>
      </c>
      <c r="AG104" s="178">
        <f>'Q (t)'!P104</f>
        <v>0</v>
      </c>
      <c r="AH104" s="178">
        <f>'Q (t)'!Q104</f>
        <v>0</v>
      </c>
      <c r="AI104" s="179">
        <f>'Q (t)'!R104</f>
        <v>0</v>
      </c>
      <c r="AJ104" s="184">
        <f>'Q (t)'!S104</f>
        <v>0</v>
      </c>
      <c r="AK104" s="178">
        <f>'Q (t)'!T104</f>
        <v>0</v>
      </c>
      <c r="AL104" s="184">
        <f>'Q (t)'!U104</f>
        <v>0</v>
      </c>
      <c r="AM104" s="179">
        <f>'Q (t)'!V104</f>
        <v>0</v>
      </c>
      <c r="AO104" s="183">
        <f t="shared" si="62"/>
        <v>0</v>
      </c>
      <c r="AP104" s="184">
        <f t="shared" si="74"/>
        <v>0</v>
      </c>
      <c r="AQ104" s="178">
        <f t="shared" si="74"/>
        <v>0</v>
      </c>
      <c r="AR104" s="178">
        <f t="shared" si="74"/>
        <v>0</v>
      </c>
      <c r="AS104" s="179">
        <f t="shared" si="74"/>
        <v>0</v>
      </c>
      <c r="AT104" s="178">
        <f t="shared" si="74"/>
        <v>0</v>
      </c>
      <c r="AU104" s="178">
        <f t="shared" si="74"/>
        <v>0</v>
      </c>
      <c r="AV104" s="178">
        <f t="shared" si="74"/>
        <v>0</v>
      </c>
      <c r="AW104" s="179">
        <f t="shared" si="74"/>
        <v>0</v>
      </c>
      <c r="AX104" s="178">
        <f t="shared" si="53"/>
        <v>0</v>
      </c>
      <c r="AY104" s="178">
        <f t="shared" si="54"/>
        <v>0</v>
      </c>
      <c r="AZ104" s="179">
        <f t="shared" si="55"/>
        <v>0</v>
      </c>
      <c r="BA104" s="184">
        <f t="shared" si="25"/>
        <v>0</v>
      </c>
      <c r="BB104" s="178">
        <f t="shared" si="25"/>
        <v>0</v>
      </c>
      <c r="BC104" s="184">
        <f t="shared" si="25"/>
        <v>0</v>
      </c>
      <c r="BD104" s="178">
        <f t="shared" si="25"/>
        <v>0</v>
      </c>
      <c r="BE104" s="244">
        <f t="shared" si="64"/>
        <v>0</v>
      </c>
      <c r="BF104" s="245">
        <f t="shared" si="65"/>
        <v>0</v>
      </c>
      <c r="BH104" s="252">
        <f>SUBTOTAL(9,BH105:BH114)</f>
        <v>377.55673000000002</v>
      </c>
      <c r="BI104" s="252">
        <f>SUBTOTAL(9,BI105:BI114)</f>
        <v>2323.6599999999994</v>
      </c>
      <c r="BJ104" s="252">
        <f>SUBTOTAL(9,BJ105:BJ114)</f>
        <v>0</v>
      </c>
      <c r="BK104" s="252">
        <f>SUBTOTAL(9,BK105:BK114)</f>
        <v>8043.7291829999986</v>
      </c>
      <c r="BL104" s="252">
        <f>SUBTOTAL(9,BL105:BL114)</f>
        <v>0</v>
      </c>
      <c r="BM104" s="257">
        <f t="shared" si="66"/>
        <v>10744.945912999998</v>
      </c>
      <c r="BO104" s="714" t="str">
        <f t="shared" si="67"/>
        <v/>
      </c>
    </row>
    <row r="105" spans="2:67" ht="15" customHeight="1" x14ac:dyDescent="0.25">
      <c r="B105" s="19">
        <f>B103+1</f>
        <v>9</v>
      </c>
      <c r="C105" s="44" t="s">
        <v>125</v>
      </c>
      <c r="D105" s="45"/>
      <c r="E105" s="105" t="s">
        <v>126</v>
      </c>
      <c r="G105" s="477">
        <f>SUM('DUoS (t)'!G105,'TUoS (t)'!G105,'JSO (t)'!G105)</f>
        <v>392.8306</v>
      </c>
      <c r="H105" s="478">
        <f>SUM('DUoS (t)'!H105,'TUoS (t)'!H105,'JSO (t)'!H105)</f>
        <v>5.1999999999999998E-3</v>
      </c>
      <c r="I105" s="461">
        <f>SUM('DUoS (t)'!I105,'TUoS (t)'!I105,'JSO (t)'!I105)</f>
        <v>0</v>
      </c>
      <c r="J105" s="461">
        <f>SUM('DUoS (t)'!J105,'TUoS (t)'!J105,'JSO (t)'!J105)</f>
        <v>0</v>
      </c>
      <c r="K105" s="462">
        <f>SUM('DUoS (t)'!K105,'TUoS (t)'!K105,'JSO (t)'!K105)</f>
        <v>0</v>
      </c>
      <c r="L105" s="461">
        <f>SUM('DUoS (t)'!L105,'TUoS (t)'!L105,'JSO (t)'!L105)</f>
        <v>0</v>
      </c>
      <c r="M105" s="461">
        <f>SUM('DUoS (t)'!M105,'TUoS (t)'!M105,'JSO (t)'!M105)</f>
        <v>0</v>
      </c>
      <c r="N105" s="461">
        <f>SUM('DUoS (t)'!N105,'TUoS (t)'!N105,'JSO (t)'!N105)</f>
        <v>0</v>
      </c>
      <c r="O105" s="462">
        <f>SUM('DUoS (t)'!O105,'TUoS (t)'!O105,'JSO (t)'!O105)</f>
        <v>0</v>
      </c>
      <c r="P105" s="461">
        <f>SUM('DUoS (t)'!P105,'TUoS (t)'!P105,'JSO (t)'!P105)</f>
        <v>0</v>
      </c>
      <c r="Q105" s="461">
        <f>SUM('DUoS (t)'!Q105,'TUoS (t)'!Q105,'JSO (t)'!Q105)</f>
        <v>0</v>
      </c>
      <c r="R105" s="462">
        <f>SUM('DUoS (t)'!R105,'TUoS (t)'!R105,'JSO (t)'!R105)</f>
        <v>0</v>
      </c>
      <c r="S105" s="478">
        <f>SUM('DUoS (t)'!S105,'TUoS (t)'!S105,'JSO (t)'!S105)</f>
        <v>0.2571</v>
      </c>
      <c r="T105" s="483">
        <f>SUM('DUoS (t)'!T105,'TUoS (t)'!T105,'JSO (t)'!T105)</f>
        <v>7.2700000000000001E-2</v>
      </c>
      <c r="U105" s="480">
        <f>SUM('DUoS (t)'!U105,'TUoS (t)'!U105,'JSO (t)'!U105)</f>
        <v>0</v>
      </c>
      <c r="V105" s="481">
        <f>SUM('DUoS (t)'!V105,'TUoS (t)'!V105,'JSO (t)'!V105)</f>
        <v>0</v>
      </c>
      <c r="X105" s="183">
        <f>'Q (t)'!G105</f>
        <v>365</v>
      </c>
      <c r="Y105" s="184">
        <f>'Q (t)'!H105</f>
        <v>70500</v>
      </c>
      <c r="Z105" s="178">
        <f>'Q (t)'!I105</f>
        <v>0</v>
      </c>
      <c r="AA105" s="178">
        <f>'Q (t)'!J105</f>
        <v>0</v>
      </c>
      <c r="AB105" s="179">
        <f>'Q (t)'!K105</f>
        <v>0</v>
      </c>
      <c r="AC105" s="178">
        <f>'Q (t)'!L105</f>
        <v>0</v>
      </c>
      <c r="AD105" s="178">
        <f>'Q (t)'!M105</f>
        <v>0</v>
      </c>
      <c r="AE105" s="178">
        <f>'Q (t)'!N105</f>
        <v>0</v>
      </c>
      <c r="AF105" s="179">
        <f>'Q (t)'!O105</f>
        <v>0</v>
      </c>
      <c r="AG105" s="178">
        <f>'Q (t)'!P105</f>
        <v>0</v>
      </c>
      <c r="AH105" s="178">
        <f>'Q (t)'!Q105</f>
        <v>0</v>
      </c>
      <c r="AI105" s="179">
        <f>'Q (t)'!R105</f>
        <v>0</v>
      </c>
      <c r="AJ105" s="184">
        <f>'Q (t)'!S105</f>
        <v>3784320</v>
      </c>
      <c r="AK105" s="178">
        <f>'Q (t)'!T105</f>
        <v>4155525</v>
      </c>
      <c r="AL105" s="184">
        <f>'Q (t)'!U105</f>
        <v>0</v>
      </c>
      <c r="AM105" s="179">
        <f>'Q (t)'!V105</f>
        <v>0</v>
      </c>
      <c r="AO105" s="183">
        <f t="shared" si="62"/>
        <v>143.38316899999998</v>
      </c>
      <c r="AP105" s="184">
        <f t="shared" si="74"/>
        <v>366.59999999999997</v>
      </c>
      <c r="AQ105" s="178">
        <f t="shared" si="74"/>
        <v>0</v>
      </c>
      <c r="AR105" s="178">
        <f t="shared" si="74"/>
        <v>0</v>
      </c>
      <c r="AS105" s="179">
        <f t="shared" si="74"/>
        <v>0</v>
      </c>
      <c r="AT105" s="178">
        <f t="shared" si="74"/>
        <v>0</v>
      </c>
      <c r="AU105" s="178">
        <f t="shared" si="74"/>
        <v>0</v>
      </c>
      <c r="AV105" s="178">
        <f t="shared" si="74"/>
        <v>0</v>
      </c>
      <c r="AW105" s="179">
        <f t="shared" si="74"/>
        <v>0</v>
      </c>
      <c r="AX105" s="178">
        <f t="shared" si="53"/>
        <v>0</v>
      </c>
      <c r="AY105" s="178">
        <f t="shared" si="54"/>
        <v>0</v>
      </c>
      <c r="AZ105" s="179">
        <f t="shared" si="55"/>
        <v>0</v>
      </c>
      <c r="BA105" s="184">
        <f t="shared" si="25"/>
        <v>972.94867199999999</v>
      </c>
      <c r="BB105" s="178">
        <f t="shared" si="25"/>
        <v>302.10666749999996</v>
      </c>
      <c r="BC105" s="184">
        <f t="shared" si="25"/>
        <v>0</v>
      </c>
      <c r="BD105" s="178">
        <f t="shared" si="25"/>
        <v>0</v>
      </c>
      <c r="BE105" s="244">
        <f t="shared" si="64"/>
        <v>1</v>
      </c>
      <c r="BF105" s="245">
        <f t="shared" si="65"/>
        <v>70500</v>
      </c>
      <c r="BH105" s="255">
        <f t="shared" ref="BH105:BH114" si="77">SUM(AO105)</f>
        <v>143.38316899999998</v>
      </c>
      <c r="BI105" s="255">
        <f t="shared" ref="BI105:BI114" si="78">SUM(AP105:AS105)</f>
        <v>366.59999999999997</v>
      </c>
      <c r="BJ105" s="255">
        <f t="shared" ref="BJ105:BJ114" si="79">SUM(AT105:AW105)</f>
        <v>0</v>
      </c>
      <c r="BK105" s="256">
        <f t="shared" ref="BK105:BK114" si="80">SUM(AX105:BB105)</f>
        <v>1275.0553394999999</v>
      </c>
      <c r="BL105" s="262">
        <f t="shared" ref="BL105:BL114" si="81">SUM(BC105:BD105)</f>
        <v>0</v>
      </c>
      <c r="BM105" s="257">
        <f t="shared" si="66"/>
        <v>1785.0385084999998</v>
      </c>
      <c r="BO105" s="714">
        <f t="shared" si="67"/>
        <v>25.319695156028367</v>
      </c>
    </row>
    <row r="106" spans="2:67" ht="15" customHeight="1" x14ac:dyDescent="0.25">
      <c r="B106" s="19">
        <f t="shared" si="75"/>
        <v>10</v>
      </c>
      <c r="C106" s="44" t="s">
        <v>127</v>
      </c>
      <c r="D106" s="45"/>
      <c r="E106" s="105" t="s">
        <v>126</v>
      </c>
      <c r="G106" s="477">
        <f>SUM('DUoS (t)'!G106,'TUoS (t)'!G106,'JSO (t)'!G106)</f>
        <v>133.51089999999999</v>
      </c>
      <c r="H106" s="478">
        <f>SUM('DUoS (t)'!H106,'TUoS (t)'!H106,'JSO (t)'!H106)</f>
        <v>5.1999999999999998E-3</v>
      </c>
      <c r="I106" s="461">
        <f>SUM('DUoS (t)'!I106,'TUoS (t)'!I106,'JSO (t)'!I106)</f>
        <v>0</v>
      </c>
      <c r="J106" s="461">
        <f>SUM('DUoS (t)'!J106,'TUoS (t)'!J106,'JSO (t)'!J106)</f>
        <v>0</v>
      </c>
      <c r="K106" s="462">
        <f>SUM('DUoS (t)'!K106,'TUoS (t)'!K106,'JSO (t)'!K106)</f>
        <v>0</v>
      </c>
      <c r="L106" s="461">
        <f>SUM('DUoS (t)'!L106,'TUoS (t)'!L106,'JSO (t)'!L106)</f>
        <v>0</v>
      </c>
      <c r="M106" s="461">
        <f>SUM('DUoS (t)'!M106,'TUoS (t)'!M106,'JSO (t)'!M106)</f>
        <v>0</v>
      </c>
      <c r="N106" s="461">
        <f>SUM('DUoS (t)'!N106,'TUoS (t)'!N106,'JSO (t)'!N106)</f>
        <v>0</v>
      </c>
      <c r="O106" s="462">
        <f>SUM('DUoS (t)'!O106,'TUoS (t)'!O106,'JSO (t)'!O106)</f>
        <v>0</v>
      </c>
      <c r="P106" s="461">
        <f>SUM('DUoS (t)'!P106,'TUoS (t)'!P106,'JSO (t)'!P106)</f>
        <v>0</v>
      </c>
      <c r="Q106" s="461">
        <f>SUM('DUoS (t)'!Q106,'TUoS (t)'!Q106,'JSO (t)'!Q106)</f>
        <v>0</v>
      </c>
      <c r="R106" s="462">
        <f>SUM('DUoS (t)'!R106,'TUoS (t)'!R106,'JSO (t)'!R106)</f>
        <v>0</v>
      </c>
      <c r="S106" s="478">
        <f>SUM('DUoS (t)'!S106,'TUoS (t)'!S106,'JSO (t)'!S106)</f>
        <v>0.21929999999999999</v>
      </c>
      <c r="T106" s="483">
        <f>SUM('DUoS (t)'!T106,'TUoS (t)'!T106,'JSO (t)'!T106)</f>
        <v>7.2700000000000001E-2</v>
      </c>
      <c r="U106" s="480">
        <f>SUM('DUoS (t)'!U106,'TUoS (t)'!U106,'JSO (t)'!U106)</f>
        <v>0</v>
      </c>
      <c r="V106" s="481">
        <f>SUM('DUoS (t)'!V106,'TUoS (t)'!V106,'JSO (t)'!V106)</f>
        <v>0</v>
      </c>
      <c r="X106" s="183">
        <f>'Q (t)'!G106</f>
        <v>365</v>
      </c>
      <c r="Y106" s="184">
        <f>'Q (t)'!H106</f>
        <v>170500</v>
      </c>
      <c r="Z106" s="178">
        <f>'Q (t)'!I106</f>
        <v>0</v>
      </c>
      <c r="AA106" s="178">
        <f>'Q (t)'!J106</f>
        <v>0</v>
      </c>
      <c r="AB106" s="179">
        <f>'Q (t)'!K106</f>
        <v>0</v>
      </c>
      <c r="AC106" s="178">
        <f>'Q (t)'!L106</f>
        <v>0</v>
      </c>
      <c r="AD106" s="178">
        <f>'Q (t)'!M106</f>
        <v>0</v>
      </c>
      <c r="AE106" s="178">
        <f>'Q (t)'!N106</f>
        <v>0</v>
      </c>
      <c r="AF106" s="179">
        <f>'Q (t)'!O106</f>
        <v>0</v>
      </c>
      <c r="AG106" s="178">
        <f>'Q (t)'!P106</f>
        <v>0</v>
      </c>
      <c r="AH106" s="178">
        <f>'Q (t)'!Q106</f>
        <v>0</v>
      </c>
      <c r="AI106" s="179">
        <f>'Q (t)'!R106</f>
        <v>0</v>
      </c>
      <c r="AJ106" s="184">
        <f>'Q (t)'!S106</f>
        <v>8823875</v>
      </c>
      <c r="AK106" s="178">
        <f>'Q (t)'!T106</f>
        <v>9653520</v>
      </c>
      <c r="AL106" s="184">
        <f>'Q (t)'!U106</f>
        <v>0</v>
      </c>
      <c r="AM106" s="179">
        <f>'Q (t)'!V106</f>
        <v>0</v>
      </c>
      <c r="AO106" s="183">
        <f t="shared" si="62"/>
        <v>48.731478499999994</v>
      </c>
      <c r="AP106" s="184">
        <f t="shared" si="74"/>
        <v>886.59999999999991</v>
      </c>
      <c r="AQ106" s="178">
        <f t="shared" si="74"/>
        <v>0</v>
      </c>
      <c r="AR106" s="178">
        <f t="shared" si="74"/>
        <v>0</v>
      </c>
      <c r="AS106" s="179">
        <f t="shared" si="74"/>
        <v>0</v>
      </c>
      <c r="AT106" s="178">
        <f t="shared" si="74"/>
        <v>0</v>
      </c>
      <c r="AU106" s="178">
        <f t="shared" si="74"/>
        <v>0</v>
      </c>
      <c r="AV106" s="178">
        <f t="shared" si="74"/>
        <v>0</v>
      </c>
      <c r="AW106" s="179">
        <f t="shared" si="74"/>
        <v>0</v>
      </c>
      <c r="AX106" s="178">
        <f t="shared" si="53"/>
        <v>0</v>
      </c>
      <c r="AY106" s="178">
        <f t="shared" si="54"/>
        <v>0</v>
      </c>
      <c r="AZ106" s="179">
        <f t="shared" si="55"/>
        <v>0</v>
      </c>
      <c r="BA106" s="184">
        <f t="shared" si="25"/>
        <v>1935.0757874999999</v>
      </c>
      <c r="BB106" s="178">
        <f t="shared" si="25"/>
        <v>701.81090399999994</v>
      </c>
      <c r="BC106" s="184">
        <f t="shared" si="25"/>
        <v>0</v>
      </c>
      <c r="BD106" s="178">
        <f t="shared" si="25"/>
        <v>0</v>
      </c>
      <c r="BE106" s="244">
        <f t="shared" si="64"/>
        <v>1</v>
      </c>
      <c r="BF106" s="245">
        <f t="shared" si="65"/>
        <v>170500</v>
      </c>
      <c r="BH106" s="255">
        <f t="shared" si="77"/>
        <v>48.731478499999994</v>
      </c>
      <c r="BI106" s="255">
        <f t="shared" si="78"/>
        <v>886.59999999999991</v>
      </c>
      <c r="BJ106" s="255">
        <f t="shared" si="79"/>
        <v>0</v>
      </c>
      <c r="BK106" s="256">
        <f t="shared" si="80"/>
        <v>2636.8866914999999</v>
      </c>
      <c r="BL106" s="262">
        <f t="shared" si="81"/>
        <v>0</v>
      </c>
      <c r="BM106" s="257">
        <f t="shared" si="66"/>
        <v>3572.2181699999996</v>
      </c>
      <c r="BO106" s="714">
        <f t="shared" si="67"/>
        <v>20.951426217008795</v>
      </c>
    </row>
    <row r="107" spans="2:67" ht="15" customHeight="1" x14ac:dyDescent="0.25">
      <c r="B107" s="19">
        <f t="shared" si="75"/>
        <v>11</v>
      </c>
      <c r="C107" s="44" t="s">
        <v>128</v>
      </c>
      <c r="D107" s="45"/>
      <c r="E107" s="105" t="s">
        <v>126</v>
      </c>
      <c r="G107" s="477">
        <f>SUM('DUoS (t)'!G107,'TUoS (t)'!G107,'JSO (t)'!G107)</f>
        <v>165.33070000000001</v>
      </c>
      <c r="H107" s="478">
        <f>SUM('DUoS (t)'!H107,'TUoS (t)'!H107,'JSO (t)'!H107)</f>
        <v>5.1999999999999998E-3</v>
      </c>
      <c r="I107" s="461">
        <f>SUM('DUoS (t)'!I107,'TUoS (t)'!I107,'JSO (t)'!I107)</f>
        <v>0</v>
      </c>
      <c r="J107" s="461">
        <f>SUM('DUoS (t)'!J107,'TUoS (t)'!J107,'JSO (t)'!J107)</f>
        <v>0</v>
      </c>
      <c r="K107" s="462">
        <f>SUM('DUoS (t)'!K107,'TUoS (t)'!K107,'JSO (t)'!K107)</f>
        <v>0</v>
      </c>
      <c r="L107" s="461">
        <f>SUM('DUoS (t)'!L107,'TUoS (t)'!L107,'JSO (t)'!L107)</f>
        <v>0</v>
      </c>
      <c r="M107" s="461">
        <f>SUM('DUoS (t)'!M107,'TUoS (t)'!M107,'JSO (t)'!M107)</f>
        <v>0</v>
      </c>
      <c r="N107" s="461">
        <f>SUM('DUoS (t)'!N107,'TUoS (t)'!N107,'JSO (t)'!N107)</f>
        <v>0</v>
      </c>
      <c r="O107" s="462">
        <f>SUM('DUoS (t)'!O107,'TUoS (t)'!O107,'JSO (t)'!O107)</f>
        <v>0</v>
      </c>
      <c r="P107" s="461">
        <f>SUM('DUoS (t)'!P107,'TUoS (t)'!P107,'JSO (t)'!P107)</f>
        <v>0</v>
      </c>
      <c r="Q107" s="461">
        <f>SUM('DUoS (t)'!Q107,'TUoS (t)'!Q107,'JSO (t)'!Q107)</f>
        <v>0</v>
      </c>
      <c r="R107" s="462">
        <f>SUM('DUoS (t)'!R107,'TUoS (t)'!R107,'JSO (t)'!R107)</f>
        <v>0</v>
      </c>
      <c r="S107" s="478">
        <f>SUM('DUoS (t)'!S107,'TUoS (t)'!S107,'JSO (t)'!S107)</f>
        <v>0.25969999999999999</v>
      </c>
      <c r="T107" s="483">
        <f>SUM('DUoS (t)'!T107,'TUoS (t)'!T107,'JSO (t)'!T107)</f>
        <v>7.2700000000000001E-2</v>
      </c>
      <c r="U107" s="480">
        <f>SUM('DUoS (t)'!U107,'TUoS (t)'!U107,'JSO (t)'!U107)</f>
        <v>0</v>
      </c>
      <c r="V107" s="481">
        <f>SUM('DUoS (t)'!V107,'TUoS (t)'!V107,'JSO (t)'!V107)</f>
        <v>0</v>
      </c>
      <c r="X107" s="183">
        <f>'Q (t)'!G107</f>
        <v>365</v>
      </c>
      <c r="Y107" s="184">
        <f>'Q (t)'!H107</f>
        <v>24900</v>
      </c>
      <c r="Z107" s="178">
        <f>'Q (t)'!I107</f>
        <v>0</v>
      </c>
      <c r="AA107" s="178">
        <f>'Q (t)'!J107</f>
        <v>0</v>
      </c>
      <c r="AB107" s="179">
        <f>'Q (t)'!K107</f>
        <v>0</v>
      </c>
      <c r="AC107" s="178">
        <f>'Q (t)'!L107</f>
        <v>0</v>
      </c>
      <c r="AD107" s="178">
        <f>'Q (t)'!M107</f>
        <v>0</v>
      </c>
      <c r="AE107" s="178">
        <f>'Q (t)'!N107</f>
        <v>0</v>
      </c>
      <c r="AF107" s="179">
        <f>'Q (t)'!O107</f>
        <v>0</v>
      </c>
      <c r="AG107" s="178">
        <f>'Q (t)'!P107</f>
        <v>0</v>
      </c>
      <c r="AH107" s="178">
        <f>'Q (t)'!Q107</f>
        <v>0</v>
      </c>
      <c r="AI107" s="179">
        <f>'Q (t)'!R107</f>
        <v>0</v>
      </c>
      <c r="AJ107" s="184">
        <f>'Q (t)'!S107</f>
        <v>1485550</v>
      </c>
      <c r="AK107" s="178">
        <f>'Q (t)'!T107</f>
        <v>1825000</v>
      </c>
      <c r="AL107" s="184">
        <f>'Q (t)'!U107</f>
        <v>0</v>
      </c>
      <c r="AM107" s="179">
        <f>'Q (t)'!V107</f>
        <v>0</v>
      </c>
      <c r="AO107" s="183">
        <f t="shared" si="62"/>
        <v>60.345705500000001</v>
      </c>
      <c r="AP107" s="184">
        <f t="shared" si="74"/>
        <v>129.47999999999999</v>
      </c>
      <c r="AQ107" s="178">
        <f t="shared" si="74"/>
        <v>0</v>
      </c>
      <c r="AR107" s="178">
        <f t="shared" si="74"/>
        <v>0</v>
      </c>
      <c r="AS107" s="179">
        <f t="shared" si="74"/>
        <v>0</v>
      </c>
      <c r="AT107" s="178">
        <f t="shared" si="74"/>
        <v>0</v>
      </c>
      <c r="AU107" s="178">
        <f t="shared" si="74"/>
        <v>0</v>
      </c>
      <c r="AV107" s="178">
        <f t="shared" si="74"/>
        <v>0</v>
      </c>
      <c r="AW107" s="179">
        <f t="shared" si="74"/>
        <v>0</v>
      </c>
      <c r="AX107" s="178">
        <f t="shared" si="53"/>
        <v>0</v>
      </c>
      <c r="AY107" s="178">
        <f t="shared" si="54"/>
        <v>0</v>
      </c>
      <c r="AZ107" s="179">
        <f t="shared" si="55"/>
        <v>0</v>
      </c>
      <c r="BA107" s="184">
        <f t="shared" si="25"/>
        <v>385.79733499999998</v>
      </c>
      <c r="BB107" s="178">
        <f t="shared" si="25"/>
        <v>132.67750000000001</v>
      </c>
      <c r="BC107" s="184">
        <f t="shared" si="25"/>
        <v>0</v>
      </c>
      <c r="BD107" s="178">
        <f t="shared" si="25"/>
        <v>0</v>
      </c>
      <c r="BE107" s="244">
        <f t="shared" si="64"/>
        <v>1</v>
      </c>
      <c r="BF107" s="245">
        <f t="shared" si="65"/>
        <v>24900</v>
      </c>
      <c r="BH107" s="255">
        <f t="shared" si="77"/>
        <v>60.345705500000001</v>
      </c>
      <c r="BI107" s="255">
        <f t="shared" si="78"/>
        <v>129.47999999999999</v>
      </c>
      <c r="BJ107" s="255">
        <f t="shared" si="79"/>
        <v>0</v>
      </c>
      <c r="BK107" s="256">
        <f t="shared" si="80"/>
        <v>518.47483499999998</v>
      </c>
      <c r="BL107" s="262">
        <f t="shared" si="81"/>
        <v>0</v>
      </c>
      <c r="BM107" s="257">
        <f t="shared" si="66"/>
        <v>708.30054050000001</v>
      </c>
      <c r="BO107" s="714">
        <f t="shared" si="67"/>
        <v>28.445804839357429</v>
      </c>
    </row>
    <row r="108" spans="2:67" ht="15" customHeight="1" x14ac:dyDescent="0.25">
      <c r="B108" s="19">
        <f t="shared" si="75"/>
        <v>12</v>
      </c>
      <c r="C108" s="44"/>
      <c r="D108" s="45" t="s">
        <v>129</v>
      </c>
      <c r="E108" s="105" t="s">
        <v>126</v>
      </c>
      <c r="G108" s="477">
        <f>SUM('DUoS (t)'!G108,'TUoS (t)'!G108,'JSO (t)'!G108)</f>
        <v>155.76759999999999</v>
      </c>
      <c r="H108" s="478">
        <f>SUM('DUoS (t)'!H108,'TUoS (t)'!H108,'JSO (t)'!H108)</f>
        <v>5.1999999999999998E-3</v>
      </c>
      <c r="I108" s="461">
        <f>SUM('DUoS (t)'!I108,'TUoS (t)'!I108,'JSO (t)'!I108)</f>
        <v>0</v>
      </c>
      <c r="J108" s="461">
        <f>SUM('DUoS (t)'!J108,'TUoS (t)'!J108,'JSO (t)'!J108)</f>
        <v>0</v>
      </c>
      <c r="K108" s="462">
        <f>SUM('DUoS (t)'!K108,'TUoS (t)'!K108,'JSO (t)'!K108)</f>
        <v>0</v>
      </c>
      <c r="L108" s="461">
        <f>SUM('DUoS (t)'!L108,'TUoS (t)'!L108,'JSO (t)'!L108)</f>
        <v>0</v>
      </c>
      <c r="M108" s="461">
        <f>SUM('DUoS (t)'!M108,'TUoS (t)'!M108,'JSO (t)'!M108)</f>
        <v>0</v>
      </c>
      <c r="N108" s="461">
        <f>SUM('DUoS (t)'!N108,'TUoS (t)'!N108,'JSO (t)'!N108)</f>
        <v>0</v>
      </c>
      <c r="O108" s="462">
        <f>SUM('DUoS (t)'!O108,'TUoS (t)'!O108,'JSO (t)'!O108)</f>
        <v>0</v>
      </c>
      <c r="P108" s="461">
        <f>SUM('DUoS (t)'!P108,'TUoS (t)'!P108,'JSO (t)'!P108)</f>
        <v>0</v>
      </c>
      <c r="Q108" s="461">
        <f>SUM('DUoS (t)'!Q108,'TUoS (t)'!Q108,'JSO (t)'!Q108)</f>
        <v>0</v>
      </c>
      <c r="R108" s="462">
        <f>SUM('DUoS (t)'!R108,'TUoS (t)'!R108,'JSO (t)'!R108)</f>
        <v>0</v>
      </c>
      <c r="S108" s="478">
        <f>SUM('DUoS (t)'!S108,'TUoS (t)'!S108,'JSO (t)'!S108)</f>
        <v>0.23770000000000002</v>
      </c>
      <c r="T108" s="483">
        <f>SUM('DUoS (t)'!T108,'TUoS (t)'!T108,'JSO (t)'!T108)</f>
        <v>7.2700000000000001E-2</v>
      </c>
      <c r="U108" s="480">
        <f>SUM('DUoS (t)'!U108,'TUoS (t)'!U108,'JSO (t)'!U108)</f>
        <v>0</v>
      </c>
      <c r="V108" s="481">
        <f>SUM('DUoS (t)'!V108,'TUoS (t)'!V108,'JSO (t)'!V108)</f>
        <v>0</v>
      </c>
      <c r="X108" s="183">
        <f>'Q (t)'!G108</f>
        <v>365</v>
      </c>
      <c r="Y108" s="184">
        <f>'Q (t)'!H108</f>
        <v>25400</v>
      </c>
      <c r="Z108" s="178">
        <f>'Q (t)'!I108</f>
        <v>0</v>
      </c>
      <c r="AA108" s="178">
        <f>'Q (t)'!J108</f>
        <v>0</v>
      </c>
      <c r="AB108" s="179">
        <f>'Q (t)'!K108</f>
        <v>0</v>
      </c>
      <c r="AC108" s="178">
        <f>'Q (t)'!L108</f>
        <v>0</v>
      </c>
      <c r="AD108" s="178">
        <f>'Q (t)'!M108</f>
        <v>0</v>
      </c>
      <c r="AE108" s="178">
        <f>'Q (t)'!N108</f>
        <v>0</v>
      </c>
      <c r="AF108" s="179">
        <f>'Q (t)'!O108</f>
        <v>0</v>
      </c>
      <c r="AG108" s="178">
        <f>'Q (t)'!P108</f>
        <v>0</v>
      </c>
      <c r="AH108" s="178">
        <f>'Q (t)'!Q108</f>
        <v>0</v>
      </c>
      <c r="AI108" s="179">
        <f>'Q (t)'!R108</f>
        <v>0</v>
      </c>
      <c r="AJ108" s="184">
        <f>'Q (t)'!S108</f>
        <v>2735675</v>
      </c>
      <c r="AK108" s="178">
        <f>'Q (t)'!T108</f>
        <v>2950660</v>
      </c>
      <c r="AL108" s="184">
        <f>'Q (t)'!U108</f>
        <v>0</v>
      </c>
      <c r="AM108" s="179">
        <f>'Q (t)'!V108</f>
        <v>0</v>
      </c>
      <c r="AO108" s="183">
        <f t="shared" si="62"/>
        <v>56.855173999999991</v>
      </c>
      <c r="AP108" s="184">
        <f t="shared" si="74"/>
        <v>132.07999999999998</v>
      </c>
      <c r="AQ108" s="178">
        <f t="shared" si="74"/>
        <v>0</v>
      </c>
      <c r="AR108" s="178">
        <f t="shared" si="74"/>
        <v>0</v>
      </c>
      <c r="AS108" s="179">
        <f t="shared" si="74"/>
        <v>0</v>
      </c>
      <c r="AT108" s="178">
        <f t="shared" si="74"/>
        <v>0</v>
      </c>
      <c r="AU108" s="178">
        <f t="shared" si="74"/>
        <v>0</v>
      </c>
      <c r="AV108" s="178">
        <f t="shared" si="74"/>
        <v>0</v>
      </c>
      <c r="AW108" s="179">
        <f t="shared" si="74"/>
        <v>0</v>
      </c>
      <c r="AX108" s="178">
        <f t="shared" si="53"/>
        <v>0</v>
      </c>
      <c r="AY108" s="178">
        <f t="shared" si="54"/>
        <v>0</v>
      </c>
      <c r="AZ108" s="179">
        <f t="shared" si="55"/>
        <v>0</v>
      </c>
      <c r="BA108" s="184">
        <f t="shared" si="25"/>
        <v>650.26994750000006</v>
      </c>
      <c r="BB108" s="178">
        <f t="shared" si="25"/>
        <v>214.51298199999999</v>
      </c>
      <c r="BC108" s="184">
        <f t="shared" si="25"/>
        <v>0</v>
      </c>
      <c r="BD108" s="178">
        <f t="shared" si="25"/>
        <v>0</v>
      </c>
      <c r="BE108" s="244">
        <f t="shared" si="64"/>
        <v>1</v>
      </c>
      <c r="BF108" s="245">
        <f t="shared" si="65"/>
        <v>25400</v>
      </c>
      <c r="BH108" s="255">
        <f t="shared" si="77"/>
        <v>56.855173999999991</v>
      </c>
      <c r="BI108" s="255">
        <f t="shared" si="78"/>
        <v>132.07999999999998</v>
      </c>
      <c r="BJ108" s="255">
        <f t="shared" si="79"/>
        <v>0</v>
      </c>
      <c r="BK108" s="256">
        <f t="shared" si="80"/>
        <v>864.78292950000002</v>
      </c>
      <c r="BL108" s="262">
        <f t="shared" si="81"/>
        <v>0</v>
      </c>
      <c r="BM108" s="257">
        <f t="shared" si="66"/>
        <v>1053.7181034999999</v>
      </c>
      <c r="BO108" s="714">
        <f t="shared" si="67"/>
        <v>41.484964704724405</v>
      </c>
    </row>
    <row r="109" spans="2:67" ht="15" customHeight="1" x14ac:dyDescent="0.25">
      <c r="B109" s="19">
        <f t="shared" si="75"/>
        <v>13</v>
      </c>
      <c r="C109" s="44" t="s">
        <v>564</v>
      </c>
      <c r="D109" s="45"/>
      <c r="E109" s="105" t="s">
        <v>126</v>
      </c>
      <c r="G109" s="477">
        <f>SUM('DUoS (t)'!G109,'TUoS (t)'!G109,'JSO (t)'!G109)</f>
        <v>0</v>
      </c>
      <c r="H109" s="478">
        <f>SUM('DUoS (t)'!H109,'TUoS (t)'!H109,'JSO (t)'!H109)</f>
        <v>1.4E-2</v>
      </c>
      <c r="I109" s="461">
        <f>SUM('DUoS (t)'!I109,'TUoS (t)'!I109,'JSO (t)'!I109)</f>
        <v>0</v>
      </c>
      <c r="J109" s="461">
        <f>SUM('DUoS (t)'!J109,'TUoS (t)'!J109,'JSO (t)'!J109)</f>
        <v>0</v>
      </c>
      <c r="K109" s="462">
        <f>SUM('DUoS (t)'!K109,'TUoS (t)'!K109,'JSO (t)'!K109)</f>
        <v>0</v>
      </c>
      <c r="L109" s="461">
        <f>SUM('DUoS (t)'!L109,'TUoS (t)'!L109,'JSO (t)'!L109)</f>
        <v>0</v>
      </c>
      <c r="M109" s="461">
        <f>SUM('DUoS (t)'!M109,'TUoS (t)'!M109,'JSO (t)'!M109)</f>
        <v>0</v>
      </c>
      <c r="N109" s="461">
        <f>SUM('DUoS (t)'!N109,'TUoS (t)'!N109,'JSO (t)'!N109)</f>
        <v>0</v>
      </c>
      <c r="O109" s="462">
        <f>SUM('DUoS (t)'!O109,'TUoS (t)'!O109,'JSO (t)'!O109)</f>
        <v>0</v>
      </c>
      <c r="P109" s="461">
        <f>SUM('DUoS (t)'!P109,'TUoS (t)'!P109,'JSO (t)'!P109)</f>
        <v>0</v>
      </c>
      <c r="Q109" s="461">
        <f>SUM('DUoS (t)'!Q109,'TUoS (t)'!Q109,'JSO (t)'!Q109)</f>
        <v>0</v>
      </c>
      <c r="R109" s="462">
        <f>SUM('DUoS (t)'!R109,'TUoS (t)'!R109,'JSO (t)'!R109)</f>
        <v>0</v>
      </c>
      <c r="S109" s="478">
        <f>SUM('DUoS (t)'!S109,'TUoS (t)'!S109,'JSO (t)'!S109)</f>
        <v>0.15689999999999998</v>
      </c>
      <c r="T109" s="483">
        <f>SUM('DUoS (t)'!T109,'TUoS (t)'!T109,'JSO (t)'!T109)</f>
        <v>7.2700000000000001E-2</v>
      </c>
      <c r="U109" s="480">
        <f>SUM('DUoS (t)'!U109,'TUoS (t)'!U109,'JSO (t)'!U109)</f>
        <v>0</v>
      </c>
      <c r="V109" s="481">
        <f>SUM('DUoS (t)'!V109,'TUoS (t)'!V109,'JSO (t)'!V109)</f>
        <v>0</v>
      </c>
      <c r="X109" s="183">
        <f>'Q (t)'!G109</f>
        <v>365</v>
      </c>
      <c r="Y109" s="184">
        <f>'Q (t)'!H109</f>
        <v>11150</v>
      </c>
      <c r="Z109" s="178">
        <f>'Q (t)'!I109</f>
        <v>0</v>
      </c>
      <c r="AA109" s="178">
        <f>'Q (t)'!J109</f>
        <v>0</v>
      </c>
      <c r="AB109" s="179">
        <f>'Q (t)'!K109</f>
        <v>0</v>
      </c>
      <c r="AC109" s="178">
        <f>'Q (t)'!L109</f>
        <v>0</v>
      </c>
      <c r="AD109" s="178">
        <f>'Q (t)'!M109</f>
        <v>0</v>
      </c>
      <c r="AE109" s="178">
        <f>'Q (t)'!N109</f>
        <v>0</v>
      </c>
      <c r="AF109" s="179">
        <f>'Q (t)'!O109</f>
        <v>0</v>
      </c>
      <c r="AG109" s="178">
        <f>'Q (t)'!P109</f>
        <v>0</v>
      </c>
      <c r="AH109" s="178">
        <f>'Q (t)'!Q109</f>
        <v>0</v>
      </c>
      <c r="AI109" s="179">
        <f>'Q (t)'!R109</f>
        <v>0</v>
      </c>
      <c r="AJ109" s="184">
        <f>'Q (t)'!S109</f>
        <v>1002290</v>
      </c>
      <c r="AK109" s="178">
        <f>'Q (t)'!T109</f>
        <v>1825000</v>
      </c>
      <c r="AL109" s="184">
        <f>'Q (t)'!U109</f>
        <v>0</v>
      </c>
      <c r="AM109" s="179">
        <f>'Q (t)'!V109</f>
        <v>0</v>
      </c>
      <c r="AO109" s="183">
        <f t="shared" si="62"/>
        <v>0</v>
      </c>
      <c r="AP109" s="184">
        <f t="shared" si="74"/>
        <v>156.1</v>
      </c>
      <c r="AQ109" s="178">
        <f t="shared" si="74"/>
        <v>0</v>
      </c>
      <c r="AR109" s="178">
        <f t="shared" si="74"/>
        <v>0</v>
      </c>
      <c r="AS109" s="179">
        <f t="shared" si="74"/>
        <v>0</v>
      </c>
      <c r="AT109" s="178">
        <f t="shared" si="74"/>
        <v>0</v>
      </c>
      <c r="AU109" s="178">
        <f t="shared" si="74"/>
        <v>0</v>
      </c>
      <c r="AV109" s="178">
        <f t="shared" si="74"/>
        <v>0</v>
      </c>
      <c r="AW109" s="179">
        <f t="shared" si="74"/>
        <v>0</v>
      </c>
      <c r="AX109" s="178">
        <f t="shared" si="53"/>
        <v>0</v>
      </c>
      <c r="AY109" s="178">
        <f t="shared" si="54"/>
        <v>0</v>
      </c>
      <c r="AZ109" s="179">
        <f t="shared" si="55"/>
        <v>0</v>
      </c>
      <c r="BA109" s="184">
        <f t="shared" si="25"/>
        <v>157.25930099999997</v>
      </c>
      <c r="BB109" s="178">
        <f t="shared" si="25"/>
        <v>132.67750000000001</v>
      </c>
      <c r="BC109" s="184">
        <f t="shared" si="25"/>
        <v>0</v>
      </c>
      <c r="BD109" s="178">
        <f t="shared" si="25"/>
        <v>0</v>
      </c>
      <c r="BE109" s="244">
        <f t="shared" ref="BE109:BE114" si="82">X109/$BE$7</f>
        <v>1</v>
      </c>
      <c r="BF109" s="245">
        <f t="shared" si="65"/>
        <v>11150</v>
      </c>
      <c r="BH109" s="255">
        <f t="shared" si="77"/>
        <v>0</v>
      </c>
      <c r="BI109" s="255">
        <f t="shared" si="78"/>
        <v>156.1</v>
      </c>
      <c r="BJ109" s="255">
        <f t="shared" si="79"/>
        <v>0</v>
      </c>
      <c r="BK109" s="256">
        <f t="shared" si="80"/>
        <v>289.93680099999995</v>
      </c>
      <c r="BL109" s="262">
        <f t="shared" si="81"/>
        <v>0</v>
      </c>
      <c r="BM109" s="257">
        <f t="shared" si="66"/>
        <v>446.03680099999997</v>
      </c>
      <c r="BO109" s="714">
        <f t="shared" si="67"/>
        <v>40.003300538116591</v>
      </c>
    </row>
    <row r="110" spans="2:67" ht="15" customHeight="1" x14ac:dyDescent="0.25">
      <c r="B110" s="19">
        <f t="shared" si="75"/>
        <v>14</v>
      </c>
      <c r="C110" s="44" t="s">
        <v>565</v>
      </c>
      <c r="D110" s="45"/>
      <c r="E110" s="105" t="s">
        <v>126</v>
      </c>
      <c r="G110" s="477">
        <f>SUM('DUoS (t)'!G110,'TUoS (t)'!G110,'JSO (t)'!G110)</f>
        <v>0</v>
      </c>
      <c r="H110" s="478">
        <f>SUM('DUoS (t)'!H110,'TUoS (t)'!H110,'JSO (t)'!H110)</f>
        <v>1.4E-2</v>
      </c>
      <c r="I110" s="461">
        <f>SUM('DUoS (t)'!I110,'TUoS (t)'!I110,'JSO (t)'!I110)</f>
        <v>0</v>
      </c>
      <c r="J110" s="461">
        <f>SUM('DUoS (t)'!J110,'TUoS (t)'!J110,'JSO (t)'!J110)</f>
        <v>0</v>
      </c>
      <c r="K110" s="462">
        <f>SUM('DUoS (t)'!K110,'TUoS (t)'!K110,'JSO (t)'!K110)</f>
        <v>0</v>
      </c>
      <c r="L110" s="461">
        <f>SUM('DUoS (t)'!L110,'TUoS (t)'!L110,'JSO (t)'!L110)</f>
        <v>0</v>
      </c>
      <c r="M110" s="461">
        <f>SUM('DUoS (t)'!M110,'TUoS (t)'!M110,'JSO (t)'!M110)</f>
        <v>0</v>
      </c>
      <c r="N110" s="461">
        <f>SUM('DUoS (t)'!N110,'TUoS (t)'!N110,'JSO (t)'!N110)</f>
        <v>0</v>
      </c>
      <c r="O110" s="462">
        <f>SUM('DUoS (t)'!O110,'TUoS (t)'!O110,'JSO (t)'!O110)</f>
        <v>0</v>
      </c>
      <c r="P110" s="461">
        <f>SUM('DUoS (t)'!P110,'TUoS (t)'!P110,'JSO (t)'!P110)</f>
        <v>0</v>
      </c>
      <c r="Q110" s="461">
        <f>SUM('DUoS (t)'!Q110,'TUoS (t)'!Q110,'JSO (t)'!Q110)</f>
        <v>0</v>
      </c>
      <c r="R110" s="462">
        <f>SUM('DUoS (t)'!R110,'TUoS (t)'!R110,'JSO (t)'!R110)</f>
        <v>0</v>
      </c>
      <c r="S110" s="478">
        <f>SUM('DUoS (t)'!S110,'TUoS (t)'!S110,'JSO (t)'!S110)</f>
        <v>0.15689999999999998</v>
      </c>
      <c r="T110" s="483">
        <f>SUM('DUoS (t)'!T110,'TUoS (t)'!T110,'JSO (t)'!T110)</f>
        <v>7.2700000000000001E-2</v>
      </c>
      <c r="U110" s="480">
        <f>SUM('DUoS (t)'!U110,'TUoS (t)'!U110,'JSO (t)'!U110)</f>
        <v>0</v>
      </c>
      <c r="V110" s="481">
        <f>SUM('DUoS (t)'!V110,'TUoS (t)'!V110,'JSO (t)'!V110)</f>
        <v>0</v>
      </c>
      <c r="X110" s="183">
        <f>'Q (t)'!G110</f>
        <v>365</v>
      </c>
      <c r="Y110" s="184">
        <f>'Q (t)'!H110</f>
        <v>10630</v>
      </c>
      <c r="Z110" s="178">
        <f>'Q (t)'!I110</f>
        <v>0</v>
      </c>
      <c r="AA110" s="178">
        <f>'Q (t)'!J110</f>
        <v>0</v>
      </c>
      <c r="AB110" s="179">
        <f>'Q (t)'!K110</f>
        <v>0</v>
      </c>
      <c r="AC110" s="178">
        <f>'Q (t)'!L110</f>
        <v>0</v>
      </c>
      <c r="AD110" s="178">
        <f>'Q (t)'!M110</f>
        <v>0</v>
      </c>
      <c r="AE110" s="178">
        <f>'Q (t)'!N110</f>
        <v>0</v>
      </c>
      <c r="AF110" s="179">
        <f>'Q (t)'!O110</f>
        <v>0</v>
      </c>
      <c r="AG110" s="178">
        <f>'Q (t)'!P110</f>
        <v>0</v>
      </c>
      <c r="AH110" s="178">
        <f>'Q (t)'!Q110</f>
        <v>0</v>
      </c>
      <c r="AI110" s="179">
        <f>'Q (t)'!R110</f>
        <v>0</v>
      </c>
      <c r="AJ110" s="184">
        <f>'Q (t)'!S110</f>
        <v>604805</v>
      </c>
      <c r="AK110" s="178">
        <f>'Q (t)'!T110</f>
        <v>1825000</v>
      </c>
      <c r="AL110" s="184">
        <f>'Q (t)'!U110</f>
        <v>0</v>
      </c>
      <c r="AM110" s="179">
        <f>'Q (t)'!V110</f>
        <v>0</v>
      </c>
      <c r="AO110" s="183">
        <f t="shared" si="62"/>
        <v>0</v>
      </c>
      <c r="AP110" s="184">
        <f t="shared" si="74"/>
        <v>148.82</v>
      </c>
      <c r="AQ110" s="178">
        <f t="shared" si="74"/>
        <v>0</v>
      </c>
      <c r="AR110" s="178">
        <f t="shared" si="74"/>
        <v>0</v>
      </c>
      <c r="AS110" s="179">
        <f t="shared" si="74"/>
        <v>0</v>
      </c>
      <c r="AT110" s="178">
        <f t="shared" si="74"/>
        <v>0</v>
      </c>
      <c r="AU110" s="178">
        <f t="shared" si="74"/>
        <v>0</v>
      </c>
      <c r="AV110" s="178">
        <f t="shared" si="74"/>
        <v>0</v>
      </c>
      <c r="AW110" s="179">
        <f t="shared" si="74"/>
        <v>0</v>
      </c>
      <c r="AX110" s="178">
        <f t="shared" si="53"/>
        <v>0</v>
      </c>
      <c r="AY110" s="178">
        <f t="shared" si="54"/>
        <v>0</v>
      </c>
      <c r="AZ110" s="179">
        <f t="shared" si="55"/>
        <v>0</v>
      </c>
      <c r="BA110" s="184">
        <f t="shared" si="25"/>
        <v>94.893904499999991</v>
      </c>
      <c r="BB110" s="178">
        <f t="shared" si="25"/>
        <v>132.67750000000001</v>
      </c>
      <c r="BC110" s="184">
        <f t="shared" si="25"/>
        <v>0</v>
      </c>
      <c r="BD110" s="178">
        <f t="shared" si="25"/>
        <v>0</v>
      </c>
      <c r="BE110" s="244">
        <f t="shared" si="82"/>
        <v>1</v>
      </c>
      <c r="BF110" s="245">
        <f t="shared" si="65"/>
        <v>10630</v>
      </c>
      <c r="BH110" s="255">
        <f t="shared" si="77"/>
        <v>0</v>
      </c>
      <c r="BI110" s="255">
        <f t="shared" si="78"/>
        <v>148.82</v>
      </c>
      <c r="BJ110" s="255">
        <f t="shared" si="79"/>
        <v>0</v>
      </c>
      <c r="BK110" s="256">
        <f t="shared" si="80"/>
        <v>227.5714045</v>
      </c>
      <c r="BL110" s="262">
        <f t="shared" si="81"/>
        <v>0</v>
      </c>
      <c r="BM110" s="257">
        <f t="shared" si="66"/>
        <v>376.39140450000002</v>
      </c>
      <c r="BO110" s="714">
        <f t="shared" si="67"/>
        <v>35.408410583254941</v>
      </c>
    </row>
    <row r="111" spans="2:67" ht="15" customHeight="1" x14ac:dyDescent="0.25">
      <c r="B111" s="19">
        <f t="shared" si="75"/>
        <v>15</v>
      </c>
      <c r="C111" s="44" t="s">
        <v>560</v>
      </c>
      <c r="D111" s="45"/>
      <c r="E111" s="105" t="s">
        <v>126</v>
      </c>
      <c r="G111" s="477">
        <f>SUM('DUoS (t)'!G111,'TUoS (t)'!G111,'JSO (t)'!G111)</f>
        <v>0</v>
      </c>
      <c r="H111" s="478">
        <f>SUM('DUoS (t)'!H111,'TUoS (t)'!H111,'JSO (t)'!H111)</f>
        <v>1.4E-2</v>
      </c>
      <c r="I111" s="461">
        <f>SUM('DUoS (t)'!I111,'TUoS (t)'!I111,'JSO (t)'!I111)</f>
        <v>0</v>
      </c>
      <c r="J111" s="461">
        <f>SUM('DUoS (t)'!J111,'TUoS (t)'!J111,'JSO (t)'!J111)</f>
        <v>0</v>
      </c>
      <c r="K111" s="462">
        <f>SUM('DUoS (t)'!K111,'TUoS (t)'!K111,'JSO (t)'!K111)</f>
        <v>0</v>
      </c>
      <c r="L111" s="461">
        <f>SUM('DUoS (t)'!L111,'TUoS (t)'!L111,'JSO (t)'!L111)</f>
        <v>0</v>
      </c>
      <c r="M111" s="461">
        <f>SUM('DUoS (t)'!M111,'TUoS (t)'!M111,'JSO (t)'!M111)</f>
        <v>0</v>
      </c>
      <c r="N111" s="461">
        <f>SUM('DUoS (t)'!N111,'TUoS (t)'!N111,'JSO (t)'!N111)</f>
        <v>0</v>
      </c>
      <c r="O111" s="462">
        <f>SUM('DUoS (t)'!O111,'TUoS (t)'!O111,'JSO (t)'!O111)</f>
        <v>0</v>
      </c>
      <c r="P111" s="461">
        <f>SUM('DUoS (t)'!P111,'TUoS (t)'!P111,'JSO (t)'!P111)</f>
        <v>0</v>
      </c>
      <c r="Q111" s="461">
        <f>SUM('DUoS (t)'!Q111,'TUoS (t)'!Q111,'JSO (t)'!Q111)</f>
        <v>0</v>
      </c>
      <c r="R111" s="462">
        <f>SUM('DUoS (t)'!R111,'TUoS (t)'!R111,'JSO (t)'!R111)</f>
        <v>0</v>
      </c>
      <c r="S111" s="478">
        <f>SUM('DUoS (t)'!S111,'TUoS (t)'!S111,'JSO (t)'!S111)</f>
        <v>0.15689999999999998</v>
      </c>
      <c r="T111" s="483">
        <f>SUM('DUoS (t)'!T111,'TUoS (t)'!T111,'JSO (t)'!T111)</f>
        <v>7.2700000000000001E-2</v>
      </c>
      <c r="U111" s="480">
        <f>SUM('DUoS (t)'!U111,'TUoS (t)'!U111,'JSO (t)'!U111)</f>
        <v>0</v>
      </c>
      <c r="V111" s="481">
        <f>SUM('DUoS (t)'!V111,'TUoS (t)'!V111,'JSO (t)'!V111)</f>
        <v>0</v>
      </c>
      <c r="X111" s="183">
        <f>'Q (t)'!G111</f>
        <v>365</v>
      </c>
      <c r="Y111" s="184">
        <f>'Q (t)'!H111</f>
        <v>4130</v>
      </c>
      <c r="Z111" s="178">
        <f>'Q (t)'!I111</f>
        <v>0</v>
      </c>
      <c r="AA111" s="178">
        <f>'Q (t)'!J111</f>
        <v>0</v>
      </c>
      <c r="AB111" s="179">
        <f>'Q (t)'!K111</f>
        <v>0</v>
      </c>
      <c r="AC111" s="178">
        <f>'Q (t)'!L111</f>
        <v>0</v>
      </c>
      <c r="AD111" s="178">
        <f>'Q (t)'!M111</f>
        <v>0</v>
      </c>
      <c r="AE111" s="178">
        <f>'Q (t)'!N111</f>
        <v>0</v>
      </c>
      <c r="AF111" s="179">
        <f>'Q (t)'!O111</f>
        <v>0</v>
      </c>
      <c r="AG111" s="178">
        <f>'Q (t)'!P111</f>
        <v>0</v>
      </c>
      <c r="AH111" s="178">
        <f>'Q (t)'!Q111</f>
        <v>0</v>
      </c>
      <c r="AI111" s="179">
        <f>'Q (t)'!R111</f>
        <v>0</v>
      </c>
      <c r="AJ111" s="184">
        <f>'Q (t)'!S111</f>
        <v>214255</v>
      </c>
      <c r="AK111" s="178">
        <f>'Q (t)'!T111</f>
        <v>1825000</v>
      </c>
      <c r="AL111" s="184">
        <f>'Q (t)'!U111</f>
        <v>0</v>
      </c>
      <c r="AM111" s="179">
        <f>'Q (t)'!V111</f>
        <v>0</v>
      </c>
      <c r="AO111" s="183">
        <f t="shared" si="62"/>
        <v>0</v>
      </c>
      <c r="AP111" s="184">
        <f t="shared" si="74"/>
        <v>57.82</v>
      </c>
      <c r="AQ111" s="178">
        <f t="shared" si="74"/>
        <v>0</v>
      </c>
      <c r="AR111" s="178">
        <f t="shared" si="74"/>
        <v>0</v>
      </c>
      <c r="AS111" s="179">
        <f t="shared" si="74"/>
        <v>0</v>
      </c>
      <c r="AT111" s="178">
        <f t="shared" si="74"/>
        <v>0</v>
      </c>
      <c r="AU111" s="178">
        <f t="shared" si="74"/>
        <v>0</v>
      </c>
      <c r="AV111" s="178">
        <f t="shared" si="74"/>
        <v>0</v>
      </c>
      <c r="AW111" s="179">
        <f t="shared" si="74"/>
        <v>0</v>
      </c>
      <c r="AX111" s="178">
        <f t="shared" si="53"/>
        <v>0</v>
      </c>
      <c r="AY111" s="178">
        <f t="shared" si="54"/>
        <v>0</v>
      </c>
      <c r="AZ111" s="179">
        <f t="shared" si="55"/>
        <v>0</v>
      </c>
      <c r="BA111" s="184">
        <f t="shared" si="25"/>
        <v>33.616609499999996</v>
      </c>
      <c r="BB111" s="178">
        <f t="shared" si="25"/>
        <v>132.67750000000001</v>
      </c>
      <c r="BC111" s="184">
        <f t="shared" si="25"/>
        <v>0</v>
      </c>
      <c r="BD111" s="178">
        <f t="shared" si="25"/>
        <v>0</v>
      </c>
      <c r="BE111" s="244">
        <f t="shared" si="82"/>
        <v>1</v>
      </c>
      <c r="BF111" s="245">
        <f t="shared" si="65"/>
        <v>4130</v>
      </c>
      <c r="BH111" s="255">
        <f t="shared" si="77"/>
        <v>0</v>
      </c>
      <c r="BI111" s="255">
        <f t="shared" si="78"/>
        <v>57.82</v>
      </c>
      <c r="BJ111" s="255">
        <f t="shared" si="79"/>
        <v>0</v>
      </c>
      <c r="BK111" s="256">
        <f t="shared" si="80"/>
        <v>166.29410949999999</v>
      </c>
      <c r="BL111" s="262">
        <f t="shared" si="81"/>
        <v>0</v>
      </c>
      <c r="BM111" s="257">
        <f t="shared" si="66"/>
        <v>224.11410949999998</v>
      </c>
      <c r="BO111" s="714">
        <f t="shared" si="67"/>
        <v>54.264917554479418</v>
      </c>
    </row>
    <row r="112" spans="2:67" ht="15" customHeight="1" x14ac:dyDescent="0.25">
      <c r="B112" s="19">
        <f t="shared" si="75"/>
        <v>16</v>
      </c>
      <c r="C112" s="44" t="s">
        <v>130</v>
      </c>
      <c r="D112" s="45"/>
      <c r="E112" s="105" t="s">
        <v>126</v>
      </c>
      <c r="G112" s="477">
        <f>SUM('DUoS (t)'!G112,'TUoS (t)'!G112,'JSO (t)'!G112)</f>
        <v>65.730699999999999</v>
      </c>
      <c r="H112" s="478">
        <f>SUM('DUoS (t)'!H112,'TUoS (t)'!H112,'JSO (t)'!H112)</f>
        <v>5.1999999999999998E-3</v>
      </c>
      <c r="I112" s="461">
        <f>SUM('DUoS (t)'!I112,'TUoS (t)'!I112,'JSO (t)'!I112)</f>
        <v>0</v>
      </c>
      <c r="J112" s="461">
        <f>SUM('DUoS (t)'!J112,'TUoS (t)'!J112,'JSO (t)'!J112)</f>
        <v>0</v>
      </c>
      <c r="K112" s="462">
        <f>SUM('DUoS (t)'!K112,'TUoS (t)'!K112,'JSO (t)'!K112)</f>
        <v>0</v>
      </c>
      <c r="L112" s="461">
        <f>SUM('DUoS (t)'!L112,'TUoS (t)'!L112,'JSO (t)'!L112)</f>
        <v>0</v>
      </c>
      <c r="M112" s="461">
        <f>SUM('DUoS (t)'!M112,'TUoS (t)'!M112,'JSO (t)'!M112)</f>
        <v>0</v>
      </c>
      <c r="N112" s="461">
        <f>SUM('DUoS (t)'!N112,'TUoS (t)'!N112,'JSO (t)'!N112)</f>
        <v>0</v>
      </c>
      <c r="O112" s="462">
        <f>SUM('DUoS (t)'!O112,'TUoS (t)'!O112,'JSO (t)'!O112)</f>
        <v>0</v>
      </c>
      <c r="P112" s="461">
        <f>SUM('DUoS (t)'!P112,'TUoS (t)'!P112,'JSO (t)'!P112)</f>
        <v>0</v>
      </c>
      <c r="Q112" s="461">
        <f>SUM('DUoS (t)'!Q112,'TUoS (t)'!Q112,'JSO (t)'!Q112)</f>
        <v>0</v>
      </c>
      <c r="R112" s="462">
        <f>SUM('DUoS (t)'!R112,'TUoS (t)'!R112,'JSO (t)'!R112)</f>
        <v>0</v>
      </c>
      <c r="S112" s="478">
        <f>SUM('DUoS (t)'!S112,'TUoS (t)'!S112,'JSO (t)'!S112)</f>
        <v>0.21929999999999999</v>
      </c>
      <c r="T112" s="483">
        <f>SUM('DUoS (t)'!T112,'TUoS (t)'!T112,'JSO (t)'!T112)</f>
        <v>7.2700000000000001E-2</v>
      </c>
      <c r="U112" s="480">
        <f>SUM('DUoS (t)'!U112,'TUoS (t)'!U112,'JSO (t)'!U112)</f>
        <v>0</v>
      </c>
      <c r="V112" s="481">
        <f>SUM('DUoS (t)'!V112,'TUoS (t)'!V112,'JSO (t)'!V112)</f>
        <v>0</v>
      </c>
      <c r="X112" s="183">
        <f>'Q (t)'!G112</f>
        <v>365</v>
      </c>
      <c r="Y112" s="184">
        <f>'Q (t)'!H112</f>
        <v>30300</v>
      </c>
      <c r="Z112" s="178">
        <f>'Q (t)'!I112</f>
        <v>0</v>
      </c>
      <c r="AA112" s="178">
        <f>'Q (t)'!J112</f>
        <v>0</v>
      </c>
      <c r="AB112" s="179">
        <f>'Q (t)'!K112</f>
        <v>0</v>
      </c>
      <c r="AC112" s="178">
        <f>'Q (t)'!L112</f>
        <v>0</v>
      </c>
      <c r="AD112" s="178">
        <f>'Q (t)'!M112</f>
        <v>0</v>
      </c>
      <c r="AE112" s="178">
        <f>'Q (t)'!N112</f>
        <v>0</v>
      </c>
      <c r="AF112" s="179">
        <f>'Q (t)'!O112</f>
        <v>0</v>
      </c>
      <c r="AG112" s="178">
        <f>'Q (t)'!P112</f>
        <v>0</v>
      </c>
      <c r="AH112" s="178">
        <f>'Q (t)'!Q112</f>
        <v>0</v>
      </c>
      <c r="AI112" s="179">
        <f>'Q (t)'!R112</f>
        <v>0</v>
      </c>
      <c r="AJ112" s="184">
        <f>'Q (t)'!S112</f>
        <v>3612405</v>
      </c>
      <c r="AK112" s="178">
        <f>'Q (t)'!T112</f>
        <v>4752665</v>
      </c>
      <c r="AL112" s="184">
        <f>'Q (t)'!U112</f>
        <v>0</v>
      </c>
      <c r="AM112" s="179">
        <f>'Q (t)'!V112</f>
        <v>0</v>
      </c>
      <c r="AO112" s="183">
        <f t="shared" si="62"/>
        <v>23.991705499999998</v>
      </c>
      <c r="AP112" s="184">
        <f t="shared" si="74"/>
        <v>157.56</v>
      </c>
      <c r="AQ112" s="178">
        <f t="shared" si="74"/>
        <v>0</v>
      </c>
      <c r="AR112" s="178">
        <f t="shared" si="74"/>
        <v>0</v>
      </c>
      <c r="AS112" s="179">
        <f t="shared" si="74"/>
        <v>0</v>
      </c>
      <c r="AT112" s="178">
        <f t="shared" si="74"/>
        <v>0</v>
      </c>
      <c r="AU112" s="178">
        <f t="shared" si="74"/>
        <v>0</v>
      </c>
      <c r="AV112" s="178">
        <f t="shared" si="74"/>
        <v>0</v>
      </c>
      <c r="AW112" s="179">
        <f t="shared" si="74"/>
        <v>0</v>
      </c>
      <c r="AX112" s="178">
        <f t="shared" si="53"/>
        <v>0</v>
      </c>
      <c r="AY112" s="178">
        <f t="shared" si="54"/>
        <v>0</v>
      </c>
      <c r="AZ112" s="179">
        <f t="shared" si="55"/>
        <v>0</v>
      </c>
      <c r="BA112" s="184">
        <f t="shared" si="25"/>
        <v>792.20041649999996</v>
      </c>
      <c r="BB112" s="178">
        <f t="shared" si="25"/>
        <v>345.51874550000002</v>
      </c>
      <c r="BC112" s="184">
        <f t="shared" si="25"/>
        <v>0</v>
      </c>
      <c r="BD112" s="178">
        <f t="shared" si="25"/>
        <v>0</v>
      </c>
      <c r="BE112" s="244">
        <f t="shared" si="82"/>
        <v>1</v>
      </c>
      <c r="BF112" s="245">
        <f t="shared" ref="BF112:BF129" si="83">SUM(Y112:AF112)</f>
        <v>30300</v>
      </c>
      <c r="BH112" s="255">
        <f t="shared" si="77"/>
        <v>23.991705499999998</v>
      </c>
      <c r="BI112" s="255">
        <f t="shared" si="78"/>
        <v>157.56</v>
      </c>
      <c r="BJ112" s="255">
        <f t="shared" si="79"/>
        <v>0</v>
      </c>
      <c r="BK112" s="256">
        <f t="shared" si="80"/>
        <v>1137.7191619999999</v>
      </c>
      <c r="BL112" s="262">
        <f t="shared" si="81"/>
        <v>0</v>
      </c>
      <c r="BM112" s="257">
        <f t="shared" si="66"/>
        <v>1319.2708674999999</v>
      </c>
      <c r="BO112" s="714">
        <f t="shared" si="67"/>
        <v>43.540292656765672</v>
      </c>
    </row>
    <row r="113" spans="2:67" ht="15" customHeight="1" x14ac:dyDescent="0.25">
      <c r="B113" s="19">
        <f t="shared" si="75"/>
        <v>17</v>
      </c>
      <c r="C113" s="44" t="s">
        <v>131</v>
      </c>
      <c r="D113" s="45"/>
      <c r="E113" s="105" t="s">
        <v>126</v>
      </c>
      <c r="G113" s="477">
        <f>SUM('DUoS (t)'!G113,'TUoS (t)'!G113,'JSO (t)'!G113)</f>
        <v>121.2315</v>
      </c>
      <c r="H113" s="478">
        <f>SUM('DUoS (t)'!H113,'TUoS (t)'!H113,'JSO (t)'!H113)</f>
        <v>5.1999999999999998E-3</v>
      </c>
      <c r="I113" s="461">
        <f>SUM('DUoS (t)'!I113,'TUoS (t)'!I113,'JSO (t)'!I113)</f>
        <v>0</v>
      </c>
      <c r="J113" s="461">
        <f>SUM('DUoS (t)'!J113,'TUoS (t)'!J113,'JSO (t)'!J113)</f>
        <v>0</v>
      </c>
      <c r="K113" s="462">
        <f>SUM('DUoS (t)'!K113,'TUoS (t)'!K113,'JSO (t)'!K113)</f>
        <v>0</v>
      </c>
      <c r="L113" s="461">
        <f>SUM('DUoS (t)'!L113,'TUoS (t)'!L113,'JSO (t)'!L113)</f>
        <v>0</v>
      </c>
      <c r="M113" s="461">
        <f>SUM('DUoS (t)'!M113,'TUoS (t)'!M113,'JSO (t)'!M113)</f>
        <v>0</v>
      </c>
      <c r="N113" s="461">
        <f>SUM('DUoS (t)'!N113,'TUoS (t)'!N113,'JSO (t)'!N113)</f>
        <v>0</v>
      </c>
      <c r="O113" s="462">
        <f>SUM('DUoS (t)'!O113,'TUoS (t)'!O113,'JSO (t)'!O113)</f>
        <v>0</v>
      </c>
      <c r="P113" s="461">
        <f>SUM('DUoS (t)'!P113,'TUoS (t)'!P113,'JSO (t)'!P113)</f>
        <v>0</v>
      </c>
      <c r="Q113" s="461">
        <f>SUM('DUoS (t)'!Q113,'TUoS (t)'!Q113,'JSO (t)'!Q113)</f>
        <v>0</v>
      </c>
      <c r="R113" s="462">
        <f>SUM('DUoS (t)'!R113,'TUoS (t)'!R113,'JSO (t)'!R113)</f>
        <v>0</v>
      </c>
      <c r="S113" s="478">
        <f>SUM('DUoS (t)'!S113,'TUoS (t)'!S113,'JSO (t)'!S113)</f>
        <v>0.21929999999999999</v>
      </c>
      <c r="T113" s="483">
        <f>SUM('DUoS (t)'!T113,'TUoS (t)'!T113,'JSO (t)'!T113)</f>
        <v>7.2700000000000001E-2</v>
      </c>
      <c r="U113" s="480">
        <f>SUM('DUoS (t)'!U113,'TUoS (t)'!U113,'JSO (t)'!U113)</f>
        <v>0</v>
      </c>
      <c r="V113" s="481">
        <f>SUM('DUoS (t)'!V113,'TUoS (t)'!V113,'JSO (t)'!V113)</f>
        <v>0</v>
      </c>
      <c r="X113" s="183">
        <f>'Q (t)'!G113</f>
        <v>365</v>
      </c>
      <c r="Y113" s="184">
        <f>'Q (t)'!H113</f>
        <v>47800</v>
      </c>
      <c r="Z113" s="178">
        <f>'Q (t)'!I113</f>
        <v>0</v>
      </c>
      <c r="AA113" s="178">
        <f>'Q (t)'!J113</f>
        <v>0</v>
      </c>
      <c r="AB113" s="179">
        <f>'Q (t)'!K113</f>
        <v>0</v>
      </c>
      <c r="AC113" s="178">
        <f>'Q (t)'!L113</f>
        <v>0</v>
      </c>
      <c r="AD113" s="178">
        <f>'Q (t)'!M113</f>
        <v>0</v>
      </c>
      <c r="AE113" s="178">
        <f>'Q (t)'!N113</f>
        <v>0</v>
      </c>
      <c r="AF113" s="179">
        <f>'Q (t)'!O113</f>
        <v>0</v>
      </c>
      <c r="AG113" s="178">
        <f>'Q (t)'!P113</f>
        <v>0</v>
      </c>
      <c r="AH113" s="178">
        <f>'Q (t)'!Q113</f>
        <v>0</v>
      </c>
      <c r="AI113" s="179">
        <f>'Q (t)'!R113</f>
        <v>0</v>
      </c>
      <c r="AJ113" s="184">
        <f>'Q (t)'!S113</f>
        <v>2413745</v>
      </c>
      <c r="AK113" s="178">
        <f>'Q (t)'!T113</f>
        <v>2636760</v>
      </c>
      <c r="AL113" s="184">
        <f>'Q (t)'!U113</f>
        <v>0</v>
      </c>
      <c r="AM113" s="179">
        <f>'Q (t)'!V113</f>
        <v>0</v>
      </c>
      <c r="AO113" s="183">
        <f t="shared" si="62"/>
        <v>44.249497499999997</v>
      </c>
      <c r="AP113" s="184">
        <f t="shared" ref="AP113:AW127" si="84">H113*Y113</f>
        <v>248.56</v>
      </c>
      <c r="AQ113" s="178">
        <f t="shared" si="84"/>
        <v>0</v>
      </c>
      <c r="AR113" s="178">
        <f t="shared" si="84"/>
        <v>0</v>
      </c>
      <c r="AS113" s="179">
        <f t="shared" si="84"/>
        <v>0</v>
      </c>
      <c r="AT113" s="178">
        <f t="shared" si="84"/>
        <v>0</v>
      </c>
      <c r="AU113" s="178">
        <f t="shared" si="84"/>
        <v>0</v>
      </c>
      <c r="AV113" s="178">
        <f t="shared" si="84"/>
        <v>0</v>
      </c>
      <c r="AW113" s="179">
        <f t="shared" si="84"/>
        <v>0</v>
      </c>
      <c r="AX113" s="178">
        <f t="shared" si="53"/>
        <v>0</v>
      </c>
      <c r="AY113" s="178">
        <f t="shared" si="54"/>
        <v>0</v>
      </c>
      <c r="AZ113" s="179">
        <f t="shared" si="55"/>
        <v>0</v>
      </c>
      <c r="BA113" s="184">
        <f t="shared" si="25"/>
        <v>529.33427849999998</v>
      </c>
      <c r="BB113" s="178">
        <f t="shared" si="25"/>
        <v>191.692452</v>
      </c>
      <c r="BC113" s="184">
        <f t="shared" si="25"/>
        <v>0</v>
      </c>
      <c r="BD113" s="178">
        <f t="shared" si="25"/>
        <v>0</v>
      </c>
      <c r="BE113" s="244">
        <f t="shared" si="82"/>
        <v>1</v>
      </c>
      <c r="BF113" s="245">
        <f t="shared" si="83"/>
        <v>47800</v>
      </c>
      <c r="BH113" s="255">
        <f t="shared" si="77"/>
        <v>44.249497499999997</v>
      </c>
      <c r="BI113" s="255">
        <f t="shared" si="78"/>
        <v>248.56</v>
      </c>
      <c r="BJ113" s="255">
        <f t="shared" si="79"/>
        <v>0</v>
      </c>
      <c r="BK113" s="256">
        <f t="shared" si="80"/>
        <v>721.02673049999999</v>
      </c>
      <c r="BL113" s="262">
        <f t="shared" si="81"/>
        <v>0</v>
      </c>
      <c r="BM113" s="257">
        <f t="shared" si="66"/>
        <v>1013.836228</v>
      </c>
      <c r="BO113" s="714">
        <f t="shared" si="67"/>
        <v>21.209962928870294</v>
      </c>
    </row>
    <row r="114" spans="2:67" ht="15" customHeight="1" x14ac:dyDescent="0.25">
      <c r="B114" s="19">
        <f t="shared" si="75"/>
        <v>18</v>
      </c>
      <c r="C114" s="44" t="s">
        <v>561</v>
      </c>
      <c r="D114" s="45"/>
      <c r="E114" s="105" t="s">
        <v>126</v>
      </c>
      <c r="G114" s="477">
        <f>SUM('DUoS (t)'!G114,'TUoS (t)'!G114,'JSO (t)'!G114)</f>
        <v>0</v>
      </c>
      <c r="H114" s="478">
        <f>SUM('DUoS (t)'!H114,'TUoS (t)'!H114,'JSO (t)'!H114)</f>
        <v>1.4E-2</v>
      </c>
      <c r="I114" s="461">
        <f>SUM('DUoS (t)'!I114,'TUoS (t)'!I114,'JSO (t)'!I114)</f>
        <v>0</v>
      </c>
      <c r="J114" s="461">
        <f>SUM('DUoS (t)'!J114,'TUoS (t)'!J114,'JSO (t)'!J114)</f>
        <v>0</v>
      </c>
      <c r="K114" s="462">
        <f>SUM('DUoS (t)'!K114,'TUoS (t)'!K114,'JSO (t)'!K114)</f>
        <v>0</v>
      </c>
      <c r="L114" s="461">
        <f>SUM('DUoS (t)'!L114,'TUoS (t)'!L114,'JSO (t)'!L114)</f>
        <v>0</v>
      </c>
      <c r="M114" s="461">
        <f>SUM('DUoS (t)'!M114,'TUoS (t)'!M114,'JSO (t)'!M114)</f>
        <v>0</v>
      </c>
      <c r="N114" s="461">
        <f>SUM('DUoS (t)'!N114,'TUoS (t)'!N114,'JSO (t)'!N114)</f>
        <v>0</v>
      </c>
      <c r="O114" s="462">
        <f>SUM('DUoS (t)'!O114,'TUoS (t)'!O114,'JSO (t)'!O114)</f>
        <v>0</v>
      </c>
      <c r="P114" s="461">
        <f>SUM('DUoS (t)'!P114,'TUoS (t)'!P114,'JSO (t)'!P114)</f>
        <v>0</v>
      </c>
      <c r="Q114" s="461">
        <f>SUM('DUoS (t)'!Q114,'TUoS (t)'!Q114,'JSO (t)'!Q114)</f>
        <v>0</v>
      </c>
      <c r="R114" s="462">
        <f>SUM('DUoS (t)'!R114,'TUoS (t)'!R114,'JSO (t)'!R114)</f>
        <v>0</v>
      </c>
      <c r="S114" s="478">
        <f>SUM('DUoS (t)'!S114,'TUoS (t)'!S114,'JSO (t)'!S114)</f>
        <v>0.15689999999999998</v>
      </c>
      <c r="T114" s="483">
        <f>SUM('DUoS (t)'!T114,'TUoS (t)'!T114,'JSO (t)'!T114)</f>
        <v>7.2700000000000001E-2</v>
      </c>
      <c r="U114" s="480">
        <f>SUM('DUoS (t)'!U114,'TUoS (t)'!U114,'JSO (t)'!U114)</f>
        <v>0</v>
      </c>
      <c r="V114" s="481">
        <f>SUM('DUoS (t)'!V114,'TUoS (t)'!V114,'JSO (t)'!V114)</f>
        <v>0</v>
      </c>
      <c r="X114" s="183">
        <f>'Q (t)'!G114</f>
        <v>365</v>
      </c>
      <c r="Y114" s="184">
        <f>'Q (t)'!H114</f>
        <v>2860</v>
      </c>
      <c r="Z114" s="178">
        <f>'Q (t)'!I114</f>
        <v>0</v>
      </c>
      <c r="AA114" s="178">
        <f>'Q (t)'!J114</f>
        <v>0</v>
      </c>
      <c r="AB114" s="179">
        <f>'Q (t)'!K114</f>
        <v>0</v>
      </c>
      <c r="AC114" s="178">
        <f>'Q (t)'!L114</f>
        <v>0</v>
      </c>
      <c r="AD114" s="178">
        <f>'Q (t)'!M114</f>
        <v>0</v>
      </c>
      <c r="AE114" s="178">
        <f>'Q (t)'!N114</f>
        <v>0</v>
      </c>
      <c r="AF114" s="179">
        <f>'Q (t)'!O114</f>
        <v>0</v>
      </c>
      <c r="AG114" s="178">
        <f>'Q (t)'!P114</f>
        <v>0</v>
      </c>
      <c r="AH114" s="178">
        <f>'Q (t)'!Q114</f>
        <v>0</v>
      </c>
      <c r="AI114" s="179">
        <f>'Q (t)'!R114</f>
        <v>0</v>
      </c>
      <c r="AJ114" s="184">
        <f>'Q (t)'!S114</f>
        <v>467200</v>
      </c>
      <c r="AK114" s="178">
        <f>'Q (t)'!T114</f>
        <v>1825000</v>
      </c>
      <c r="AL114" s="184">
        <f>'Q (t)'!U114</f>
        <v>0</v>
      </c>
      <c r="AM114" s="179">
        <f>'Q (t)'!V114</f>
        <v>0</v>
      </c>
      <c r="AO114" s="183">
        <f t="shared" si="62"/>
        <v>0</v>
      </c>
      <c r="AP114" s="184">
        <f t="shared" si="84"/>
        <v>40.04</v>
      </c>
      <c r="AQ114" s="178">
        <f t="shared" si="84"/>
        <v>0</v>
      </c>
      <c r="AR114" s="178">
        <f t="shared" si="84"/>
        <v>0</v>
      </c>
      <c r="AS114" s="179">
        <f t="shared" si="84"/>
        <v>0</v>
      </c>
      <c r="AT114" s="178">
        <f t="shared" si="84"/>
        <v>0</v>
      </c>
      <c r="AU114" s="178">
        <f t="shared" si="84"/>
        <v>0</v>
      </c>
      <c r="AV114" s="178">
        <f t="shared" si="84"/>
        <v>0</v>
      </c>
      <c r="AW114" s="179">
        <f t="shared" si="84"/>
        <v>0</v>
      </c>
      <c r="AX114" s="178">
        <f t="shared" si="53"/>
        <v>0</v>
      </c>
      <c r="AY114" s="178">
        <f t="shared" si="54"/>
        <v>0</v>
      </c>
      <c r="AZ114" s="179">
        <f t="shared" si="55"/>
        <v>0</v>
      </c>
      <c r="BA114" s="184">
        <f t="shared" si="25"/>
        <v>73.30368</v>
      </c>
      <c r="BB114" s="178">
        <f t="shared" si="25"/>
        <v>132.67750000000001</v>
      </c>
      <c r="BC114" s="184">
        <f t="shared" si="25"/>
        <v>0</v>
      </c>
      <c r="BD114" s="178">
        <f t="shared" ref="BD114:BD129" si="85">V114*AM114/1000</f>
        <v>0</v>
      </c>
      <c r="BE114" s="244">
        <f t="shared" si="82"/>
        <v>1</v>
      </c>
      <c r="BF114" s="245">
        <f t="shared" si="83"/>
        <v>2860</v>
      </c>
      <c r="BH114" s="255">
        <f t="shared" si="77"/>
        <v>0</v>
      </c>
      <c r="BI114" s="255">
        <f t="shared" si="78"/>
        <v>40.04</v>
      </c>
      <c r="BJ114" s="255">
        <f t="shared" si="79"/>
        <v>0</v>
      </c>
      <c r="BK114" s="256">
        <f t="shared" si="80"/>
        <v>205.98117999999999</v>
      </c>
      <c r="BL114" s="262">
        <f t="shared" si="81"/>
        <v>0</v>
      </c>
      <c r="BM114" s="257">
        <f t="shared" si="66"/>
        <v>246.02117999999999</v>
      </c>
      <c r="BO114" s="714">
        <f t="shared" si="67"/>
        <v>86.02139160839161</v>
      </c>
    </row>
    <row r="115" spans="2:67" ht="15" customHeight="1" x14ac:dyDescent="0.25">
      <c r="B115" s="19"/>
      <c r="C115" s="36" t="s">
        <v>132</v>
      </c>
      <c r="D115" s="85"/>
      <c r="E115" s="85"/>
      <c r="G115" s="482">
        <f>SUM('DUoS (t)'!G115,'TUoS (t)'!G115,'JSO (t)'!G115)</f>
        <v>0</v>
      </c>
      <c r="H115" s="479">
        <f>SUM('DUoS (t)'!H115,'TUoS (t)'!H115,'JSO (t)'!H115)</f>
        <v>0</v>
      </c>
      <c r="I115" s="461">
        <f>SUM('DUoS (t)'!I115,'TUoS (t)'!I115,'JSO (t)'!I115)</f>
        <v>0</v>
      </c>
      <c r="J115" s="461">
        <f>SUM('DUoS (t)'!J115,'TUoS (t)'!J115,'JSO (t)'!J115)</f>
        <v>0</v>
      </c>
      <c r="K115" s="462">
        <f>SUM('DUoS (t)'!K115,'TUoS (t)'!K115,'JSO (t)'!K115)</f>
        <v>0</v>
      </c>
      <c r="L115" s="461">
        <f>SUM('DUoS (t)'!L115,'TUoS (t)'!L115,'JSO (t)'!L115)</f>
        <v>0</v>
      </c>
      <c r="M115" s="461">
        <f>SUM('DUoS (t)'!M115,'TUoS (t)'!M115,'JSO (t)'!M115)</f>
        <v>0</v>
      </c>
      <c r="N115" s="461">
        <f>SUM('DUoS (t)'!N115,'TUoS (t)'!N115,'JSO (t)'!N115)</f>
        <v>0</v>
      </c>
      <c r="O115" s="462">
        <f>SUM('DUoS (t)'!O115,'TUoS (t)'!O115,'JSO (t)'!O115)</f>
        <v>0</v>
      </c>
      <c r="P115" s="461">
        <f>SUM('DUoS (t)'!P115,'TUoS (t)'!P115,'JSO (t)'!P115)</f>
        <v>0</v>
      </c>
      <c r="Q115" s="461">
        <f>SUM('DUoS (t)'!Q115,'TUoS (t)'!Q115,'JSO (t)'!Q115)</f>
        <v>0</v>
      </c>
      <c r="R115" s="462">
        <f>SUM('DUoS (t)'!R115,'TUoS (t)'!R115,'JSO (t)'!R115)</f>
        <v>0</v>
      </c>
      <c r="S115" s="479">
        <f>SUM('DUoS (t)'!S115,'TUoS (t)'!S115,'JSO (t)'!S115)</f>
        <v>0</v>
      </c>
      <c r="T115" s="461">
        <f>SUM('DUoS (t)'!T115,'TUoS (t)'!T115,'JSO (t)'!T115)</f>
        <v>0</v>
      </c>
      <c r="U115" s="479">
        <f>SUM('DUoS (t)'!U115,'TUoS (t)'!U115,'JSO (t)'!U115)</f>
        <v>0</v>
      </c>
      <c r="V115" s="462">
        <f>SUM('DUoS (t)'!V115,'TUoS (t)'!V115,'JSO (t)'!V115)</f>
        <v>0</v>
      </c>
      <c r="X115" s="183">
        <f>'Q (t)'!G115</f>
        <v>0</v>
      </c>
      <c r="Y115" s="184">
        <f>'Q (t)'!H115</f>
        <v>0</v>
      </c>
      <c r="Z115" s="178">
        <f>'Q (t)'!I115</f>
        <v>0</v>
      </c>
      <c r="AA115" s="178">
        <f>'Q (t)'!J115</f>
        <v>0</v>
      </c>
      <c r="AB115" s="179">
        <f>'Q (t)'!K115</f>
        <v>0</v>
      </c>
      <c r="AC115" s="178">
        <f>'Q (t)'!L115</f>
        <v>0</v>
      </c>
      <c r="AD115" s="178">
        <f>'Q (t)'!M115</f>
        <v>0</v>
      </c>
      <c r="AE115" s="178">
        <f>'Q (t)'!N115</f>
        <v>0</v>
      </c>
      <c r="AF115" s="179">
        <f>'Q (t)'!O115</f>
        <v>0</v>
      </c>
      <c r="AG115" s="178">
        <f>'Q (t)'!P115</f>
        <v>0</v>
      </c>
      <c r="AH115" s="178">
        <f>'Q (t)'!Q115</f>
        <v>0</v>
      </c>
      <c r="AI115" s="179">
        <f>'Q (t)'!R115</f>
        <v>0</v>
      </c>
      <c r="AJ115" s="184">
        <f>'Q (t)'!S115</f>
        <v>0</v>
      </c>
      <c r="AK115" s="178">
        <f>'Q (t)'!T115</f>
        <v>0</v>
      </c>
      <c r="AL115" s="184">
        <f>'Q (t)'!U115</f>
        <v>0</v>
      </c>
      <c r="AM115" s="179">
        <f>'Q (t)'!V115</f>
        <v>0</v>
      </c>
      <c r="AO115" s="183">
        <f t="shared" si="62"/>
        <v>0</v>
      </c>
      <c r="AP115" s="184">
        <f t="shared" si="84"/>
        <v>0</v>
      </c>
      <c r="AQ115" s="178">
        <f t="shared" si="84"/>
        <v>0</v>
      </c>
      <c r="AR115" s="178">
        <f t="shared" si="84"/>
        <v>0</v>
      </c>
      <c r="AS115" s="179">
        <f t="shared" si="84"/>
        <v>0</v>
      </c>
      <c r="AT115" s="178">
        <f t="shared" si="84"/>
        <v>0</v>
      </c>
      <c r="AU115" s="178">
        <f t="shared" si="84"/>
        <v>0</v>
      </c>
      <c r="AV115" s="178">
        <f t="shared" si="84"/>
        <v>0</v>
      </c>
      <c r="AW115" s="179">
        <f t="shared" si="84"/>
        <v>0</v>
      </c>
      <c r="AX115" s="178">
        <f t="shared" si="53"/>
        <v>0</v>
      </c>
      <c r="AY115" s="178">
        <f t="shared" si="54"/>
        <v>0</v>
      </c>
      <c r="AZ115" s="179">
        <f t="shared" si="55"/>
        <v>0</v>
      </c>
      <c r="BA115" s="184">
        <f>S115*AJ115/1000</f>
        <v>0</v>
      </c>
      <c r="BB115" s="178">
        <f>T115*AK115/1000</f>
        <v>0</v>
      </c>
      <c r="BC115" s="184">
        <f>U115*AL115/1000</f>
        <v>0</v>
      </c>
      <c r="BD115" s="178">
        <f t="shared" si="85"/>
        <v>0</v>
      </c>
      <c r="BE115" s="244">
        <f t="shared" si="64"/>
        <v>0</v>
      </c>
      <c r="BF115" s="245">
        <f t="shared" si="83"/>
        <v>0</v>
      </c>
      <c r="BH115" s="252">
        <f>SUBTOTAL(9,BH116:BH119)</f>
        <v>242.36</v>
      </c>
      <c r="BI115" s="252">
        <f>SUBTOTAL(9,BI116:BI119)</f>
        <v>202.04400000000004</v>
      </c>
      <c r="BJ115" s="252">
        <f>SUBTOTAL(9,BJ116:BJ119)</f>
        <v>0</v>
      </c>
      <c r="BK115" s="252">
        <f>SUBTOTAL(9,BK116:BK119)</f>
        <v>487.10790300000002</v>
      </c>
      <c r="BL115" s="252">
        <f>SUBTOTAL(9,BL116:BL119)</f>
        <v>0</v>
      </c>
      <c r="BM115" s="257">
        <f t="shared" si="66"/>
        <v>931.51190300000007</v>
      </c>
      <c r="BO115" s="714" t="str">
        <f t="shared" si="67"/>
        <v/>
      </c>
    </row>
    <row r="116" spans="2:67" ht="15" customHeight="1" x14ac:dyDescent="0.25">
      <c r="B116" s="19">
        <f>B114+1</f>
        <v>19</v>
      </c>
      <c r="C116" s="44" t="s">
        <v>133</v>
      </c>
      <c r="D116" s="45"/>
      <c r="E116" s="105" t="s">
        <v>134</v>
      </c>
      <c r="G116" s="477">
        <f>SUM('DUoS (t)'!G116,'TUoS (t)'!G116,'JSO (t)'!G116)</f>
        <v>0</v>
      </c>
      <c r="H116" s="478">
        <f>SUM('DUoS (t)'!H116,'TUoS (t)'!H116,'JSO (t)'!H116)</f>
        <v>1.1300000000000001E-2</v>
      </c>
      <c r="I116" s="461">
        <f>SUM('DUoS (t)'!I116,'TUoS (t)'!I116,'JSO (t)'!I116)</f>
        <v>0</v>
      </c>
      <c r="J116" s="461">
        <f>SUM('DUoS (t)'!J116,'TUoS (t)'!J116,'JSO (t)'!J116)</f>
        <v>0</v>
      </c>
      <c r="K116" s="462">
        <f>SUM('DUoS (t)'!K116,'TUoS (t)'!K116,'JSO (t)'!K116)</f>
        <v>0</v>
      </c>
      <c r="L116" s="461">
        <f>SUM('DUoS (t)'!L116,'TUoS (t)'!L116,'JSO (t)'!L116)</f>
        <v>0</v>
      </c>
      <c r="M116" s="461">
        <f>SUM('DUoS (t)'!M116,'TUoS (t)'!M116,'JSO (t)'!M116)</f>
        <v>0</v>
      </c>
      <c r="N116" s="461">
        <f>SUM('DUoS (t)'!N116,'TUoS (t)'!N116,'JSO (t)'!N116)</f>
        <v>0</v>
      </c>
      <c r="O116" s="462">
        <f>SUM('DUoS (t)'!O116,'TUoS (t)'!O116,'JSO (t)'!O116)</f>
        <v>0</v>
      </c>
      <c r="P116" s="461">
        <f>SUM('DUoS (t)'!P116,'TUoS (t)'!P116,'JSO (t)'!P116)</f>
        <v>0</v>
      </c>
      <c r="Q116" s="461">
        <f>SUM('DUoS (t)'!Q116,'TUoS (t)'!Q116,'JSO (t)'!Q116)</f>
        <v>0</v>
      </c>
      <c r="R116" s="462">
        <f>SUM('DUoS (t)'!R116,'TUoS (t)'!R116,'JSO (t)'!R116)</f>
        <v>0</v>
      </c>
      <c r="S116" s="478">
        <f>SUM('DUoS (t)'!S116,'TUoS (t)'!S116,'JSO (t)'!S116)</f>
        <v>0.1162</v>
      </c>
      <c r="T116" s="483">
        <f>SUM('DUoS (t)'!T116,'TUoS (t)'!T116,'JSO (t)'!T116)</f>
        <v>4.07E-2</v>
      </c>
      <c r="U116" s="480">
        <f>SUM('DUoS (t)'!U116,'TUoS (t)'!U116,'JSO (t)'!U116)</f>
        <v>0</v>
      </c>
      <c r="V116" s="481">
        <f>SUM('DUoS (t)'!V116,'TUoS (t)'!V116,'JSO (t)'!V116)</f>
        <v>0</v>
      </c>
      <c r="X116" s="183">
        <f>'Q (t)'!G116</f>
        <v>0</v>
      </c>
      <c r="Y116" s="184">
        <f>'Q (t)'!H116</f>
        <v>0</v>
      </c>
      <c r="Z116" s="178">
        <f>'Q (t)'!I116</f>
        <v>0</v>
      </c>
      <c r="AA116" s="178">
        <f>'Q (t)'!J116</f>
        <v>0</v>
      </c>
      <c r="AB116" s="179">
        <f>'Q (t)'!K116</f>
        <v>0</v>
      </c>
      <c r="AC116" s="178">
        <f>'Q (t)'!L116</f>
        <v>0</v>
      </c>
      <c r="AD116" s="178">
        <f>'Q (t)'!M116</f>
        <v>0</v>
      </c>
      <c r="AE116" s="178">
        <f>'Q (t)'!N116</f>
        <v>0</v>
      </c>
      <c r="AF116" s="179">
        <f>'Q (t)'!O116</f>
        <v>0</v>
      </c>
      <c r="AG116" s="178">
        <f>'Q (t)'!P116</f>
        <v>0</v>
      </c>
      <c r="AH116" s="178">
        <f>'Q (t)'!Q116</f>
        <v>0</v>
      </c>
      <c r="AI116" s="179">
        <f>'Q (t)'!R116</f>
        <v>0</v>
      </c>
      <c r="AJ116" s="184">
        <f>'Q (t)'!S116</f>
        <v>0</v>
      </c>
      <c r="AK116" s="178">
        <f>'Q (t)'!T116</f>
        <v>0</v>
      </c>
      <c r="AL116" s="184">
        <f>'Q (t)'!U116</f>
        <v>0</v>
      </c>
      <c r="AM116" s="179">
        <f>'Q (t)'!V116</f>
        <v>0</v>
      </c>
      <c r="AO116" s="183">
        <f t="shared" si="62"/>
        <v>0</v>
      </c>
      <c r="AP116" s="184">
        <f t="shared" si="84"/>
        <v>0</v>
      </c>
      <c r="AQ116" s="178">
        <f t="shared" si="84"/>
        <v>0</v>
      </c>
      <c r="AR116" s="178">
        <f t="shared" si="84"/>
        <v>0</v>
      </c>
      <c r="AS116" s="179">
        <f t="shared" si="84"/>
        <v>0</v>
      </c>
      <c r="AT116" s="178">
        <f t="shared" si="84"/>
        <v>0</v>
      </c>
      <c r="AU116" s="178">
        <f t="shared" si="84"/>
        <v>0</v>
      </c>
      <c r="AV116" s="178">
        <f t="shared" si="84"/>
        <v>0</v>
      </c>
      <c r="AW116" s="179">
        <f t="shared" si="84"/>
        <v>0</v>
      </c>
      <c r="AX116" s="178">
        <f t="shared" ref="AX116:BC129" si="86">P116*AG116/1000</f>
        <v>0</v>
      </c>
      <c r="AY116" s="178">
        <f t="shared" si="86"/>
        <v>0</v>
      </c>
      <c r="AZ116" s="179">
        <f t="shared" si="86"/>
        <v>0</v>
      </c>
      <c r="BA116" s="184">
        <f t="shared" si="86"/>
        <v>0</v>
      </c>
      <c r="BB116" s="178">
        <f t="shared" si="86"/>
        <v>0</v>
      </c>
      <c r="BC116" s="184">
        <f t="shared" si="86"/>
        <v>0</v>
      </c>
      <c r="BD116" s="178">
        <f t="shared" si="85"/>
        <v>0</v>
      </c>
      <c r="BE116" s="244">
        <f t="shared" si="64"/>
        <v>0</v>
      </c>
      <c r="BF116" s="245">
        <f t="shared" si="83"/>
        <v>0</v>
      </c>
      <c r="BH116" s="255">
        <f>SUM(AO116)</f>
        <v>0</v>
      </c>
      <c r="BI116" s="255">
        <f>SUM(AP116:AS116)</f>
        <v>0</v>
      </c>
      <c r="BJ116" s="255">
        <f>SUM(AT116:AW116)</f>
        <v>0</v>
      </c>
      <c r="BK116" s="256">
        <f>SUM(AX116:BB116)</f>
        <v>0</v>
      </c>
      <c r="BL116" s="262">
        <f>SUM(BC116:BD116)</f>
        <v>0</v>
      </c>
      <c r="BM116" s="257">
        <f t="shared" si="66"/>
        <v>0</v>
      </c>
      <c r="BO116" s="714" t="str">
        <f t="shared" si="67"/>
        <v/>
      </c>
    </row>
    <row r="117" spans="2:67" ht="15" customHeight="1" x14ac:dyDescent="0.25">
      <c r="B117" s="19">
        <f>B116+1</f>
        <v>20</v>
      </c>
      <c r="C117" s="44" t="s">
        <v>135</v>
      </c>
      <c r="D117" s="45"/>
      <c r="E117" s="105" t="s">
        <v>136</v>
      </c>
      <c r="G117" s="477">
        <f>SUM('DUoS (t)'!G117,'TUoS (t)'!G117,'JSO (t)'!G117)</f>
        <v>0</v>
      </c>
      <c r="H117" s="478">
        <f>SUM('DUoS (t)'!H117,'TUoS (t)'!H117,'JSO (t)'!H117)</f>
        <v>1.1300000000000001E-2</v>
      </c>
      <c r="I117" s="461">
        <f>SUM('DUoS (t)'!I117,'TUoS (t)'!I117,'JSO (t)'!I117)</f>
        <v>0</v>
      </c>
      <c r="J117" s="461">
        <f>SUM('DUoS (t)'!J117,'TUoS (t)'!J117,'JSO (t)'!J117)</f>
        <v>0</v>
      </c>
      <c r="K117" s="462">
        <f>SUM('DUoS (t)'!K117,'TUoS (t)'!K117,'JSO (t)'!K117)</f>
        <v>0</v>
      </c>
      <c r="L117" s="461">
        <f>SUM('DUoS (t)'!L117,'TUoS (t)'!L117,'JSO (t)'!L117)</f>
        <v>0</v>
      </c>
      <c r="M117" s="461">
        <f>SUM('DUoS (t)'!M117,'TUoS (t)'!M117,'JSO (t)'!M117)</f>
        <v>0</v>
      </c>
      <c r="N117" s="461">
        <f>SUM('DUoS (t)'!N117,'TUoS (t)'!N117,'JSO (t)'!N117)</f>
        <v>0</v>
      </c>
      <c r="O117" s="462">
        <f>SUM('DUoS (t)'!O117,'TUoS (t)'!O117,'JSO (t)'!O117)</f>
        <v>0</v>
      </c>
      <c r="P117" s="461">
        <f>SUM('DUoS (t)'!P117,'TUoS (t)'!P117,'JSO (t)'!P117)</f>
        <v>0</v>
      </c>
      <c r="Q117" s="461">
        <f>SUM('DUoS (t)'!Q117,'TUoS (t)'!Q117,'JSO (t)'!Q117)</f>
        <v>0</v>
      </c>
      <c r="R117" s="462">
        <f>SUM('DUoS (t)'!R117,'TUoS (t)'!R117,'JSO (t)'!R117)</f>
        <v>0</v>
      </c>
      <c r="S117" s="478">
        <f>SUM('DUoS (t)'!S117,'TUoS (t)'!S117,'JSO (t)'!S117)</f>
        <v>0.1162</v>
      </c>
      <c r="T117" s="483">
        <f>SUM('DUoS (t)'!T117,'TUoS (t)'!T117,'JSO (t)'!T117)</f>
        <v>4.07E-2</v>
      </c>
      <c r="U117" s="480">
        <f>SUM('DUoS (t)'!U117,'TUoS (t)'!U117,'JSO (t)'!U117)</f>
        <v>0</v>
      </c>
      <c r="V117" s="481">
        <f>SUM('DUoS (t)'!V117,'TUoS (t)'!V117,'JSO (t)'!V117)</f>
        <v>0</v>
      </c>
      <c r="X117" s="183">
        <f>'Q (t)'!G117</f>
        <v>365</v>
      </c>
      <c r="Y117" s="184">
        <f>'Q (t)'!H117</f>
        <v>7500</v>
      </c>
      <c r="Z117" s="178">
        <f>'Q (t)'!I117</f>
        <v>0</v>
      </c>
      <c r="AA117" s="178">
        <f>'Q (t)'!J117</f>
        <v>0</v>
      </c>
      <c r="AB117" s="179">
        <f>'Q (t)'!K117</f>
        <v>0</v>
      </c>
      <c r="AC117" s="178">
        <f>'Q (t)'!L117</f>
        <v>0</v>
      </c>
      <c r="AD117" s="178">
        <f>'Q (t)'!M117</f>
        <v>0</v>
      </c>
      <c r="AE117" s="178">
        <f>'Q (t)'!N117</f>
        <v>0</v>
      </c>
      <c r="AF117" s="179">
        <f>'Q (t)'!O117</f>
        <v>0</v>
      </c>
      <c r="AG117" s="178">
        <f>'Q (t)'!P117</f>
        <v>0</v>
      </c>
      <c r="AH117" s="178">
        <f>'Q (t)'!Q117</f>
        <v>0</v>
      </c>
      <c r="AI117" s="179">
        <f>'Q (t)'!R117</f>
        <v>0</v>
      </c>
      <c r="AJ117" s="184">
        <f>'Q (t)'!S117</f>
        <v>784750</v>
      </c>
      <c r="AK117" s="178">
        <f>'Q (t)'!T117</f>
        <v>1825000</v>
      </c>
      <c r="AL117" s="184">
        <f>'Q (t)'!U117</f>
        <v>0</v>
      </c>
      <c r="AM117" s="179">
        <f>'Q (t)'!V117</f>
        <v>0</v>
      </c>
      <c r="AO117" s="183">
        <f t="shared" si="62"/>
        <v>0</v>
      </c>
      <c r="AP117" s="184">
        <f t="shared" si="84"/>
        <v>84.750000000000014</v>
      </c>
      <c r="AQ117" s="178">
        <f t="shared" si="84"/>
        <v>0</v>
      </c>
      <c r="AR117" s="178">
        <f t="shared" si="84"/>
        <v>0</v>
      </c>
      <c r="AS117" s="179">
        <f t="shared" si="84"/>
        <v>0</v>
      </c>
      <c r="AT117" s="178">
        <f t="shared" si="84"/>
        <v>0</v>
      </c>
      <c r="AU117" s="178">
        <f t="shared" si="84"/>
        <v>0</v>
      </c>
      <c r="AV117" s="178">
        <f t="shared" si="84"/>
        <v>0</v>
      </c>
      <c r="AW117" s="179">
        <f t="shared" si="84"/>
        <v>0</v>
      </c>
      <c r="AX117" s="178">
        <f t="shared" si="86"/>
        <v>0</v>
      </c>
      <c r="AY117" s="178">
        <f t="shared" si="86"/>
        <v>0</v>
      </c>
      <c r="AZ117" s="179">
        <f t="shared" si="86"/>
        <v>0</v>
      </c>
      <c r="BA117" s="184">
        <f t="shared" si="86"/>
        <v>91.187950000000001</v>
      </c>
      <c r="BB117" s="178">
        <f t="shared" si="86"/>
        <v>74.277500000000003</v>
      </c>
      <c r="BC117" s="184">
        <f t="shared" si="86"/>
        <v>0</v>
      </c>
      <c r="BD117" s="178">
        <f t="shared" si="85"/>
        <v>0</v>
      </c>
      <c r="BE117" s="244">
        <f t="shared" si="64"/>
        <v>1</v>
      </c>
      <c r="BF117" s="245">
        <f t="shared" si="83"/>
        <v>7500</v>
      </c>
      <c r="BH117" s="255">
        <f>SUM(AO117)</f>
        <v>0</v>
      </c>
      <c r="BI117" s="255">
        <f>SUM(AP117:AS117)</f>
        <v>84.750000000000014</v>
      </c>
      <c r="BJ117" s="255">
        <f>SUM(AT117:AW117)</f>
        <v>0</v>
      </c>
      <c r="BK117" s="256">
        <f>SUM(AX117:BB117)</f>
        <v>165.46545</v>
      </c>
      <c r="BL117" s="262">
        <f>SUM(BC117:BD117)</f>
        <v>0</v>
      </c>
      <c r="BM117" s="257">
        <f t="shared" si="66"/>
        <v>250.21545000000003</v>
      </c>
      <c r="BO117" s="714">
        <f t="shared" si="67"/>
        <v>33.362060000000007</v>
      </c>
    </row>
    <row r="118" spans="2:67" ht="15" customHeight="1" x14ac:dyDescent="0.25">
      <c r="B118" s="19">
        <f t="shared" si="75"/>
        <v>21</v>
      </c>
      <c r="C118" s="44" t="s">
        <v>137</v>
      </c>
      <c r="D118" s="45"/>
      <c r="E118" s="105" t="s">
        <v>136</v>
      </c>
      <c r="G118" s="477">
        <f>SUM('DUoS (t)'!G118,'TUoS (t)'!G118,'JSO (t)'!G118)</f>
        <v>207</v>
      </c>
      <c r="H118" s="478">
        <f>SUM('DUoS (t)'!H118,'TUoS (t)'!H118,'JSO (t)'!H118)</f>
        <v>1.1300000000000001E-2</v>
      </c>
      <c r="I118" s="461">
        <f>SUM('DUoS (t)'!I118,'TUoS (t)'!I118,'JSO (t)'!I118)</f>
        <v>0</v>
      </c>
      <c r="J118" s="461">
        <f>SUM('DUoS (t)'!J118,'TUoS (t)'!J118,'JSO (t)'!J118)</f>
        <v>0</v>
      </c>
      <c r="K118" s="462">
        <f>SUM('DUoS (t)'!K118,'TUoS (t)'!K118,'JSO (t)'!K118)</f>
        <v>0</v>
      </c>
      <c r="L118" s="461">
        <f>SUM('DUoS (t)'!L118,'TUoS (t)'!L118,'JSO (t)'!L118)</f>
        <v>0</v>
      </c>
      <c r="M118" s="461">
        <f>SUM('DUoS (t)'!M118,'TUoS (t)'!M118,'JSO (t)'!M118)</f>
        <v>0</v>
      </c>
      <c r="N118" s="461">
        <f>SUM('DUoS (t)'!N118,'TUoS (t)'!N118,'JSO (t)'!N118)</f>
        <v>0</v>
      </c>
      <c r="O118" s="462">
        <f>SUM('DUoS (t)'!O118,'TUoS (t)'!O118,'JSO (t)'!O118)</f>
        <v>0</v>
      </c>
      <c r="P118" s="461">
        <f>SUM('DUoS (t)'!P118,'TUoS (t)'!P118,'JSO (t)'!P118)</f>
        <v>0</v>
      </c>
      <c r="Q118" s="461">
        <f>SUM('DUoS (t)'!Q118,'TUoS (t)'!Q118,'JSO (t)'!Q118)</f>
        <v>0</v>
      </c>
      <c r="R118" s="462">
        <f>SUM('DUoS (t)'!R118,'TUoS (t)'!R118,'JSO (t)'!R118)</f>
        <v>0</v>
      </c>
      <c r="S118" s="478">
        <f>SUM('DUoS (t)'!S118,'TUoS (t)'!S118,'JSO (t)'!S118)</f>
        <v>0.1162</v>
      </c>
      <c r="T118" s="483">
        <f>SUM('DUoS (t)'!T118,'TUoS (t)'!T118,'JSO (t)'!T118)</f>
        <v>4.07E-2</v>
      </c>
      <c r="U118" s="480">
        <f>SUM('DUoS (t)'!U118,'TUoS (t)'!U118,'JSO (t)'!U118)</f>
        <v>0</v>
      </c>
      <c r="V118" s="481">
        <f>SUM('DUoS (t)'!V118,'TUoS (t)'!V118,'JSO (t)'!V118)</f>
        <v>0</v>
      </c>
      <c r="X118" s="183">
        <f>'Q (t)'!G118</f>
        <v>365</v>
      </c>
      <c r="Y118" s="184">
        <f>'Q (t)'!H118</f>
        <v>2200</v>
      </c>
      <c r="Z118" s="178">
        <f>'Q (t)'!I118</f>
        <v>0</v>
      </c>
      <c r="AA118" s="178">
        <f>'Q (t)'!J118</f>
        <v>0</v>
      </c>
      <c r="AB118" s="179">
        <f>'Q (t)'!K118</f>
        <v>0</v>
      </c>
      <c r="AC118" s="178">
        <f>'Q (t)'!L118</f>
        <v>0</v>
      </c>
      <c r="AD118" s="178">
        <f>'Q (t)'!M118</f>
        <v>0</v>
      </c>
      <c r="AE118" s="178">
        <f>'Q (t)'!N118</f>
        <v>0</v>
      </c>
      <c r="AF118" s="179">
        <f>'Q (t)'!O118</f>
        <v>0</v>
      </c>
      <c r="AG118" s="178">
        <f>'Q (t)'!P118</f>
        <v>0</v>
      </c>
      <c r="AH118" s="178">
        <f>'Q (t)'!Q118</f>
        <v>0</v>
      </c>
      <c r="AI118" s="179">
        <f>'Q (t)'!R118</f>
        <v>0</v>
      </c>
      <c r="AJ118" s="184">
        <f>'Q (t)'!S118</f>
        <v>266085</v>
      </c>
      <c r="AK118" s="178">
        <f>'Q (t)'!T118</f>
        <v>1825000</v>
      </c>
      <c r="AL118" s="184">
        <f>'Q (t)'!U118</f>
        <v>0</v>
      </c>
      <c r="AM118" s="179">
        <f>'Q (t)'!V118</f>
        <v>0</v>
      </c>
      <c r="AO118" s="183">
        <f t="shared" si="62"/>
        <v>75.555000000000007</v>
      </c>
      <c r="AP118" s="184">
        <f t="shared" si="84"/>
        <v>24.860000000000003</v>
      </c>
      <c r="AQ118" s="178">
        <f t="shared" si="84"/>
        <v>0</v>
      </c>
      <c r="AR118" s="178">
        <f t="shared" si="84"/>
        <v>0</v>
      </c>
      <c r="AS118" s="179">
        <f t="shared" si="84"/>
        <v>0</v>
      </c>
      <c r="AT118" s="178">
        <f t="shared" si="84"/>
        <v>0</v>
      </c>
      <c r="AU118" s="178">
        <f t="shared" si="84"/>
        <v>0</v>
      </c>
      <c r="AV118" s="178">
        <f t="shared" si="84"/>
        <v>0</v>
      </c>
      <c r="AW118" s="179">
        <f t="shared" si="84"/>
        <v>0</v>
      </c>
      <c r="AX118" s="178">
        <f t="shared" si="86"/>
        <v>0</v>
      </c>
      <c r="AY118" s="178">
        <f t="shared" si="86"/>
        <v>0</v>
      </c>
      <c r="AZ118" s="179">
        <f t="shared" si="86"/>
        <v>0</v>
      </c>
      <c r="BA118" s="184">
        <f t="shared" si="86"/>
        <v>30.919077000000001</v>
      </c>
      <c r="BB118" s="178">
        <f t="shared" si="86"/>
        <v>74.277500000000003</v>
      </c>
      <c r="BC118" s="184">
        <f t="shared" si="86"/>
        <v>0</v>
      </c>
      <c r="BD118" s="178">
        <f t="shared" si="85"/>
        <v>0</v>
      </c>
      <c r="BE118" s="244">
        <f t="shared" si="64"/>
        <v>1</v>
      </c>
      <c r="BF118" s="245">
        <f t="shared" si="83"/>
        <v>2200</v>
      </c>
      <c r="BH118" s="255">
        <f>SUM(AO118)</f>
        <v>75.555000000000007</v>
      </c>
      <c r="BI118" s="255">
        <f>SUM(AP118:AS118)</f>
        <v>24.860000000000003</v>
      </c>
      <c r="BJ118" s="255">
        <f>SUM(AT118:AW118)</f>
        <v>0</v>
      </c>
      <c r="BK118" s="256">
        <f>SUM(AX118:BB118)</f>
        <v>105.196577</v>
      </c>
      <c r="BL118" s="262">
        <f>SUM(BC118:BD118)</f>
        <v>0</v>
      </c>
      <c r="BM118" s="257">
        <f t="shared" si="66"/>
        <v>205.61157700000001</v>
      </c>
      <c r="BO118" s="714">
        <f t="shared" si="67"/>
        <v>93.459807727272732</v>
      </c>
    </row>
    <row r="119" spans="2:67" ht="15" customHeight="1" x14ac:dyDescent="0.25">
      <c r="B119" s="19">
        <f t="shared" si="75"/>
        <v>22</v>
      </c>
      <c r="C119" s="44" t="s">
        <v>138</v>
      </c>
      <c r="D119" s="45"/>
      <c r="E119" s="105" t="s">
        <v>136</v>
      </c>
      <c r="G119" s="477">
        <f>SUM('DUoS (t)'!G119,'TUoS (t)'!G119,'JSO (t)'!G119)</f>
        <v>457</v>
      </c>
      <c r="H119" s="478">
        <f>SUM('DUoS (t)'!H119,'TUoS (t)'!H119,'JSO (t)'!H119)</f>
        <v>1.1300000000000001E-2</v>
      </c>
      <c r="I119" s="461">
        <f>SUM('DUoS (t)'!I119,'TUoS (t)'!I119,'JSO (t)'!I119)</f>
        <v>0</v>
      </c>
      <c r="J119" s="461">
        <f>SUM('DUoS (t)'!J119,'TUoS (t)'!J119,'JSO (t)'!J119)</f>
        <v>0</v>
      </c>
      <c r="K119" s="462">
        <f>SUM('DUoS (t)'!K119,'TUoS (t)'!K119,'JSO (t)'!K119)</f>
        <v>0</v>
      </c>
      <c r="L119" s="461">
        <f>SUM('DUoS (t)'!L119,'TUoS (t)'!L119,'JSO (t)'!L119)</f>
        <v>0</v>
      </c>
      <c r="M119" s="461">
        <f>SUM('DUoS (t)'!M119,'TUoS (t)'!M119,'JSO (t)'!M119)</f>
        <v>0</v>
      </c>
      <c r="N119" s="461">
        <f>SUM('DUoS (t)'!N119,'TUoS (t)'!N119,'JSO (t)'!N119)</f>
        <v>0</v>
      </c>
      <c r="O119" s="462">
        <f>SUM('DUoS (t)'!O119,'TUoS (t)'!O119,'JSO (t)'!O119)</f>
        <v>0</v>
      </c>
      <c r="P119" s="461">
        <f>SUM('DUoS (t)'!P119,'TUoS (t)'!P119,'JSO (t)'!P119)</f>
        <v>0</v>
      </c>
      <c r="Q119" s="461">
        <f>SUM('DUoS (t)'!Q119,'TUoS (t)'!Q119,'JSO (t)'!Q119)</f>
        <v>0</v>
      </c>
      <c r="R119" s="462">
        <f>SUM('DUoS (t)'!R119,'TUoS (t)'!R119,'JSO (t)'!R119)</f>
        <v>0</v>
      </c>
      <c r="S119" s="478">
        <f>SUM('DUoS (t)'!S119,'TUoS (t)'!S119,'JSO (t)'!S119)</f>
        <v>0.1162</v>
      </c>
      <c r="T119" s="483">
        <f>SUM('DUoS (t)'!T119,'TUoS (t)'!T119,'JSO (t)'!T119)</f>
        <v>4.07E-2</v>
      </c>
      <c r="U119" s="480">
        <f>SUM('DUoS (t)'!U119,'TUoS (t)'!U119,'JSO (t)'!U119)</f>
        <v>0</v>
      </c>
      <c r="V119" s="481">
        <f>SUM('DUoS (t)'!V119,'TUoS (t)'!V119,'JSO (t)'!V119)</f>
        <v>0</v>
      </c>
      <c r="X119" s="183">
        <f>'Q (t)'!G119</f>
        <v>365</v>
      </c>
      <c r="Y119" s="184">
        <f>'Q (t)'!H119</f>
        <v>8180</v>
      </c>
      <c r="Z119" s="178">
        <f>'Q (t)'!I119</f>
        <v>0</v>
      </c>
      <c r="AA119" s="178">
        <f>'Q (t)'!J119</f>
        <v>0</v>
      </c>
      <c r="AB119" s="179">
        <f>'Q (t)'!K119</f>
        <v>0</v>
      </c>
      <c r="AC119" s="178">
        <f>'Q (t)'!L119</f>
        <v>0</v>
      </c>
      <c r="AD119" s="178">
        <f>'Q (t)'!M119</f>
        <v>0</v>
      </c>
      <c r="AE119" s="178">
        <f>'Q (t)'!N119</f>
        <v>0</v>
      </c>
      <c r="AF119" s="179">
        <f>'Q (t)'!O119</f>
        <v>0</v>
      </c>
      <c r="AG119" s="178">
        <f>'Q (t)'!P119</f>
        <v>0</v>
      </c>
      <c r="AH119" s="178">
        <f>'Q (t)'!Q119</f>
        <v>0</v>
      </c>
      <c r="AI119" s="179">
        <f>'Q (t)'!R119</f>
        <v>0</v>
      </c>
      <c r="AJ119" s="184">
        <f>'Q (t)'!S119</f>
        <v>1223480</v>
      </c>
      <c r="AK119" s="178">
        <f>'Q (t)'!T119</f>
        <v>1825000</v>
      </c>
      <c r="AL119" s="184">
        <f>'Q (t)'!U119</f>
        <v>0</v>
      </c>
      <c r="AM119" s="179">
        <f>'Q (t)'!V119</f>
        <v>0</v>
      </c>
      <c r="AO119" s="183">
        <f t="shared" si="62"/>
        <v>166.80500000000001</v>
      </c>
      <c r="AP119" s="184">
        <f t="shared" si="84"/>
        <v>92.434000000000012</v>
      </c>
      <c r="AQ119" s="178">
        <f t="shared" si="84"/>
        <v>0</v>
      </c>
      <c r="AR119" s="178">
        <f t="shared" si="84"/>
        <v>0</v>
      </c>
      <c r="AS119" s="179">
        <f t="shared" si="84"/>
        <v>0</v>
      </c>
      <c r="AT119" s="178">
        <f t="shared" si="84"/>
        <v>0</v>
      </c>
      <c r="AU119" s="178">
        <f t="shared" si="84"/>
        <v>0</v>
      </c>
      <c r="AV119" s="178">
        <f t="shared" si="84"/>
        <v>0</v>
      </c>
      <c r="AW119" s="179">
        <f t="shared" si="84"/>
        <v>0</v>
      </c>
      <c r="AX119" s="178">
        <f t="shared" si="86"/>
        <v>0</v>
      </c>
      <c r="AY119" s="178">
        <f t="shared" si="86"/>
        <v>0</v>
      </c>
      <c r="AZ119" s="179">
        <f t="shared" si="86"/>
        <v>0</v>
      </c>
      <c r="BA119" s="184">
        <f t="shared" si="86"/>
        <v>142.16837599999999</v>
      </c>
      <c r="BB119" s="178">
        <f t="shared" si="86"/>
        <v>74.277500000000003</v>
      </c>
      <c r="BC119" s="184">
        <f t="shared" si="86"/>
        <v>0</v>
      </c>
      <c r="BD119" s="178">
        <f t="shared" si="85"/>
        <v>0</v>
      </c>
      <c r="BE119" s="244">
        <f t="shared" si="64"/>
        <v>1</v>
      </c>
      <c r="BF119" s="245">
        <f t="shared" si="83"/>
        <v>8180</v>
      </c>
      <c r="BH119" s="255">
        <f>SUM(AO119)</f>
        <v>166.80500000000001</v>
      </c>
      <c r="BI119" s="255">
        <f>SUM(AP119:AS119)</f>
        <v>92.434000000000012</v>
      </c>
      <c r="BJ119" s="255">
        <f>SUM(AT119:AW119)</f>
        <v>0</v>
      </c>
      <c r="BK119" s="256">
        <f>SUM(AX119:BB119)</f>
        <v>216.445876</v>
      </c>
      <c r="BL119" s="262">
        <f>SUM(BC119:BD119)</f>
        <v>0</v>
      </c>
      <c r="BM119" s="257">
        <f t="shared" si="66"/>
        <v>475.68487600000003</v>
      </c>
      <c r="BO119" s="714">
        <f t="shared" si="67"/>
        <v>58.152185330073358</v>
      </c>
    </row>
    <row r="120" spans="2:67" ht="15" customHeight="1" x14ac:dyDescent="0.25">
      <c r="B120" s="19"/>
      <c r="C120" s="36" t="s">
        <v>139</v>
      </c>
      <c r="D120" s="85"/>
      <c r="E120" s="85"/>
      <c r="G120" s="482">
        <f>SUM('DUoS (t)'!G120,'TUoS (t)'!G120,'JSO (t)'!G120)</f>
        <v>0</v>
      </c>
      <c r="H120" s="479">
        <f>SUM('DUoS (t)'!H120,'TUoS (t)'!H120,'JSO (t)'!H120)</f>
        <v>0</v>
      </c>
      <c r="I120" s="461">
        <f>SUM('DUoS (t)'!I120,'TUoS (t)'!I120,'JSO (t)'!I120)</f>
        <v>0</v>
      </c>
      <c r="J120" s="461">
        <f>SUM('DUoS (t)'!J120,'TUoS (t)'!J120,'JSO (t)'!J120)</f>
        <v>0</v>
      </c>
      <c r="K120" s="462">
        <f>SUM('DUoS (t)'!K120,'TUoS (t)'!K120,'JSO (t)'!K120)</f>
        <v>0</v>
      </c>
      <c r="L120" s="461">
        <f>SUM('DUoS (t)'!L120,'TUoS (t)'!L120,'JSO (t)'!L120)</f>
        <v>0</v>
      </c>
      <c r="M120" s="461">
        <f>SUM('DUoS (t)'!M120,'TUoS (t)'!M120,'JSO (t)'!M120)</f>
        <v>0</v>
      </c>
      <c r="N120" s="461">
        <f>SUM('DUoS (t)'!N120,'TUoS (t)'!N120,'JSO (t)'!N120)</f>
        <v>0</v>
      </c>
      <c r="O120" s="462">
        <f>SUM('DUoS (t)'!O120,'TUoS (t)'!O120,'JSO (t)'!O120)</f>
        <v>0</v>
      </c>
      <c r="P120" s="461">
        <f>SUM('DUoS (t)'!P120,'TUoS (t)'!P120,'JSO (t)'!P120)</f>
        <v>0</v>
      </c>
      <c r="Q120" s="461">
        <f>SUM('DUoS (t)'!Q120,'TUoS (t)'!Q120,'JSO (t)'!Q120)</f>
        <v>0</v>
      </c>
      <c r="R120" s="462">
        <f>SUM('DUoS (t)'!R120,'TUoS (t)'!R120,'JSO (t)'!R120)</f>
        <v>0</v>
      </c>
      <c r="S120" s="479">
        <f>SUM('DUoS (t)'!S120,'TUoS (t)'!S120,'JSO (t)'!S120)</f>
        <v>0</v>
      </c>
      <c r="T120" s="461">
        <f>SUM('DUoS (t)'!T120,'TUoS (t)'!T120,'JSO (t)'!T120)</f>
        <v>0</v>
      </c>
      <c r="U120" s="479">
        <f>SUM('DUoS (t)'!U120,'TUoS (t)'!U120,'JSO (t)'!U120)</f>
        <v>0</v>
      </c>
      <c r="V120" s="462">
        <f>SUM('DUoS (t)'!V120,'TUoS (t)'!V120,'JSO (t)'!V120)</f>
        <v>0</v>
      </c>
      <c r="X120" s="183">
        <f>'Q (t)'!G120</f>
        <v>0</v>
      </c>
      <c r="Y120" s="184">
        <f>'Q (t)'!H120</f>
        <v>0</v>
      </c>
      <c r="Z120" s="178">
        <f>'Q (t)'!I120</f>
        <v>0</v>
      </c>
      <c r="AA120" s="178">
        <f>'Q (t)'!J120</f>
        <v>0</v>
      </c>
      <c r="AB120" s="179">
        <f>'Q (t)'!K120</f>
        <v>0</v>
      </c>
      <c r="AC120" s="178">
        <f>'Q (t)'!L120</f>
        <v>0</v>
      </c>
      <c r="AD120" s="178">
        <f>'Q (t)'!M120</f>
        <v>0</v>
      </c>
      <c r="AE120" s="178">
        <f>'Q (t)'!N120</f>
        <v>0</v>
      </c>
      <c r="AF120" s="179">
        <f>'Q (t)'!O120</f>
        <v>0</v>
      </c>
      <c r="AG120" s="178">
        <f>'Q (t)'!P120</f>
        <v>0</v>
      </c>
      <c r="AH120" s="178">
        <f>'Q (t)'!Q120</f>
        <v>0</v>
      </c>
      <c r="AI120" s="179">
        <f>'Q (t)'!R120</f>
        <v>0</v>
      </c>
      <c r="AJ120" s="184">
        <f>'Q (t)'!S120</f>
        <v>0</v>
      </c>
      <c r="AK120" s="178">
        <f>'Q (t)'!T120</f>
        <v>0</v>
      </c>
      <c r="AL120" s="184">
        <f>'Q (t)'!U120</f>
        <v>0</v>
      </c>
      <c r="AM120" s="179">
        <f>'Q (t)'!V120</f>
        <v>0</v>
      </c>
      <c r="AO120" s="183">
        <f t="shared" si="62"/>
        <v>0</v>
      </c>
      <c r="AP120" s="184">
        <f t="shared" si="84"/>
        <v>0</v>
      </c>
      <c r="AQ120" s="178">
        <f t="shared" si="84"/>
        <v>0</v>
      </c>
      <c r="AR120" s="178">
        <f t="shared" si="84"/>
        <v>0</v>
      </c>
      <c r="AS120" s="179">
        <f t="shared" si="84"/>
        <v>0</v>
      </c>
      <c r="AT120" s="178">
        <f t="shared" si="84"/>
        <v>0</v>
      </c>
      <c r="AU120" s="178">
        <f t="shared" si="84"/>
        <v>0</v>
      </c>
      <c r="AV120" s="178">
        <f t="shared" si="84"/>
        <v>0</v>
      </c>
      <c r="AW120" s="179">
        <f t="shared" si="84"/>
        <v>0</v>
      </c>
      <c r="AX120" s="178">
        <f t="shared" si="86"/>
        <v>0</v>
      </c>
      <c r="AY120" s="178">
        <f t="shared" si="86"/>
        <v>0</v>
      </c>
      <c r="AZ120" s="179">
        <f t="shared" si="86"/>
        <v>0</v>
      </c>
      <c r="BA120" s="184">
        <f t="shared" si="86"/>
        <v>0</v>
      </c>
      <c r="BB120" s="178">
        <f t="shared" si="86"/>
        <v>0</v>
      </c>
      <c r="BC120" s="184">
        <f t="shared" si="86"/>
        <v>0</v>
      </c>
      <c r="BD120" s="178">
        <f t="shared" si="85"/>
        <v>0</v>
      </c>
      <c r="BE120" s="244">
        <f t="shared" si="64"/>
        <v>0</v>
      </c>
      <c r="BF120" s="245">
        <f t="shared" si="83"/>
        <v>0</v>
      </c>
      <c r="BH120" s="252">
        <f>SUBTOTAL(9,BH121:BH129)</f>
        <v>6205.5095765000005</v>
      </c>
      <c r="BI120" s="252">
        <f>SUBTOTAL(9,BI121:BI129)</f>
        <v>2186.61</v>
      </c>
      <c r="BJ120" s="252">
        <f>SUBTOTAL(9,BJ121:BJ129)</f>
        <v>0</v>
      </c>
      <c r="BK120" s="252">
        <f>SUBTOTAL(9,BK121:BK129)</f>
        <v>6780.2332474999994</v>
      </c>
      <c r="BL120" s="252">
        <f>SUBTOTAL(9,BL121:BL129)</f>
        <v>0</v>
      </c>
      <c r="BM120" s="257">
        <f t="shared" si="66"/>
        <v>15172.352824000001</v>
      </c>
      <c r="BO120" s="714" t="str">
        <f t="shared" si="67"/>
        <v/>
      </c>
    </row>
    <row r="121" spans="2:67" ht="15" customHeight="1" x14ac:dyDescent="0.25">
      <c r="B121" s="19">
        <f>B119+1</f>
        <v>23</v>
      </c>
      <c r="C121" s="44" t="s">
        <v>140</v>
      </c>
      <c r="D121" s="45"/>
      <c r="E121" s="105" t="s">
        <v>141</v>
      </c>
      <c r="G121" s="477">
        <f>SUM('DUoS (t)'!G121,'TUoS (t)'!G121,'JSO (t)'!G121)</f>
        <v>737.73490000000004</v>
      </c>
      <c r="H121" s="478">
        <f>SUM('DUoS (t)'!H121,'TUoS (t)'!H121,'JSO (t)'!H121)</f>
        <v>2.5000000000000001E-3</v>
      </c>
      <c r="I121" s="461">
        <f>SUM('DUoS (t)'!I121,'TUoS (t)'!I121,'JSO (t)'!I121)</f>
        <v>0</v>
      </c>
      <c r="J121" s="461">
        <f>SUM('DUoS (t)'!J121,'TUoS (t)'!J121,'JSO (t)'!J121)</f>
        <v>0</v>
      </c>
      <c r="K121" s="462">
        <f>SUM('DUoS (t)'!K121,'TUoS (t)'!K121,'JSO (t)'!K121)</f>
        <v>0</v>
      </c>
      <c r="L121" s="461">
        <f>SUM('DUoS (t)'!L121,'TUoS (t)'!L121,'JSO (t)'!L121)</f>
        <v>0</v>
      </c>
      <c r="M121" s="461">
        <f>SUM('DUoS (t)'!M121,'TUoS (t)'!M121,'JSO (t)'!M121)</f>
        <v>0</v>
      </c>
      <c r="N121" s="461">
        <f>SUM('DUoS (t)'!N121,'TUoS (t)'!N121,'JSO (t)'!N121)</f>
        <v>0</v>
      </c>
      <c r="O121" s="462">
        <f>SUM('DUoS (t)'!O121,'TUoS (t)'!O121,'JSO (t)'!O121)</f>
        <v>0</v>
      </c>
      <c r="P121" s="461">
        <f>SUM('DUoS (t)'!P121,'TUoS (t)'!P121,'JSO (t)'!P121)</f>
        <v>0</v>
      </c>
      <c r="Q121" s="461">
        <f>SUM('DUoS (t)'!Q121,'TUoS (t)'!Q121,'JSO (t)'!Q121)</f>
        <v>0</v>
      </c>
      <c r="R121" s="462">
        <f>SUM('DUoS (t)'!R121,'TUoS (t)'!R121,'JSO (t)'!R121)</f>
        <v>0</v>
      </c>
      <c r="S121" s="478">
        <f>SUM('DUoS (t)'!S121,'TUoS (t)'!S121,'JSO (t)'!S121)</f>
        <v>0.21640000000000001</v>
      </c>
      <c r="T121" s="483">
        <f>SUM('DUoS (t)'!T121,'TUoS (t)'!T121,'JSO (t)'!T121)</f>
        <v>4.07E-2</v>
      </c>
      <c r="U121" s="480">
        <f>SUM('DUoS (t)'!U121,'TUoS (t)'!U121,'JSO (t)'!U121)</f>
        <v>0</v>
      </c>
      <c r="V121" s="481">
        <f>SUM('DUoS (t)'!V121,'TUoS (t)'!V121,'JSO (t)'!V121)</f>
        <v>0</v>
      </c>
      <c r="X121" s="183">
        <f>'Q (t)'!G121</f>
        <v>365</v>
      </c>
      <c r="Y121" s="184">
        <f>'Q (t)'!H121</f>
        <v>141500</v>
      </c>
      <c r="Z121" s="178">
        <f>'Q (t)'!I121</f>
        <v>0</v>
      </c>
      <c r="AA121" s="178">
        <f>'Q (t)'!J121</f>
        <v>0</v>
      </c>
      <c r="AB121" s="179">
        <f>'Q (t)'!K121</f>
        <v>0</v>
      </c>
      <c r="AC121" s="178">
        <f>'Q (t)'!L121</f>
        <v>0</v>
      </c>
      <c r="AD121" s="178">
        <f>'Q (t)'!M121</f>
        <v>0</v>
      </c>
      <c r="AE121" s="178">
        <f>'Q (t)'!N121</f>
        <v>0</v>
      </c>
      <c r="AF121" s="179">
        <f>'Q (t)'!O121</f>
        <v>0</v>
      </c>
      <c r="AG121" s="178">
        <f>'Q (t)'!P121</f>
        <v>0</v>
      </c>
      <c r="AH121" s="178">
        <f>'Q (t)'!Q121</f>
        <v>0</v>
      </c>
      <c r="AI121" s="179">
        <f>'Q (t)'!R121</f>
        <v>0</v>
      </c>
      <c r="AJ121" s="184">
        <f>'Q (t)'!S121</f>
        <v>7195245</v>
      </c>
      <c r="AK121" s="178">
        <f>'Q (t)'!T121</f>
        <v>7804065</v>
      </c>
      <c r="AL121" s="184">
        <f>'Q (t)'!U121</f>
        <v>0</v>
      </c>
      <c r="AM121" s="179">
        <f>'Q (t)'!V121</f>
        <v>0</v>
      </c>
      <c r="AO121" s="183">
        <f t="shared" si="62"/>
        <v>269.27323850000005</v>
      </c>
      <c r="AP121" s="184">
        <f t="shared" si="84"/>
        <v>353.75</v>
      </c>
      <c r="AQ121" s="178">
        <f t="shared" si="84"/>
        <v>0</v>
      </c>
      <c r="AR121" s="178">
        <f t="shared" si="84"/>
        <v>0</v>
      </c>
      <c r="AS121" s="179">
        <f t="shared" si="84"/>
        <v>0</v>
      </c>
      <c r="AT121" s="178">
        <f t="shared" si="84"/>
        <v>0</v>
      </c>
      <c r="AU121" s="178">
        <f t="shared" si="84"/>
        <v>0</v>
      </c>
      <c r="AV121" s="178">
        <f t="shared" si="84"/>
        <v>0</v>
      </c>
      <c r="AW121" s="179">
        <f t="shared" si="84"/>
        <v>0</v>
      </c>
      <c r="AX121" s="178">
        <f t="shared" si="86"/>
        <v>0</v>
      </c>
      <c r="AY121" s="178">
        <f t="shared" si="86"/>
        <v>0</v>
      </c>
      <c r="AZ121" s="179">
        <f t="shared" si="86"/>
        <v>0</v>
      </c>
      <c r="BA121" s="184">
        <f t="shared" si="86"/>
        <v>1557.0510180000001</v>
      </c>
      <c r="BB121" s="178">
        <f t="shared" si="86"/>
        <v>317.62544549999996</v>
      </c>
      <c r="BC121" s="184">
        <f t="shared" si="86"/>
        <v>0</v>
      </c>
      <c r="BD121" s="178">
        <f t="shared" si="85"/>
        <v>0</v>
      </c>
      <c r="BE121" s="244">
        <f t="shared" si="64"/>
        <v>1</v>
      </c>
      <c r="BF121" s="245">
        <f t="shared" si="83"/>
        <v>141500</v>
      </c>
      <c r="BH121" s="255">
        <f t="shared" ref="BH121:BH129" si="87">SUM(AO121)</f>
        <v>269.27323850000005</v>
      </c>
      <c r="BI121" s="255">
        <f t="shared" ref="BI121:BI129" si="88">SUM(AP121:AS121)</f>
        <v>353.75</v>
      </c>
      <c r="BJ121" s="255">
        <f t="shared" ref="BJ121:BJ129" si="89">SUM(AT121:AW121)</f>
        <v>0</v>
      </c>
      <c r="BK121" s="256">
        <f t="shared" ref="BK121:BK129" si="90">SUM(AX121:BB121)</f>
        <v>1874.6764635</v>
      </c>
      <c r="BL121" s="262">
        <f t="shared" ref="BL121:BL129" si="91">SUM(BC121:BD121)</f>
        <v>0</v>
      </c>
      <c r="BM121" s="257">
        <f t="shared" si="66"/>
        <v>2497.6997019999999</v>
      </c>
      <c r="BO121" s="714">
        <f t="shared" si="67"/>
        <v>17.651588</v>
      </c>
    </row>
    <row r="122" spans="2:67" ht="15" customHeight="1" x14ac:dyDescent="0.25">
      <c r="B122" s="19">
        <f t="shared" si="75"/>
        <v>24</v>
      </c>
      <c r="C122" s="44" t="s">
        <v>142</v>
      </c>
      <c r="D122" s="45"/>
      <c r="E122" s="105" t="s">
        <v>141</v>
      </c>
      <c r="G122" s="477">
        <f>SUM('DUoS (t)'!G122,'TUoS (t)'!G122,'JSO (t)'!G122)</f>
        <v>8326.2000000000007</v>
      </c>
      <c r="H122" s="478">
        <f>SUM('DUoS (t)'!H122,'TUoS (t)'!H122,'JSO (t)'!H122)</f>
        <v>2.5000000000000001E-3</v>
      </c>
      <c r="I122" s="461">
        <f>SUM('DUoS (t)'!I122,'TUoS (t)'!I122,'JSO (t)'!I122)</f>
        <v>0</v>
      </c>
      <c r="J122" s="461">
        <f>SUM('DUoS (t)'!J122,'TUoS (t)'!J122,'JSO (t)'!J122)</f>
        <v>0</v>
      </c>
      <c r="K122" s="462">
        <f>SUM('DUoS (t)'!K122,'TUoS (t)'!K122,'JSO (t)'!K122)</f>
        <v>0</v>
      </c>
      <c r="L122" s="461">
        <f>SUM('DUoS (t)'!L122,'TUoS (t)'!L122,'JSO (t)'!L122)</f>
        <v>0</v>
      </c>
      <c r="M122" s="461">
        <f>SUM('DUoS (t)'!M122,'TUoS (t)'!M122,'JSO (t)'!M122)</f>
        <v>0</v>
      </c>
      <c r="N122" s="461">
        <f>SUM('DUoS (t)'!N122,'TUoS (t)'!N122,'JSO (t)'!N122)</f>
        <v>0</v>
      </c>
      <c r="O122" s="462">
        <f>SUM('DUoS (t)'!O122,'TUoS (t)'!O122,'JSO (t)'!O122)</f>
        <v>0</v>
      </c>
      <c r="P122" s="461">
        <f>SUM('DUoS (t)'!P122,'TUoS (t)'!P122,'JSO (t)'!P122)</f>
        <v>0</v>
      </c>
      <c r="Q122" s="461">
        <f>SUM('DUoS (t)'!Q122,'TUoS (t)'!Q122,'JSO (t)'!Q122)</f>
        <v>0</v>
      </c>
      <c r="R122" s="462">
        <f>SUM('DUoS (t)'!R122,'TUoS (t)'!R122,'JSO (t)'!R122)</f>
        <v>0</v>
      </c>
      <c r="S122" s="478">
        <f>SUM('DUoS (t)'!S122,'TUoS (t)'!S122,'JSO (t)'!S122)</f>
        <v>0</v>
      </c>
      <c r="T122" s="483">
        <f>SUM('DUoS (t)'!T122,'TUoS (t)'!T122,'JSO (t)'!T122)</f>
        <v>4.07E-2</v>
      </c>
      <c r="U122" s="480">
        <f>SUM('DUoS (t)'!U122,'TUoS (t)'!U122,'JSO (t)'!U122)</f>
        <v>0</v>
      </c>
      <c r="V122" s="481">
        <f>SUM('DUoS (t)'!V122,'TUoS (t)'!V122,'JSO (t)'!V122)</f>
        <v>0</v>
      </c>
      <c r="X122" s="183">
        <f>'Q (t)'!G122</f>
        <v>365</v>
      </c>
      <c r="Y122" s="184">
        <f>'Q (t)'!H122</f>
        <v>270100</v>
      </c>
      <c r="Z122" s="178">
        <f>'Q (t)'!I122</f>
        <v>0</v>
      </c>
      <c r="AA122" s="178">
        <f>'Q (t)'!J122</f>
        <v>0</v>
      </c>
      <c r="AB122" s="179">
        <f>'Q (t)'!K122</f>
        <v>0</v>
      </c>
      <c r="AC122" s="178">
        <f>'Q (t)'!L122</f>
        <v>0</v>
      </c>
      <c r="AD122" s="178">
        <f>'Q (t)'!M122</f>
        <v>0</v>
      </c>
      <c r="AE122" s="178">
        <f>'Q (t)'!N122</f>
        <v>0</v>
      </c>
      <c r="AF122" s="179">
        <f>'Q (t)'!O122</f>
        <v>0</v>
      </c>
      <c r="AG122" s="178">
        <f>'Q (t)'!P122</f>
        <v>0</v>
      </c>
      <c r="AH122" s="178">
        <f>'Q (t)'!Q122</f>
        <v>0</v>
      </c>
      <c r="AI122" s="179">
        <f>'Q (t)'!R122</f>
        <v>0</v>
      </c>
      <c r="AJ122" s="184">
        <f>'Q (t)'!S122</f>
        <v>10220000</v>
      </c>
      <c r="AK122" s="178">
        <f>'Q (t)'!T122</f>
        <v>18804070</v>
      </c>
      <c r="AL122" s="184">
        <f>'Q (t)'!U122</f>
        <v>0</v>
      </c>
      <c r="AM122" s="179">
        <f>'Q (t)'!V122</f>
        <v>0</v>
      </c>
      <c r="AO122" s="183">
        <f t="shared" si="62"/>
        <v>3039.0630000000006</v>
      </c>
      <c r="AP122" s="184">
        <f t="shared" si="84"/>
        <v>675.25</v>
      </c>
      <c r="AQ122" s="178">
        <f t="shared" si="84"/>
        <v>0</v>
      </c>
      <c r="AR122" s="178">
        <f t="shared" si="84"/>
        <v>0</v>
      </c>
      <c r="AS122" s="179">
        <f t="shared" si="84"/>
        <v>0</v>
      </c>
      <c r="AT122" s="178">
        <f t="shared" si="84"/>
        <v>0</v>
      </c>
      <c r="AU122" s="178">
        <f t="shared" si="84"/>
        <v>0</v>
      </c>
      <c r="AV122" s="178">
        <f t="shared" si="84"/>
        <v>0</v>
      </c>
      <c r="AW122" s="179">
        <f t="shared" si="84"/>
        <v>0</v>
      </c>
      <c r="AX122" s="178">
        <f t="shared" si="86"/>
        <v>0</v>
      </c>
      <c r="AY122" s="178">
        <f t="shared" si="86"/>
        <v>0</v>
      </c>
      <c r="AZ122" s="179">
        <f t="shared" si="86"/>
        <v>0</v>
      </c>
      <c r="BA122" s="184">
        <f t="shared" si="86"/>
        <v>0</v>
      </c>
      <c r="BB122" s="178">
        <f t="shared" si="86"/>
        <v>765.325649</v>
      </c>
      <c r="BC122" s="184">
        <f t="shared" si="86"/>
        <v>0</v>
      </c>
      <c r="BD122" s="178">
        <f t="shared" si="85"/>
        <v>0</v>
      </c>
      <c r="BE122" s="244">
        <f t="shared" si="64"/>
        <v>1</v>
      </c>
      <c r="BF122" s="245">
        <f t="shared" si="83"/>
        <v>270100</v>
      </c>
      <c r="BH122" s="255">
        <f t="shared" si="87"/>
        <v>3039.0630000000006</v>
      </c>
      <c r="BI122" s="255">
        <f t="shared" si="88"/>
        <v>675.25</v>
      </c>
      <c r="BJ122" s="255">
        <f t="shared" si="89"/>
        <v>0</v>
      </c>
      <c r="BK122" s="256">
        <f t="shared" si="90"/>
        <v>765.325649</v>
      </c>
      <c r="BL122" s="262">
        <f t="shared" si="91"/>
        <v>0</v>
      </c>
      <c r="BM122" s="257">
        <f t="shared" si="66"/>
        <v>4479.6386490000004</v>
      </c>
      <c r="BO122" s="714">
        <f t="shared" si="67"/>
        <v>16.585111621621621</v>
      </c>
    </row>
    <row r="123" spans="2:67" ht="15" customHeight="1" x14ac:dyDescent="0.25">
      <c r="B123" s="19">
        <f t="shared" si="75"/>
        <v>25</v>
      </c>
      <c r="C123" s="44" t="s">
        <v>143</v>
      </c>
      <c r="D123" s="45"/>
      <c r="E123" s="105" t="s">
        <v>141</v>
      </c>
      <c r="G123" s="477">
        <f>SUM('DUoS (t)'!G123,'TUoS (t)'!G123,'JSO (t)'!G123)</f>
        <v>777.5299</v>
      </c>
      <c r="H123" s="478">
        <f>SUM('DUoS (t)'!H123,'TUoS (t)'!H123,'JSO (t)'!H123)</f>
        <v>2.3100000000000002E-2</v>
      </c>
      <c r="I123" s="461">
        <f>SUM('DUoS (t)'!I123,'TUoS (t)'!I123,'JSO (t)'!I123)</f>
        <v>0</v>
      </c>
      <c r="J123" s="461">
        <f>SUM('DUoS (t)'!J123,'TUoS (t)'!J123,'JSO (t)'!J123)</f>
        <v>0</v>
      </c>
      <c r="K123" s="462">
        <f>SUM('DUoS (t)'!K123,'TUoS (t)'!K123,'JSO (t)'!K123)</f>
        <v>0</v>
      </c>
      <c r="L123" s="461">
        <f>SUM('DUoS (t)'!L123,'TUoS (t)'!L123,'JSO (t)'!L123)</f>
        <v>0</v>
      </c>
      <c r="M123" s="461">
        <f>SUM('DUoS (t)'!M123,'TUoS (t)'!M123,'JSO (t)'!M123)</f>
        <v>0</v>
      </c>
      <c r="N123" s="461">
        <f>SUM('DUoS (t)'!N123,'TUoS (t)'!N123,'JSO (t)'!N123)</f>
        <v>0</v>
      </c>
      <c r="O123" s="462">
        <f>SUM('DUoS (t)'!O123,'TUoS (t)'!O123,'JSO (t)'!O123)</f>
        <v>0</v>
      </c>
      <c r="P123" s="461">
        <f>SUM('DUoS (t)'!P123,'TUoS (t)'!P123,'JSO (t)'!P123)</f>
        <v>0</v>
      </c>
      <c r="Q123" s="461">
        <f>SUM('DUoS (t)'!Q123,'TUoS (t)'!Q123,'JSO (t)'!Q123)</f>
        <v>0</v>
      </c>
      <c r="R123" s="462">
        <f>SUM('DUoS (t)'!R123,'TUoS (t)'!R123,'JSO (t)'!R123)</f>
        <v>0</v>
      </c>
      <c r="S123" s="478">
        <f>SUM('DUoS (t)'!S123,'TUoS (t)'!S123,'JSO (t)'!S123)</f>
        <v>3.8699999999999998E-2</v>
      </c>
      <c r="T123" s="483">
        <f>SUM('DUoS (t)'!T123,'TUoS (t)'!T123,'JSO (t)'!T123)</f>
        <v>4.07E-2</v>
      </c>
      <c r="U123" s="480">
        <f>SUM('DUoS (t)'!U123,'TUoS (t)'!U123,'JSO (t)'!U123)</f>
        <v>0</v>
      </c>
      <c r="V123" s="481">
        <f>SUM('DUoS (t)'!V123,'TUoS (t)'!V123,'JSO (t)'!V123)</f>
        <v>0</v>
      </c>
      <c r="X123" s="183">
        <f>'Q (t)'!G123</f>
        <v>365</v>
      </c>
      <c r="Y123" s="184">
        <f>'Q (t)'!H123</f>
        <v>21000</v>
      </c>
      <c r="Z123" s="178">
        <f>'Q (t)'!I123</f>
        <v>0</v>
      </c>
      <c r="AA123" s="178">
        <f>'Q (t)'!J123</f>
        <v>0</v>
      </c>
      <c r="AB123" s="179">
        <f>'Q (t)'!K123</f>
        <v>0</v>
      </c>
      <c r="AC123" s="178">
        <f>'Q (t)'!L123</f>
        <v>0</v>
      </c>
      <c r="AD123" s="178">
        <f>'Q (t)'!M123</f>
        <v>0</v>
      </c>
      <c r="AE123" s="178">
        <f>'Q (t)'!N123</f>
        <v>0</v>
      </c>
      <c r="AF123" s="179">
        <f>'Q (t)'!O123</f>
        <v>0</v>
      </c>
      <c r="AG123" s="178">
        <f>'Q (t)'!P123</f>
        <v>0</v>
      </c>
      <c r="AH123" s="178">
        <f>'Q (t)'!Q123</f>
        <v>0</v>
      </c>
      <c r="AI123" s="179">
        <f>'Q (t)'!R123</f>
        <v>0</v>
      </c>
      <c r="AJ123" s="184">
        <f>'Q (t)'!S123</f>
        <v>12925745</v>
      </c>
      <c r="AK123" s="178">
        <f>'Q (t)'!T123</f>
        <v>16849495</v>
      </c>
      <c r="AL123" s="184">
        <f>'Q (t)'!U123</f>
        <v>0</v>
      </c>
      <c r="AM123" s="179">
        <f>'Q (t)'!V123</f>
        <v>0</v>
      </c>
      <c r="AO123" s="183">
        <f t="shared" si="62"/>
        <v>283.79841350000004</v>
      </c>
      <c r="AP123" s="184">
        <f t="shared" si="84"/>
        <v>485.10000000000008</v>
      </c>
      <c r="AQ123" s="178">
        <f t="shared" si="84"/>
        <v>0</v>
      </c>
      <c r="AR123" s="178">
        <f t="shared" si="84"/>
        <v>0</v>
      </c>
      <c r="AS123" s="179">
        <f t="shared" si="84"/>
        <v>0</v>
      </c>
      <c r="AT123" s="178">
        <f t="shared" si="84"/>
        <v>0</v>
      </c>
      <c r="AU123" s="178">
        <f t="shared" si="84"/>
        <v>0</v>
      </c>
      <c r="AV123" s="178">
        <f t="shared" si="84"/>
        <v>0</v>
      </c>
      <c r="AW123" s="179">
        <f t="shared" si="84"/>
        <v>0</v>
      </c>
      <c r="AX123" s="178">
        <f t="shared" si="86"/>
        <v>0</v>
      </c>
      <c r="AY123" s="178">
        <f t="shared" si="86"/>
        <v>0</v>
      </c>
      <c r="AZ123" s="179">
        <f t="shared" si="86"/>
        <v>0</v>
      </c>
      <c r="BA123" s="184">
        <f t="shared" si="86"/>
        <v>500.22633149999996</v>
      </c>
      <c r="BB123" s="178">
        <f t="shared" si="86"/>
        <v>685.77444649999995</v>
      </c>
      <c r="BC123" s="184">
        <f t="shared" si="86"/>
        <v>0</v>
      </c>
      <c r="BD123" s="178">
        <f t="shared" si="85"/>
        <v>0</v>
      </c>
      <c r="BE123" s="244">
        <f t="shared" si="64"/>
        <v>1</v>
      </c>
      <c r="BF123" s="245">
        <f t="shared" si="83"/>
        <v>21000</v>
      </c>
      <c r="BH123" s="255">
        <f t="shared" si="87"/>
        <v>283.79841350000004</v>
      </c>
      <c r="BI123" s="255">
        <f t="shared" si="88"/>
        <v>485.10000000000008</v>
      </c>
      <c r="BJ123" s="255">
        <f t="shared" si="89"/>
        <v>0</v>
      </c>
      <c r="BK123" s="256">
        <f t="shared" si="90"/>
        <v>1186.0007779999999</v>
      </c>
      <c r="BL123" s="262">
        <f t="shared" si="91"/>
        <v>0</v>
      </c>
      <c r="BM123" s="257">
        <f t="shared" si="66"/>
        <v>1954.8991914999999</v>
      </c>
      <c r="BO123" s="714">
        <f t="shared" si="67"/>
        <v>93.090437690476193</v>
      </c>
    </row>
    <row r="124" spans="2:67" ht="15" customHeight="1" x14ac:dyDescent="0.25">
      <c r="B124" s="19">
        <f t="shared" si="75"/>
        <v>26</v>
      </c>
      <c r="C124" s="44" t="s">
        <v>144</v>
      </c>
      <c r="D124" s="45"/>
      <c r="E124" s="105" t="s">
        <v>141</v>
      </c>
      <c r="G124" s="477">
        <f>SUM('DUoS (t)'!G124,'TUoS (t)'!G124,'JSO (t)'!G124)</f>
        <v>0</v>
      </c>
      <c r="H124" s="478">
        <f>SUM('DUoS (t)'!H124,'TUoS (t)'!H124,'JSO (t)'!H124)</f>
        <v>1.1300000000000001E-2</v>
      </c>
      <c r="I124" s="461">
        <f>SUM('DUoS (t)'!I124,'TUoS (t)'!I124,'JSO (t)'!I124)</f>
        <v>0</v>
      </c>
      <c r="J124" s="461">
        <f>SUM('DUoS (t)'!J124,'TUoS (t)'!J124,'JSO (t)'!J124)</f>
        <v>0</v>
      </c>
      <c r="K124" s="462">
        <f>SUM('DUoS (t)'!K124,'TUoS (t)'!K124,'JSO (t)'!K124)</f>
        <v>0</v>
      </c>
      <c r="L124" s="461">
        <f>SUM('DUoS (t)'!L124,'TUoS (t)'!L124,'JSO (t)'!L124)</f>
        <v>0</v>
      </c>
      <c r="M124" s="461">
        <f>SUM('DUoS (t)'!M124,'TUoS (t)'!M124,'JSO (t)'!M124)</f>
        <v>0</v>
      </c>
      <c r="N124" s="461">
        <f>SUM('DUoS (t)'!N124,'TUoS (t)'!N124,'JSO (t)'!N124)</f>
        <v>0</v>
      </c>
      <c r="O124" s="462">
        <f>SUM('DUoS (t)'!O124,'TUoS (t)'!O124,'JSO (t)'!O124)</f>
        <v>0</v>
      </c>
      <c r="P124" s="461">
        <f>SUM('DUoS (t)'!P124,'TUoS (t)'!P124,'JSO (t)'!P124)</f>
        <v>0</v>
      </c>
      <c r="Q124" s="461">
        <f>SUM('DUoS (t)'!Q124,'TUoS (t)'!Q124,'JSO (t)'!Q124)</f>
        <v>0</v>
      </c>
      <c r="R124" s="462">
        <f>SUM('DUoS (t)'!R124,'TUoS (t)'!R124,'JSO (t)'!R124)</f>
        <v>0</v>
      </c>
      <c r="S124" s="478">
        <f>SUM('DUoS (t)'!S124,'TUoS (t)'!S124,'JSO (t)'!S124)</f>
        <v>0.1162</v>
      </c>
      <c r="T124" s="483">
        <f>SUM('DUoS (t)'!T124,'TUoS (t)'!T124,'JSO (t)'!T124)</f>
        <v>4.07E-2</v>
      </c>
      <c r="U124" s="480">
        <f>SUM('DUoS (t)'!U124,'TUoS (t)'!U124,'JSO (t)'!U124)</f>
        <v>0</v>
      </c>
      <c r="V124" s="481">
        <f>SUM('DUoS (t)'!V124,'TUoS (t)'!V124,'JSO (t)'!V124)</f>
        <v>0</v>
      </c>
      <c r="X124" s="183">
        <f>'Q (t)'!G124</f>
        <v>365</v>
      </c>
      <c r="Y124" s="184">
        <f>'Q (t)'!H124</f>
        <v>15200</v>
      </c>
      <c r="Z124" s="178">
        <f>'Q (t)'!I124</f>
        <v>0</v>
      </c>
      <c r="AA124" s="178">
        <f>'Q (t)'!J124</f>
        <v>0</v>
      </c>
      <c r="AB124" s="179">
        <f>'Q (t)'!K124</f>
        <v>0</v>
      </c>
      <c r="AC124" s="178">
        <f>'Q (t)'!L124</f>
        <v>0</v>
      </c>
      <c r="AD124" s="178">
        <f>'Q (t)'!M124</f>
        <v>0</v>
      </c>
      <c r="AE124" s="178">
        <f>'Q (t)'!N124</f>
        <v>0</v>
      </c>
      <c r="AF124" s="179">
        <f>'Q (t)'!O124</f>
        <v>0</v>
      </c>
      <c r="AG124" s="178">
        <f>'Q (t)'!P124</f>
        <v>0</v>
      </c>
      <c r="AH124" s="178">
        <f>'Q (t)'!Q124</f>
        <v>0</v>
      </c>
      <c r="AI124" s="179">
        <f>'Q (t)'!R124</f>
        <v>0</v>
      </c>
      <c r="AJ124" s="184">
        <f>'Q (t)'!S124</f>
        <v>1015430</v>
      </c>
      <c r="AK124" s="178">
        <f>'Q (t)'!T124</f>
        <v>3650000</v>
      </c>
      <c r="AL124" s="184">
        <f>'Q (t)'!U124</f>
        <v>0</v>
      </c>
      <c r="AM124" s="179">
        <f>'Q (t)'!V124</f>
        <v>0</v>
      </c>
      <c r="AO124" s="183">
        <f t="shared" si="62"/>
        <v>0</v>
      </c>
      <c r="AP124" s="184">
        <f t="shared" si="84"/>
        <v>171.76000000000002</v>
      </c>
      <c r="AQ124" s="178">
        <f t="shared" si="84"/>
        <v>0</v>
      </c>
      <c r="AR124" s="178">
        <f t="shared" si="84"/>
        <v>0</v>
      </c>
      <c r="AS124" s="179">
        <f t="shared" si="84"/>
        <v>0</v>
      </c>
      <c r="AT124" s="178">
        <f t="shared" si="84"/>
        <v>0</v>
      </c>
      <c r="AU124" s="178">
        <f t="shared" si="84"/>
        <v>0</v>
      </c>
      <c r="AV124" s="178">
        <f t="shared" si="84"/>
        <v>0</v>
      </c>
      <c r="AW124" s="179">
        <f t="shared" si="84"/>
        <v>0</v>
      </c>
      <c r="AX124" s="178">
        <f t="shared" si="86"/>
        <v>0</v>
      </c>
      <c r="AY124" s="178">
        <f t="shared" si="86"/>
        <v>0</v>
      </c>
      <c r="AZ124" s="179">
        <f t="shared" si="86"/>
        <v>0</v>
      </c>
      <c r="BA124" s="184">
        <f t="shared" si="86"/>
        <v>117.992966</v>
      </c>
      <c r="BB124" s="178">
        <f t="shared" si="86"/>
        <v>148.55500000000001</v>
      </c>
      <c r="BC124" s="184">
        <f t="shared" si="86"/>
        <v>0</v>
      </c>
      <c r="BD124" s="178">
        <f t="shared" si="85"/>
        <v>0</v>
      </c>
      <c r="BE124" s="244">
        <f t="shared" si="64"/>
        <v>1</v>
      </c>
      <c r="BF124" s="245">
        <f t="shared" si="83"/>
        <v>15200</v>
      </c>
      <c r="BH124" s="255">
        <f t="shared" si="87"/>
        <v>0</v>
      </c>
      <c r="BI124" s="255">
        <f t="shared" si="88"/>
        <v>171.76000000000002</v>
      </c>
      <c r="BJ124" s="255">
        <f t="shared" si="89"/>
        <v>0</v>
      </c>
      <c r="BK124" s="256">
        <f t="shared" si="90"/>
        <v>266.54796599999997</v>
      </c>
      <c r="BL124" s="262">
        <f t="shared" si="91"/>
        <v>0</v>
      </c>
      <c r="BM124" s="257">
        <f t="shared" si="66"/>
        <v>438.30796599999996</v>
      </c>
      <c r="BO124" s="714">
        <f t="shared" si="67"/>
        <v>28.836050394736841</v>
      </c>
    </row>
    <row r="125" spans="2:67" ht="15" customHeight="1" x14ac:dyDescent="0.25">
      <c r="B125" s="19">
        <f t="shared" si="75"/>
        <v>27</v>
      </c>
      <c r="C125" s="44" t="s">
        <v>145</v>
      </c>
      <c r="D125" s="45"/>
      <c r="E125" s="105" t="s">
        <v>141</v>
      </c>
      <c r="G125" s="477">
        <f>SUM('DUoS (t)'!G125,'TUoS (t)'!G125,'JSO (t)'!G125)</f>
        <v>2769.9</v>
      </c>
      <c r="H125" s="478">
        <f>SUM('DUoS (t)'!H125,'TUoS (t)'!H125,'JSO (t)'!H125)</f>
        <v>2.5000000000000001E-3</v>
      </c>
      <c r="I125" s="461">
        <f>SUM('DUoS (t)'!I125,'TUoS (t)'!I125,'JSO (t)'!I125)</f>
        <v>0</v>
      </c>
      <c r="J125" s="461">
        <f>SUM('DUoS (t)'!J125,'TUoS (t)'!J125,'JSO (t)'!J125)</f>
        <v>0</v>
      </c>
      <c r="K125" s="462">
        <f>SUM('DUoS (t)'!K125,'TUoS (t)'!K125,'JSO (t)'!K125)</f>
        <v>0</v>
      </c>
      <c r="L125" s="461">
        <f>SUM('DUoS (t)'!L125,'TUoS (t)'!L125,'JSO (t)'!L125)</f>
        <v>0</v>
      </c>
      <c r="M125" s="461">
        <f>SUM('DUoS (t)'!M125,'TUoS (t)'!M125,'JSO (t)'!M125)</f>
        <v>0</v>
      </c>
      <c r="N125" s="461">
        <f>SUM('DUoS (t)'!N125,'TUoS (t)'!N125,'JSO (t)'!N125)</f>
        <v>0</v>
      </c>
      <c r="O125" s="462">
        <f>SUM('DUoS (t)'!O125,'TUoS (t)'!O125,'JSO (t)'!O125)</f>
        <v>0</v>
      </c>
      <c r="P125" s="461">
        <f>SUM('DUoS (t)'!P125,'TUoS (t)'!P125,'JSO (t)'!P125)</f>
        <v>0</v>
      </c>
      <c r="Q125" s="461">
        <f>SUM('DUoS (t)'!Q125,'TUoS (t)'!Q125,'JSO (t)'!Q125)</f>
        <v>0</v>
      </c>
      <c r="R125" s="462">
        <f>SUM('DUoS (t)'!R125,'TUoS (t)'!R125,'JSO (t)'!R125)</f>
        <v>0</v>
      </c>
      <c r="S125" s="478">
        <f>SUM('DUoS (t)'!S125,'TUoS (t)'!S125,'JSO (t)'!S125)</f>
        <v>0</v>
      </c>
      <c r="T125" s="483">
        <f>SUM('DUoS (t)'!T125,'TUoS (t)'!T125,'JSO (t)'!T125)</f>
        <v>4.07E-2</v>
      </c>
      <c r="U125" s="480">
        <f>SUM('DUoS (t)'!U125,'TUoS (t)'!U125,'JSO (t)'!U125)</f>
        <v>0</v>
      </c>
      <c r="V125" s="481">
        <f>SUM('DUoS (t)'!V125,'TUoS (t)'!V125,'JSO (t)'!V125)</f>
        <v>0</v>
      </c>
      <c r="X125" s="183">
        <f>'Q (t)'!G125</f>
        <v>365</v>
      </c>
      <c r="Y125" s="184">
        <f>'Q (t)'!H125</f>
        <v>86000</v>
      </c>
      <c r="Z125" s="178">
        <f>'Q (t)'!I125</f>
        <v>0</v>
      </c>
      <c r="AA125" s="178">
        <f>'Q (t)'!J125</f>
        <v>0</v>
      </c>
      <c r="AB125" s="179">
        <f>'Q (t)'!K125</f>
        <v>0</v>
      </c>
      <c r="AC125" s="178">
        <f>'Q (t)'!L125</f>
        <v>0</v>
      </c>
      <c r="AD125" s="178">
        <f>'Q (t)'!M125</f>
        <v>0</v>
      </c>
      <c r="AE125" s="178">
        <f>'Q (t)'!N125</f>
        <v>0</v>
      </c>
      <c r="AF125" s="179">
        <f>'Q (t)'!O125</f>
        <v>0</v>
      </c>
      <c r="AG125" s="178">
        <f>'Q (t)'!P125</f>
        <v>0</v>
      </c>
      <c r="AH125" s="178">
        <f>'Q (t)'!Q125</f>
        <v>0</v>
      </c>
      <c r="AI125" s="179">
        <f>'Q (t)'!R125</f>
        <v>0</v>
      </c>
      <c r="AJ125" s="184">
        <f>'Q (t)'!S125</f>
        <v>4013540</v>
      </c>
      <c r="AK125" s="178">
        <f>'Q (t)'!T125</f>
        <v>5790725</v>
      </c>
      <c r="AL125" s="184">
        <f>'Q (t)'!U125</f>
        <v>0</v>
      </c>
      <c r="AM125" s="179">
        <f>'Q (t)'!V125</f>
        <v>0</v>
      </c>
      <c r="AO125" s="183">
        <f t="shared" si="62"/>
        <v>1011.0135</v>
      </c>
      <c r="AP125" s="184">
        <f t="shared" si="84"/>
        <v>215</v>
      </c>
      <c r="AQ125" s="178">
        <f t="shared" si="84"/>
        <v>0</v>
      </c>
      <c r="AR125" s="178">
        <f t="shared" si="84"/>
        <v>0</v>
      </c>
      <c r="AS125" s="179">
        <f t="shared" si="84"/>
        <v>0</v>
      </c>
      <c r="AT125" s="178">
        <f t="shared" si="84"/>
        <v>0</v>
      </c>
      <c r="AU125" s="178">
        <f t="shared" si="84"/>
        <v>0</v>
      </c>
      <c r="AV125" s="178">
        <f t="shared" si="84"/>
        <v>0</v>
      </c>
      <c r="AW125" s="179">
        <f t="shared" si="84"/>
        <v>0</v>
      </c>
      <c r="AX125" s="178">
        <f t="shared" si="86"/>
        <v>0</v>
      </c>
      <c r="AY125" s="178">
        <f t="shared" si="86"/>
        <v>0</v>
      </c>
      <c r="AZ125" s="179">
        <f t="shared" si="86"/>
        <v>0</v>
      </c>
      <c r="BA125" s="184">
        <f t="shared" si="86"/>
        <v>0</v>
      </c>
      <c r="BB125" s="178">
        <f t="shared" si="86"/>
        <v>235.68250750000001</v>
      </c>
      <c r="BC125" s="184">
        <f t="shared" si="86"/>
        <v>0</v>
      </c>
      <c r="BD125" s="178">
        <f t="shared" si="85"/>
        <v>0</v>
      </c>
      <c r="BE125" s="244">
        <f t="shared" si="64"/>
        <v>1</v>
      </c>
      <c r="BF125" s="245">
        <f t="shared" si="83"/>
        <v>86000</v>
      </c>
      <c r="BH125" s="255">
        <f t="shared" si="87"/>
        <v>1011.0135</v>
      </c>
      <c r="BI125" s="255">
        <f t="shared" si="88"/>
        <v>215</v>
      </c>
      <c r="BJ125" s="255">
        <f t="shared" si="89"/>
        <v>0</v>
      </c>
      <c r="BK125" s="256">
        <f t="shared" si="90"/>
        <v>235.68250750000001</v>
      </c>
      <c r="BL125" s="262">
        <f t="shared" si="91"/>
        <v>0</v>
      </c>
      <c r="BM125" s="257">
        <f t="shared" si="66"/>
        <v>1461.6960075</v>
      </c>
      <c r="BO125" s="714">
        <f t="shared" si="67"/>
        <v>16.996465203488373</v>
      </c>
    </row>
    <row r="126" spans="2:67" ht="15" customHeight="1" x14ac:dyDescent="0.25">
      <c r="B126" s="19">
        <f t="shared" si="75"/>
        <v>28</v>
      </c>
      <c r="C126" s="44" t="s">
        <v>146</v>
      </c>
      <c r="D126" s="45"/>
      <c r="E126" s="105" t="s">
        <v>141</v>
      </c>
      <c r="G126" s="477">
        <f>SUM('DUoS (t)'!G126,'TUoS (t)'!G126,'JSO (t)'!G126)</f>
        <v>447.27269999999999</v>
      </c>
      <c r="H126" s="478">
        <f>SUM('DUoS (t)'!H126,'TUoS (t)'!H126,'JSO (t)'!H126)</f>
        <v>2.5000000000000001E-3</v>
      </c>
      <c r="I126" s="461">
        <f>SUM('DUoS (t)'!I126,'TUoS (t)'!I126,'JSO (t)'!I126)</f>
        <v>0</v>
      </c>
      <c r="J126" s="461">
        <f>SUM('DUoS (t)'!J126,'TUoS (t)'!J126,'JSO (t)'!J126)</f>
        <v>0</v>
      </c>
      <c r="K126" s="462">
        <f>SUM('DUoS (t)'!K126,'TUoS (t)'!K126,'JSO (t)'!K126)</f>
        <v>0</v>
      </c>
      <c r="L126" s="461">
        <f>SUM('DUoS (t)'!L126,'TUoS (t)'!L126,'JSO (t)'!L126)</f>
        <v>0</v>
      </c>
      <c r="M126" s="461">
        <f>SUM('DUoS (t)'!M126,'TUoS (t)'!M126,'JSO (t)'!M126)</f>
        <v>0</v>
      </c>
      <c r="N126" s="461">
        <f>SUM('DUoS (t)'!N126,'TUoS (t)'!N126,'JSO (t)'!N126)</f>
        <v>0</v>
      </c>
      <c r="O126" s="462">
        <f>SUM('DUoS (t)'!O126,'TUoS (t)'!O126,'JSO (t)'!O126)</f>
        <v>0</v>
      </c>
      <c r="P126" s="461">
        <f>SUM('DUoS (t)'!P126,'TUoS (t)'!P126,'JSO (t)'!P126)</f>
        <v>0</v>
      </c>
      <c r="Q126" s="461">
        <f>SUM('DUoS (t)'!Q126,'TUoS (t)'!Q126,'JSO (t)'!Q126)</f>
        <v>0</v>
      </c>
      <c r="R126" s="462">
        <f>SUM('DUoS (t)'!R126,'TUoS (t)'!R126,'JSO (t)'!R126)</f>
        <v>0</v>
      </c>
      <c r="S126" s="478">
        <f>SUM('DUoS (t)'!S126,'TUoS (t)'!S126,'JSO (t)'!S126)</f>
        <v>0.26229999999999998</v>
      </c>
      <c r="T126" s="483">
        <f>SUM('DUoS (t)'!T126,'TUoS (t)'!T126,'JSO (t)'!T126)</f>
        <v>4.07E-2</v>
      </c>
      <c r="U126" s="480">
        <f>SUM('DUoS (t)'!U126,'TUoS (t)'!U126,'JSO (t)'!U126)</f>
        <v>0</v>
      </c>
      <c r="V126" s="481">
        <f>SUM('DUoS (t)'!V126,'TUoS (t)'!V126,'JSO (t)'!V126)</f>
        <v>0</v>
      </c>
      <c r="X126" s="183">
        <f>'Q (t)'!G126</f>
        <v>365</v>
      </c>
      <c r="Y126" s="184">
        <f>'Q (t)'!H126</f>
        <v>27900</v>
      </c>
      <c r="Z126" s="178">
        <f>'Q (t)'!I126</f>
        <v>0</v>
      </c>
      <c r="AA126" s="178">
        <f>'Q (t)'!J126</f>
        <v>0</v>
      </c>
      <c r="AB126" s="179">
        <f>'Q (t)'!K126</f>
        <v>0</v>
      </c>
      <c r="AC126" s="178">
        <f>'Q (t)'!L126</f>
        <v>0</v>
      </c>
      <c r="AD126" s="178">
        <f>'Q (t)'!M126</f>
        <v>0</v>
      </c>
      <c r="AE126" s="178">
        <f>'Q (t)'!N126</f>
        <v>0</v>
      </c>
      <c r="AF126" s="179">
        <f>'Q (t)'!O126</f>
        <v>0</v>
      </c>
      <c r="AG126" s="178">
        <f>'Q (t)'!P126</f>
        <v>0</v>
      </c>
      <c r="AH126" s="178">
        <f>'Q (t)'!Q126</f>
        <v>0</v>
      </c>
      <c r="AI126" s="179">
        <f>'Q (t)'!R126</f>
        <v>0</v>
      </c>
      <c r="AJ126" s="184">
        <f>'Q (t)'!S126</f>
        <v>3680660</v>
      </c>
      <c r="AK126" s="178">
        <f>'Q (t)'!T126</f>
        <v>4706675</v>
      </c>
      <c r="AL126" s="184">
        <f>'Q (t)'!U126</f>
        <v>0</v>
      </c>
      <c r="AM126" s="179">
        <f>'Q (t)'!V126</f>
        <v>0</v>
      </c>
      <c r="AO126" s="183">
        <f t="shared" si="62"/>
        <v>163.2545355</v>
      </c>
      <c r="AP126" s="184">
        <f t="shared" si="84"/>
        <v>69.75</v>
      </c>
      <c r="AQ126" s="178">
        <f t="shared" si="84"/>
        <v>0</v>
      </c>
      <c r="AR126" s="178">
        <f t="shared" si="84"/>
        <v>0</v>
      </c>
      <c r="AS126" s="179">
        <f t="shared" si="84"/>
        <v>0</v>
      </c>
      <c r="AT126" s="178">
        <f t="shared" si="84"/>
        <v>0</v>
      </c>
      <c r="AU126" s="178">
        <f t="shared" si="84"/>
        <v>0</v>
      </c>
      <c r="AV126" s="178">
        <f t="shared" si="84"/>
        <v>0</v>
      </c>
      <c r="AW126" s="179">
        <f t="shared" si="84"/>
        <v>0</v>
      </c>
      <c r="AX126" s="178">
        <f t="shared" si="86"/>
        <v>0</v>
      </c>
      <c r="AY126" s="178">
        <f t="shared" si="86"/>
        <v>0</v>
      </c>
      <c r="AZ126" s="179">
        <f t="shared" si="86"/>
        <v>0</v>
      </c>
      <c r="BA126" s="184">
        <f t="shared" si="86"/>
        <v>965.43711799999994</v>
      </c>
      <c r="BB126" s="178">
        <f t="shared" si="86"/>
        <v>191.56167249999999</v>
      </c>
      <c r="BC126" s="184">
        <f t="shared" si="86"/>
        <v>0</v>
      </c>
      <c r="BD126" s="178">
        <f t="shared" si="85"/>
        <v>0</v>
      </c>
      <c r="BE126" s="244">
        <f t="shared" si="64"/>
        <v>1</v>
      </c>
      <c r="BF126" s="245">
        <f t="shared" si="83"/>
        <v>27900</v>
      </c>
      <c r="BH126" s="255">
        <f t="shared" si="87"/>
        <v>163.2545355</v>
      </c>
      <c r="BI126" s="255">
        <f t="shared" si="88"/>
        <v>69.75</v>
      </c>
      <c r="BJ126" s="255">
        <f t="shared" si="89"/>
        <v>0</v>
      </c>
      <c r="BK126" s="256">
        <f t="shared" si="90"/>
        <v>1156.9987904999998</v>
      </c>
      <c r="BL126" s="262">
        <f t="shared" si="91"/>
        <v>0</v>
      </c>
      <c r="BM126" s="257">
        <f t="shared" si="66"/>
        <v>1390.0033259999998</v>
      </c>
      <c r="BO126" s="714">
        <f t="shared" si="67"/>
        <v>49.820907741935478</v>
      </c>
    </row>
    <row r="127" spans="2:67" ht="15" customHeight="1" x14ac:dyDescent="0.25">
      <c r="B127" s="19">
        <f t="shared" si="75"/>
        <v>29</v>
      </c>
      <c r="C127" s="44" t="s">
        <v>147</v>
      </c>
      <c r="D127" s="45"/>
      <c r="E127" s="105" t="s">
        <v>141</v>
      </c>
      <c r="G127" s="477">
        <f>SUM('DUoS (t)'!G127,'TUoS (t)'!G127,'JSO (t)'!G127)</f>
        <v>3570.9</v>
      </c>
      <c r="H127" s="478">
        <f>SUM('DUoS (t)'!H127,'TUoS (t)'!H127,'JSO (t)'!H127)</f>
        <v>2.5000000000000001E-3</v>
      </c>
      <c r="I127" s="461">
        <f>SUM('DUoS (t)'!I127,'TUoS (t)'!I127,'JSO (t)'!I127)</f>
        <v>0</v>
      </c>
      <c r="J127" s="461">
        <f>SUM('DUoS (t)'!J127,'TUoS (t)'!J127,'JSO (t)'!J127)</f>
        <v>0</v>
      </c>
      <c r="K127" s="462">
        <f>SUM('DUoS (t)'!K127,'TUoS (t)'!K127,'JSO (t)'!K127)</f>
        <v>0</v>
      </c>
      <c r="L127" s="461">
        <f>SUM('DUoS (t)'!L127,'TUoS (t)'!L127,'JSO (t)'!L127)</f>
        <v>0</v>
      </c>
      <c r="M127" s="461">
        <f>SUM('DUoS (t)'!M127,'TUoS (t)'!M127,'JSO (t)'!M127)</f>
        <v>0</v>
      </c>
      <c r="N127" s="461">
        <f>SUM('DUoS (t)'!N127,'TUoS (t)'!N127,'JSO (t)'!N127)</f>
        <v>0</v>
      </c>
      <c r="O127" s="462">
        <f>SUM('DUoS (t)'!O127,'TUoS (t)'!O127,'JSO (t)'!O127)</f>
        <v>0</v>
      </c>
      <c r="P127" s="461">
        <f>SUM('DUoS (t)'!P127,'TUoS (t)'!P127,'JSO (t)'!P127)</f>
        <v>0</v>
      </c>
      <c r="Q127" s="461">
        <f>SUM('DUoS (t)'!Q127,'TUoS (t)'!Q127,'JSO (t)'!Q127)</f>
        <v>0</v>
      </c>
      <c r="R127" s="462">
        <f>SUM('DUoS (t)'!R127,'TUoS (t)'!R127,'JSO (t)'!R127)</f>
        <v>0</v>
      </c>
      <c r="S127" s="478">
        <f>SUM('DUoS (t)'!S127,'TUoS (t)'!S127,'JSO (t)'!S127)</f>
        <v>0</v>
      </c>
      <c r="T127" s="483">
        <f>SUM('DUoS (t)'!T127,'TUoS (t)'!T127,'JSO (t)'!T127)</f>
        <v>4.07E-2</v>
      </c>
      <c r="U127" s="480">
        <f>SUM('DUoS (t)'!U127,'TUoS (t)'!U127,'JSO (t)'!U127)</f>
        <v>0</v>
      </c>
      <c r="V127" s="481">
        <f>SUM('DUoS (t)'!V127,'TUoS (t)'!V127,'JSO (t)'!V127)</f>
        <v>0</v>
      </c>
      <c r="X127" s="183">
        <f>'Q (t)'!G127</f>
        <v>365</v>
      </c>
      <c r="Y127" s="184">
        <f>'Q (t)'!H127</f>
        <v>27400</v>
      </c>
      <c r="Z127" s="178">
        <f>'Q (t)'!I127</f>
        <v>0</v>
      </c>
      <c r="AA127" s="178">
        <f>'Q (t)'!J127</f>
        <v>0</v>
      </c>
      <c r="AB127" s="179">
        <f>'Q (t)'!K127</f>
        <v>0</v>
      </c>
      <c r="AC127" s="178">
        <f>'Q (t)'!L127</f>
        <v>0</v>
      </c>
      <c r="AD127" s="178">
        <f>'Q (t)'!M127</f>
        <v>0</v>
      </c>
      <c r="AE127" s="178">
        <f>'Q (t)'!N127</f>
        <v>0</v>
      </c>
      <c r="AF127" s="179">
        <f>'Q (t)'!O127</f>
        <v>0</v>
      </c>
      <c r="AG127" s="178">
        <f>'Q (t)'!P127</f>
        <v>0</v>
      </c>
      <c r="AH127" s="178">
        <f>'Q (t)'!Q127</f>
        <v>0</v>
      </c>
      <c r="AI127" s="179">
        <f>'Q (t)'!R127</f>
        <v>0</v>
      </c>
      <c r="AJ127" s="184">
        <f>'Q (t)'!S127</f>
        <v>2555000</v>
      </c>
      <c r="AK127" s="178">
        <f>'Q (t)'!T127</f>
        <v>9280125</v>
      </c>
      <c r="AL127" s="184">
        <f>'Q (t)'!U127</f>
        <v>0</v>
      </c>
      <c r="AM127" s="179">
        <f>'Q (t)'!V127</f>
        <v>0</v>
      </c>
      <c r="AO127" s="183">
        <f t="shared" si="62"/>
        <v>1303.3785</v>
      </c>
      <c r="AP127" s="184">
        <f t="shared" si="84"/>
        <v>68.5</v>
      </c>
      <c r="AQ127" s="178">
        <f t="shared" si="84"/>
        <v>0</v>
      </c>
      <c r="AR127" s="178">
        <f t="shared" si="84"/>
        <v>0</v>
      </c>
      <c r="AS127" s="179">
        <f t="shared" si="84"/>
        <v>0</v>
      </c>
      <c r="AT127" s="178">
        <f t="shared" si="84"/>
        <v>0</v>
      </c>
      <c r="AU127" s="178">
        <f t="shared" si="84"/>
        <v>0</v>
      </c>
      <c r="AV127" s="178">
        <f t="shared" si="84"/>
        <v>0</v>
      </c>
      <c r="AW127" s="179">
        <f t="shared" si="84"/>
        <v>0</v>
      </c>
      <c r="AX127" s="178">
        <f t="shared" si="86"/>
        <v>0</v>
      </c>
      <c r="AY127" s="178">
        <f t="shared" si="86"/>
        <v>0</v>
      </c>
      <c r="AZ127" s="179">
        <f t="shared" si="86"/>
        <v>0</v>
      </c>
      <c r="BA127" s="184">
        <f t="shared" si="86"/>
        <v>0</v>
      </c>
      <c r="BB127" s="178">
        <f t="shared" si="86"/>
        <v>377.70108750000003</v>
      </c>
      <c r="BC127" s="184">
        <f t="shared" si="86"/>
        <v>0</v>
      </c>
      <c r="BD127" s="178">
        <f t="shared" si="85"/>
        <v>0</v>
      </c>
      <c r="BE127" s="244">
        <f t="shared" si="64"/>
        <v>1</v>
      </c>
      <c r="BF127" s="245">
        <f t="shared" si="83"/>
        <v>27400</v>
      </c>
      <c r="BH127" s="255">
        <f t="shared" si="87"/>
        <v>1303.3785</v>
      </c>
      <c r="BI127" s="255">
        <f t="shared" si="88"/>
        <v>68.5</v>
      </c>
      <c r="BJ127" s="255">
        <f t="shared" si="89"/>
        <v>0</v>
      </c>
      <c r="BK127" s="256">
        <f t="shared" si="90"/>
        <v>377.70108750000003</v>
      </c>
      <c r="BL127" s="262">
        <f t="shared" si="91"/>
        <v>0</v>
      </c>
      <c r="BM127" s="257">
        <f t="shared" si="66"/>
        <v>1749.5795875000001</v>
      </c>
      <c r="BO127" s="714">
        <f t="shared" si="67"/>
        <v>63.853269616788324</v>
      </c>
    </row>
    <row r="128" spans="2:67" ht="15" customHeight="1" x14ac:dyDescent="0.25">
      <c r="B128" s="19">
        <f t="shared" si="75"/>
        <v>30</v>
      </c>
      <c r="C128" s="44" t="s">
        <v>148</v>
      </c>
      <c r="D128" s="45"/>
      <c r="E128" s="105" t="s">
        <v>141</v>
      </c>
      <c r="G128" s="477">
        <f>SUM('DUoS (t)'!G128,'TUoS (t)'!G128,'JSO (t)'!G128)</f>
        <v>371.85860000000002</v>
      </c>
      <c r="H128" s="478">
        <f>SUM('DUoS (t)'!H128,'TUoS (t)'!H128,'JSO (t)'!H128)</f>
        <v>2.5000000000000001E-3</v>
      </c>
      <c r="I128" s="461">
        <f>SUM('DUoS (t)'!I128,'TUoS (t)'!I128,'JSO (t)'!I128)</f>
        <v>0</v>
      </c>
      <c r="J128" s="461">
        <f>SUM('DUoS (t)'!J128,'TUoS (t)'!J128,'JSO (t)'!J128)</f>
        <v>0</v>
      </c>
      <c r="K128" s="462">
        <f>SUM('DUoS (t)'!K128,'TUoS (t)'!K128,'JSO (t)'!K128)</f>
        <v>0</v>
      </c>
      <c r="L128" s="461">
        <f>SUM('DUoS (t)'!L128,'TUoS (t)'!L128,'JSO (t)'!L128)</f>
        <v>0</v>
      </c>
      <c r="M128" s="461">
        <f>SUM('DUoS (t)'!M128,'TUoS (t)'!M128,'JSO (t)'!M128)</f>
        <v>0</v>
      </c>
      <c r="N128" s="461">
        <f>SUM('DUoS (t)'!N128,'TUoS (t)'!N128,'JSO (t)'!N128)</f>
        <v>0</v>
      </c>
      <c r="O128" s="462">
        <f>SUM('DUoS (t)'!O128,'TUoS (t)'!O128,'JSO (t)'!O128)</f>
        <v>0</v>
      </c>
      <c r="P128" s="461">
        <f>SUM('DUoS (t)'!P128,'TUoS (t)'!P128,'JSO (t)'!P128)</f>
        <v>0</v>
      </c>
      <c r="Q128" s="461">
        <f>SUM('DUoS (t)'!Q128,'TUoS (t)'!Q128,'JSO (t)'!Q128)</f>
        <v>0</v>
      </c>
      <c r="R128" s="462">
        <f>SUM('DUoS (t)'!R128,'TUoS (t)'!R128,'JSO (t)'!R128)</f>
        <v>0</v>
      </c>
      <c r="S128" s="478">
        <f>SUM('DUoS (t)'!S128,'TUoS (t)'!S128,'JSO (t)'!S128)</f>
        <v>0.17349999999999999</v>
      </c>
      <c r="T128" s="483">
        <f>SUM('DUoS (t)'!T128,'TUoS (t)'!T128,'JSO (t)'!T128)</f>
        <v>4.07E-2</v>
      </c>
      <c r="U128" s="480">
        <f>SUM('DUoS (t)'!U128,'TUoS (t)'!U128,'JSO (t)'!U128)</f>
        <v>0</v>
      </c>
      <c r="V128" s="481">
        <f>SUM('DUoS (t)'!V128,'TUoS (t)'!V128,'JSO (t)'!V128)</f>
        <v>0</v>
      </c>
      <c r="X128" s="183">
        <f>'Q (t)'!G128</f>
        <v>365</v>
      </c>
      <c r="Y128" s="184">
        <f>'Q (t)'!H128</f>
        <v>59000</v>
      </c>
      <c r="Z128" s="178">
        <f>'Q (t)'!I128</f>
        <v>0</v>
      </c>
      <c r="AA128" s="178">
        <f>'Q (t)'!J128</f>
        <v>0</v>
      </c>
      <c r="AB128" s="179">
        <f>'Q (t)'!K128</f>
        <v>0</v>
      </c>
      <c r="AC128" s="178">
        <f>'Q (t)'!L128</f>
        <v>0</v>
      </c>
      <c r="AD128" s="178">
        <f>'Q (t)'!M128</f>
        <v>0</v>
      </c>
      <c r="AE128" s="178">
        <f>'Q (t)'!N128</f>
        <v>0</v>
      </c>
      <c r="AF128" s="179">
        <f>'Q (t)'!O128</f>
        <v>0</v>
      </c>
      <c r="AG128" s="178">
        <f>'Q (t)'!P128</f>
        <v>0</v>
      </c>
      <c r="AH128" s="178">
        <f>'Q (t)'!Q128</f>
        <v>0</v>
      </c>
      <c r="AI128" s="179">
        <f>'Q (t)'!R128</f>
        <v>0</v>
      </c>
      <c r="AJ128" s="184">
        <f>'Q (t)'!S128</f>
        <v>3839070</v>
      </c>
      <c r="AK128" s="178">
        <f>'Q (t)'!T128</f>
        <v>6172515</v>
      </c>
      <c r="AL128" s="184">
        <f>'Q (t)'!U128</f>
        <v>0</v>
      </c>
      <c r="AM128" s="179">
        <f>'Q (t)'!V128</f>
        <v>0</v>
      </c>
      <c r="AO128" s="183">
        <f t="shared" si="62"/>
        <v>135.72838899999999</v>
      </c>
      <c r="AP128" s="184">
        <f t="shared" ref="AP128:AW129" si="92">H128*Y128</f>
        <v>147.5</v>
      </c>
      <c r="AQ128" s="178">
        <f t="shared" si="92"/>
        <v>0</v>
      </c>
      <c r="AR128" s="178">
        <f t="shared" si="92"/>
        <v>0</v>
      </c>
      <c r="AS128" s="179">
        <f t="shared" si="92"/>
        <v>0</v>
      </c>
      <c r="AT128" s="178">
        <f t="shared" si="92"/>
        <v>0</v>
      </c>
      <c r="AU128" s="178">
        <f t="shared" si="92"/>
        <v>0</v>
      </c>
      <c r="AV128" s="178">
        <f t="shared" si="92"/>
        <v>0</v>
      </c>
      <c r="AW128" s="179">
        <f t="shared" si="92"/>
        <v>0</v>
      </c>
      <c r="AX128" s="178">
        <f t="shared" si="86"/>
        <v>0</v>
      </c>
      <c r="AY128" s="178">
        <f t="shared" si="86"/>
        <v>0</v>
      </c>
      <c r="AZ128" s="179">
        <f t="shared" si="86"/>
        <v>0</v>
      </c>
      <c r="BA128" s="184">
        <f t="shared" si="86"/>
        <v>666.07864499999994</v>
      </c>
      <c r="BB128" s="178">
        <f t="shared" si="86"/>
        <v>251.2213605</v>
      </c>
      <c r="BC128" s="184">
        <f t="shared" si="86"/>
        <v>0</v>
      </c>
      <c r="BD128" s="178">
        <f t="shared" si="85"/>
        <v>0</v>
      </c>
      <c r="BE128" s="244">
        <f t="shared" si="64"/>
        <v>1</v>
      </c>
      <c r="BF128" s="245">
        <f t="shared" si="83"/>
        <v>59000</v>
      </c>
      <c r="BH128" s="255">
        <f t="shared" si="87"/>
        <v>135.72838899999999</v>
      </c>
      <c r="BI128" s="255">
        <f t="shared" si="88"/>
        <v>147.5</v>
      </c>
      <c r="BJ128" s="255">
        <f t="shared" si="89"/>
        <v>0</v>
      </c>
      <c r="BK128" s="256">
        <f t="shared" si="90"/>
        <v>917.3000055</v>
      </c>
      <c r="BL128" s="262">
        <f t="shared" si="91"/>
        <v>0</v>
      </c>
      <c r="BM128" s="257">
        <f t="shared" si="66"/>
        <v>1200.5283945000001</v>
      </c>
      <c r="BO128" s="714">
        <f t="shared" si="67"/>
        <v>20.347938889830512</v>
      </c>
    </row>
    <row r="129" spans="1:72" ht="15" customHeight="1" x14ac:dyDescent="0.25">
      <c r="A129" s="214"/>
      <c r="B129" s="26">
        <f t="shared" si="75"/>
        <v>31</v>
      </c>
      <c r="C129" s="839" t="s">
        <v>149</v>
      </c>
      <c r="D129" s="56"/>
      <c r="E129" s="840" t="s">
        <v>141</v>
      </c>
      <c r="G129" s="498">
        <f>SUM('DUoS (t)'!G129,'TUoS (t)'!G129,'JSO (t)'!G129)</f>
        <v>0</v>
      </c>
      <c r="H129" s="491">
        <f>SUM('DUoS (t)'!H129,'TUoS (t)'!H129,'JSO (t)'!H129)</f>
        <v>0</v>
      </c>
      <c r="I129" s="487">
        <f>SUM('DUoS (t)'!I129,'TUoS (t)'!I129,'JSO (t)'!I129)</f>
        <v>0</v>
      </c>
      <c r="J129" s="487">
        <f>SUM('DUoS (t)'!J129,'TUoS (t)'!J129,'JSO (t)'!J129)</f>
        <v>0</v>
      </c>
      <c r="K129" s="488">
        <f>SUM('DUoS (t)'!K129,'TUoS (t)'!K129,'JSO (t)'!K129)</f>
        <v>0</v>
      </c>
      <c r="L129" s="487">
        <f>SUM('DUoS (t)'!L129,'TUoS (t)'!L129,'JSO (t)'!L129)</f>
        <v>0</v>
      </c>
      <c r="M129" s="487">
        <f>SUM('DUoS (t)'!M129,'TUoS (t)'!M129,'JSO (t)'!M129)</f>
        <v>0</v>
      </c>
      <c r="N129" s="487">
        <f>SUM('DUoS (t)'!N129,'TUoS (t)'!N129,'JSO (t)'!N129)</f>
        <v>0</v>
      </c>
      <c r="O129" s="488">
        <f>SUM('DUoS (t)'!O129,'TUoS (t)'!O129,'JSO (t)'!O129)</f>
        <v>0</v>
      </c>
      <c r="P129" s="487">
        <f>SUM('DUoS (t)'!P129,'TUoS (t)'!P129,'JSO (t)'!P129)</f>
        <v>0</v>
      </c>
      <c r="Q129" s="487">
        <f>SUM('DUoS (t)'!Q129,'TUoS (t)'!Q129,'JSO (t)'!Q129)</f>
        <v>0</v>
      </c>
      <c r="R129" s="488">
        <f>SUM('DUoS (t)'!R129,'TUoS (t)'!R129,'JSO (t)'!R129)</f>
        <v>0</v>
      </c>
      <c r="S129" s="491">
        <f>SUM('DUoS (t)'!S129,'TUoS (t)'!S129,'JSO (t)'!S129)</f>
        <v>0</v>
      </c>
      <c r="T129" s="487">
        <f>SUM('DUoS (t)'!T129,'TUoS (t)'!T129,'JSO (t)'!T129)</f>
        <v>0</v>
      </c>
      <c r="U129" s="492">
        <f>SUM('DUoS (t)'!U129,'TUoS (t)'!U129,'JSO (t)'!U129)</f>
        <v>0</v>
      </c>
      <c r="V129" s="493">
        <f>SUM('DUoS (t)'!V129,'TUoS (t)'!V129,'JSO (t)'!V129)</f>
        <v>0</v>
      </c>
      <c r="X129" s="190">
        <f>'Q (t)'!G129</f>
        <v>0</v>
      </c>
      <c r="Y129" s="197">
        <f>'Q (t)'!H129</f>
        <v>0</v>
      </c>
      <c r="Z129" s="192">
        <f>'Q (t)'!I129</f>
        <v>0</v>
      </c>
      <c r="AA129" s="192">
        <f>'Q (t)'!J129</f>
        <v>0</v>
      </c>
      <c r="AB129" s="193">
        <f>'Q (t)'!K129</f>
        <v>0</v>
      </c>
      <c r="AC129" s="192">
        <f>'Q (t)'!L129</f>
        <v>0</v>
      </c>
      <c r="AD129" s="192">
        <f>'Q (t)'!M129</f>
        <v>0</v>
      </c>
      <c r="AE129" s="192">
        <f>'Q (t)'!N129</f>
        <v>0</v>
      </c>
      <c r="AF129" s="193">
        <f>'Q (t)'!O129</f>
        <v>0</v>
      </c>
      <c r="AG129" s="192">
        <f>'Q (t)'!P129</f>
        <v>0</v>
      </c>
      <c r="AH129" s="192">
        <f>'Q (t)'!Q129</f>
        <v>0</v>
      </c>
      <c r="AI129" s="193">
        <f>'Q (t)'!R129</f>
        <v>0</v>
      </c>
      <c r="AJ129" s="197">
        <f>'Q (t)'!S129</f>
        <v>0</v>
      </c>
      <c r="AK129" s="192">
        <f>'Q (t)'!T129</f>
        <v>0</v>
      </c>
      <c r="AL129" s="197">
        <f>'Q (t)'!U129</f>
        <v>0</v>
      </c>
      <c r="AM129" s="193">
        <f>'Q (t)'!V129</f>
        <v>0</v>
      </c>
      <c r="AO129" s="190">
        <f t="shared" si="62"/>
        <v>0</v>
      </c>
      <c r="AP129" s="197">
        <f t="shared" si="92"/>
        <v>0</v>
      </c>
      <c r="AQ129" s="192">
        <f t="shared" si="92"/>
        <v>0</v>
      </c>
      <c r="AR129" s="192">
        <f t="shared" si="92"/>
        <v>0</v>
      </c>
      <c r="AS129" s="193">
        <f t="shared" si="92"/>
        <v>0</v>
      </c>
      <c r="AT129" s="192">
        <f t="shared" si="92"/>
        <v>0</v>
      </c>
      <c r="AU129" s="192">
        <f t="shared" si="92"/>
        <v>0</v>
      </c>
      <c r="AV129" s="192">
        <f t="shared" si="92"/>
        <v>0</v>
      </c>
      <c r="AW129" s="193">
        <f t="shared" si="92"/>
        <v>0</v>
      </c>
      <c r="AX129" s="192">
        <f t="shared" si="86"/>
        <v>0</v>
      </c>
      <c r="AY129" s="192">
        <f t="shared" si="86"/>
        <v>0</v>
      </c>
      <c r="AZ129" s="193">
        <f t="shared" si="86"/>
        <v>0</v>
      </c>
      <c r="BA129" s="197">
        <f t="shared" si="86"/>
        <v>0</v>
      </c>
      <c r="BB129" s="192">
        <f t="shared" si="86"/>
        <v>0</v>
      </c>
      <c r="BC129" s="197">
        <f t="shared" si="86"/>
        <v>0</v>
      </c>
      <c r="BD129" s="193">
        <f t="shared" si="85"/>
        <v>0</v>
      </c>
      <c r="BE129" s="246">
        <f t="shared" si="64"/>
        <v>0</v>
      </c>
      <c r="BF129" s="247">
        <f t="shared" si="83"/>
        <v>0</v>
      </c>
      <c r="BH129" s="258">
        <f t="shared" si="87"/>
        <v>0</v>
      </c>
      <c r="BI129" s="258">
        <f t="shared" si="88"/>
        <v>0</v>
      </c>
      <c r="BJ129" s="258">
        <f t="shared" si="89"/>
        <v>0</v>
      </c>
      <c r="BK129" s="259">
        <f t="shared" si="90"/>
        <v>0</v>
      </c>
      <c r="BL129" s="263">
        <f t="shared" si="91"/>
        <v>0</v>
      </c>
      <c r="BM129" s="264">
        <f t="shared" si="66"/>
        <v>0</v>
      </c>
      <c r="BO129" s="714" t="str">
        <f t="shared" si="67"/>
        <v/>
      </c>
    </row>
    <row r="130" spans="1:72" x14ac:dyDescent="0.25">
      <c r="BE130" s="248"/>
      <c r="BF130" s="249"/>
    </row>
    <row r="131" spans="1:72" x14ac:dyDescent="0.25">
      <c r="C131" s="216" t="s">
        <v>150</v>
      </c>
      <c r="D131" s="217"/>
      <c r="E131" s="217"/>
      <c r="G131" s="217"/>
      <c r="H131" s="217"/>
      <c r="I131" s="217"/>
      <c r="J131" s="217"/>
      <c r="K131" s="217"/>
      <c r="L131" s="217"/>
      <c r="M131" s="217"/>
      <c r="N131" s="217"/>
      <c r="O131" s="217"/>
      <c r="P131" s="217"/>
      <c r="Q131" s="217"/>
      <c r="R131" s="217"/>
      <c r="S131" s="217"/>
      <c r="T131" s="217"/>
      <c r="U131" s="217"/>
      <c r="V131" s="217"/>
      <c r="X131" s="218">
        <f t="shared" ref="X131:AM131" si="93">SUM(X16:X25)</f>
        <v>293618410</v>
      </c>
      <c r="Y131" s="218">
        <f t="shared" si="93"/>
        <v>2400100</v>
      </c>
      <c r="Z131" s="218">
        <f t="shared" si="93"/>
        <v>570050</v>
      </c>
      <c r="AA131" s="218">
        <f t="shared" si="93"/>
        <v>114350</v>
      </c>
      <c r="AB131" s="218">
        <f t="shared" si="93"/>
        <v>126950</v>
      </c>
      <c r="AC131" s="218">
        <f t="shared" si="93"/>
        <v>361300</v>
      </c>
      <c r="AD131" s="218">
        <f t="shared" si="93"/>
        <v>0</v>
      </c>
      <c r="AE131" s="218">
        <f t="shared" si="93"/>
        <v>92600</v>
      </c>
      <c r="AF131" s="218">
        <f t="shared" si="93"/>
        <v>23100</v>
      </c>
      <c r="AG131" s="218">
        <f t="shared" si="93"/>
        <v>0</v>
      </c>
      <c r="AH131" s="218">
        <f t="shared" si="93"/>
        <v>0</v>
      </c>
      <c r="AI131" s="218">
        <f t="shared" si="93"/>
        <v>0</v>
      </c>
      <c r="AJ131" s="218">
        <f t="shared" si="93"/>
        <v>0</v>
      </c>
      <c r="AK131" s="218">
        <f t="shared" si="93"/>
        <v>0</v>
      </c>
      <c r="AL131" s="218">
        <f t="shared" si="93"/>
        <v>446395</v>
      </c>
      <c r="AM131" s="218">
        <f t="shared" si="93"/>
        <v>0</v>
      </c>
      <c r="AO131" s="218">
        <f t="shared" ref="AO131:BD131" si="94">SUM(AO16:AO25)</f>
        <v>144812.599812</v>
      </c>
      <c r="AP131" s="218">
        <f t="shared" si="94"/>
        <v>323053.46000000002</v>
      </c>
      <c r="AQ131" s="218">
        <f t="shared" si="94"/>
        <v>96023.005000000005</v>
      </c>
      <c r="AR131" s="218">
        <f t="shared" si="94"/>
        <v>7706.4299999999994</v>
      </c>
      <c r="AS131" s="218">
        <f t="shared" si="94"/>
        <v>4274.8149999999987</v>
      </c>
      <c r="AT131" s="218">
        <f t="shared" si="94"/>
        <v>24387.749999999996</v>
      </c>
      <c r="AU131" s="218">
        <f t="shared" si="94"/>
        <v>0</v>
      </c>
      <c r="AV131" s="218">
        <f t="shared" si="94"/>
        <v>6250.4999999999991</v>
      </c>
      <c r="AW131" s="218">
        <f t="shared" si="94"/>
        <v>778.46999999999991</v>
      </c>
      <c r="AX131" s="218">
        <f t="shared" si="94"/>
        <v>0</v>
      </c>
      <c r="AY131" s="218">
        <f t="shared" si="94"/>
        <v>0</v>
      </c>
      <c r="AZ131" s="218">
        <f t="shared" si="94"/>
        <v>0</v>
      </c>
      <c r="BA131" s="218">
        <f t="shared" si="94"/>
        <v>0</v>
      </c>
      <c r="BB131" s="218">
        <f t="shared" si="94"/>
        <v>0</v>
      </c>
      <c r="BC131" s="218">
        <f t="shared" si="94"/>
        <v>334.26057600000001</v>
      </c>
      <c r="BD131" s="218">
        <f t="shared" si="94"/>
        <v>0</v>
      </c>
      <c r="BE131" s="244">
        <f>SUM(BE17:BE25)</f>
        <v>804434</v>
      </c>
      <c r="BF131" s="245">
        <f>SUM(BF17:BF25)</f>
        <v>3688450</v>
      </c>
      <c r="BH131" s="218">
        <f t="shared" ref="BH131:BM131" si="95">BH16</f>
        <v>144996.03815400001</v>
      </c>
      <c r="BI131" s="218">
        <f t="shared" si="95"/>
        <v>431212.28288000001</v>
      </c>
      <c r="BJ131" s="218">
        <f t="shared" si="95"/>
        <v>31416.719999999994</v>
      </c>
      <c r="BK131" s="218">
        <f t="shared" si="95"/>
        <v>0</v>
      </c>
      <c r="BL131" s="218">
        <f t="shared" si="95"/>
        <v>334.26057600000001</v>
      </c>
      <c r="BM131" s="218">
        <f t="shared" si="95"/>
        <v>607959.30160999997</v>
      </c>
      <c r="BN131" s="718">
        <f t="shared" ref="BN131:BN136" si="96">BM131/$BM$136</f>
        <v>0.53217535067776611</v>
      </c>
      <c r="BO131" s="714">
        <f t="shared" ref="BO131:BO136" si="97">BM131*1000/BF131</f>
        <v>164.82785495533355</v>
      </c>
      <c r="BQ131" s="659">
        <f>'[15]NUoS (t)'!BO128</f>
        <v>165.22064248332418</v>
      </c>
      <c r="BR131" s="718">
        <f>BO131/BQ131-1</f>
        <v>-2.3773514137633844E-3</v>
      </c>
      <c r="BT131" s="137"/>
    </row>
    <row r="132" spans="1:72" x14ac:dyDescent="0.25">
      <c r="C132" s="216" t="s">
        <v>151</v>
      </c>
      <c r="D132" s="217"/>
      <c r="E132" s="217"/>
      <c r="G132" s="217"/>
      <c r="H132" s="217"/>
      <c r="I132" s="217"/>
      <c r="J132" s="217"/>
      <c r="K132" s="217"/>
      <c r="L132" s="217"/>
      <c r="M132" s="217"/>
      <c r="N132" s="217"/>
      <c r="O132" s="217"/>
      <c r="P132" s="217"/>
      <c r="Q132" s="217"/>
      <c r="R132" s="217"/>
      <c r="S132" s="217"/>
      <c r="T132" s="217"/>
      <c r="U132" s="217"/>
      <c r="V132" s="217"/>
      <c r="X132" s="218">
        <f t="shared" ref="X132:AM132" si="98">SUM(X28:X41)</f>
        <v>34229335</v>
      </c>
      <c r="Y132" s="218">
        <f t="shared" si="98"/>
        <v>447400</v>
      </c>
      <c r="Z132" s="218">
        <f t="shared" si="98"/>
        <v>200600</v>
      </c>
      <c r="AA132" s="218">
        <f t="shared" si="98"/>
        <v>272300</v>
      </c>
      <c r="AB132" s="218">
        <f t="shared" si="98"/>
        <v>379200</v>
      </c>
      <c r="AC132" s="218">
        <f t="shared" si="98"/>
        <v>6000</v>
      </c>
      <c r="AD132" s="218">
        <f t="shared" si="98"/>
        <v>0</v>
      </c>
      <c r="AE132" s="218">
        <f t="shared" si="98"/>
        <v>0</v>
      </c>
      <c r="AF132" s="218">
        <f t="shared" si="98"/>
        <v>0</v>
      </c>
      <c r="AG132" s="218">
        <f t="shared" si="98"/>
        <v>0</v>
      </c>
      <c r="AH132" s="218">
        <f t="shared" si="98"/>
        <v>1070741</v>
      </c>
      <c r="AI132" s="218">
        <f t="shared" si="98"/>
        <v>2717425</v>
      </c>
      <c r="AJ132" s="218">
        <f t="shared" si="98"/>
        <v>0</v>
      </c>
      <c r="AK132" s="218">
        <f t="shared" si="98"/>
        <v>27963015</v>
      </c>
      <c r="AL132" s="218">
        <f t="shared" si="98"/>
        <v>0</v>
      </c>
      <c r="AM132" s="218">
        <f t="shared" si="98"/>
        <v>0</v>
      </c>
      <c r="AO132" s="218">
        <f t="shared" ref="AO132:BF132" si="99">SUM(AO28:AO41)</f>
        <v>20468.473503999998</v>
      </c>
      <c r="AP132" s="218">
        <f t="shared" si="99"/>
        <v>60583.3</v>
      </c>
      <c r="AQ132" s="218">
        <f t="shared" si="99"/>
        <v>35823.97</v>
      </c>
      <c r="AR132" s="218">
        <f t="shared" si="99"/>
        <v>41415.519999999997</v>
      </c>
      <c r="AS132" s="218">
        <f t="shared" si="99"/>
        <v>31611.119999999995</v>
      </c>
      <c r="AT132" s="218">
        <f t="shared" si="99"/>
        <v>404.99999999999994</v>
      </c>
      <c r="AU132" s="218">
        <f t="shared" si="99"/>
        <v>0</v>
      </c>
      <c r="AV132" s="218">
        <f t="shared" si="99"/>
        <v>0</v>
      </c>
      <c r="AW132" s="218">
        <f t="shared" si="99"/>
        <v>0</v>
      </c>
      <c r="AX132" s="218">
        <f t="shared" si="99"/>
        <v>0</v>
      </c>
      <c r="AY132" s="218">
        <f t="shared" si="99"/>
        <v>424.22758419999997</v>
      </c>
      <c r="AZ132" s="218">
        <f t="shared" si="99"/>
        <v>532.61530000000005</v>
      </c>
      <c r="BA132" s="218">
        <f t="shared" si="99"/>
        <v>0</v>
      </c>
      <c r="BB132" s="218">
        <f t="shared" si="99"/>
        <v>2214.6707880000004</v>
      </c>
      <c r="BC132" s="218">
        <f t="shared" si="99"/>
        <v>0</v>
      </c>
      <c r="BD132" s="218">
        <f t="shared" si="99"/>
        <v>0</v>
      </c>
      <c r="BE132" s="244">
        <f t="shared" si="99"/>
        <v>93779</v>
      </c>
      <c r="BF132" s="245">
        <f t="shared" si="99"/>
        <v>1305500</v>
      </c>
      <c r="BH132" s="218">
        <f t="shared" ref="BH132:BM132" si="100">BH28</f>
        <v>20468.473503999998</v>
      </c>
      <c r="BI132" s="218">
        <f t="shared" si="100"/>
        <v>169433.90999999997</v>
      </c>
      <c r="BJ132" s="218">
        <f t="shared" si="100"/>
        <v>404.99999999999994</v>
      </c>
      <c r="BK132" s="218">
        <f t="shared" si="100"/>
        <v>3171.5136722000007</v>
      </c>
      <c r="BL132" s="218">
        <f t="shared" si="100"/>
        <v>0</v>
      </c>
      <c r="BM132" s="218">
        <f t="shared" si="100"/>
        <v>193478.89717619997</v>
      </c>
      <c r="BN132" s="718">
        <f t="shared" si="96"/>
        <v>0.16936117217192037</v>
      </c>
      <c r="BO132" s="714">
        <f t="shared" si="97"/>
        <v>148.20290859915738</v>
      </c>
      <c r="BQ132" s="659">
        <f>'[15]NUoS (t)'!BO129</f>
        <v>145.95708880962636</v>
      </c>
      <c r="BR132" s="718">
        <f t="shared" ref="BR132:BR139" si="101">BO132/BQ132-1</f>
        <v>1.5386849709370987E-2</v>
      </c>
      <c r="BT132" s="137"/>
    </row>
    <row r="133" spans="1:72" x14ac:dyDescent="0.25">
      <c r="C133" s="216" t="s">
        <v>152</v>
      </c>
      <c r="D133" s="217"/>
      <c r="E133" s="217"/>
      <c r="G133" s="217"/>
      <c r="H133" s="217"/>
      <c r="I133" s="217"/>
      <c r="J133" s="217"/>
      <c r="K133" s="217"/>
      <c r="L133" s="217"/>
      <c r="M133" s="217"/>
      <c r="N133" s="217"/>
      <c r="O133" s="217"/>
      <c r="P133" s="217"/>
      <c r="Q133" s="217"/>
      <c r="R133" s="217"/>
      <c r="S133" s="217"/>
      <c r="T133" s="217"/>
      <c r="U133" s="217"/>
      <c r="V133" s="217"/>
      <c r="X133" s="218">
        <f t="shared" ref="X133:AM133" si="102">SUM(X42:X69)</f>
        <v>1953845</v>
      </c>
      <c r="Y133" s="218">
        <f t="shared" si="102"/>
        <v>10000</v>
      </c>
      <c r="Z133" s="218">
        <f t="shared" si="102"/>
        <v>1383994</v>
      </c>
      <c r="AA133" s="218">
        <f t="shared" si="102"/>
        <v>0</v>
      </c>
      <c r="AB133" s="218">
        <f t="shared" si="102"/>
        <v>1232955</v>
      </c>
      <c r="AC133" s="218">
        <f t="shared" si="102"/>
        <v>0</v>
      </c>
      <c r="AD133" s="218">
        <f t="shared" si="102"/>
        <v>0</v>
      </c>
      <c r="AE133" s="218">
        <f t="shared" si="102"/>
        <v>0</v>
      </c>
      <c r="AF133" s="218">
        <f t="shared" si="102"/>
        <v>0</v>
      </c>
      <c r="AG133" s="218">
        <f t="shared" si="102"/>
        <v>3555144</v>
      </c>
      <c r="AH133" s="218">
        <f t="shared" si="102"/>
        <v>757869</v>
      </c>
      <c r="AI133" s="218">
        <f t="shared" si="102"/>
        <v>1631915</v>
      </c>
      <c r="AJ133" s="218">
        <f t="shared" si="102"/>
        <v>232218475</v>
      </c>
      <c r="AK133" s="218">
        <f t="shared" si="102"/>
        <v>345057495</v>
      </c>
      <c r="AL133" s="218">
        <f t="shared" si="102"/>
        <v>0</v>
      </c>
      <c r="AM133" s="218">
        <f t="shared" si="102"/>
        <v>0</v>
      </c>
      <c r="AO133" s="218">
        <f t="shared" ref="AO133:BF133" si="103">SUM(AO42:AO69)</f>
        <v>14201.704554000002</v>
      </c>
      <c r="AP133" s="218">
        <f t="shared" si="103"/>
        <v>869.99999999999989</v>
      </c>
      <c r="AQ133" s="218">
        <f t="shared" si="103"/>
        <v>93095.686199999996</v>
      </c>
      <c r="AR133" s="218">
        <f t="shared" si="103"/>
        <v>0</v>
      </c>
      <c r="AS133" s="218">
        <f t="shared" si="103"/>
        <v>51758.909999999996</v>
      </c>
      <c r="AT133" s="218">
        <f t="shared" si="103"/>
        <v>0</v>
      </c>
      <c r="AU133" s="218">
        <f t="shared" si="103"/>
        <v>0</v>
      </c>
      <c r="AV133" s="218">
        <f t="shared" si="103"/>
        <v>0</v>
      </c>
      <c r="AW133" s="218">
        <f t="shared" si="103"/>
        <v>0</v>
      </c>
      <c r="AX133" s="218">
        <f t="shared" si="103"/>
        <v>3350.0121911999995</v>
      </c>
      <c r="AY133" s="218">
        <f t="shared" si="103"/>
        <v>300.26769780000001</v>
      </c>
      <c r="AZ133" s="218">
        <f t="shared" si="103"/>
        <v>319.85534000000001</v>
      </c>
      <c r="BA133" s="218">
        <f t="shared" si="103"/>
        <v>60353.581652500019</v>
      </c>
      <c r="BB133" s="218">
        <f t="shared" si="103"/>
        <v>34814.975310000002</v>
      </c>
      <c r="BC133" s="218">
        <f t="shared" si="103"/>
        <v>0</v>
      </c>
      <c r="BD133" s="218">
        <f t="shared" si="103"/>
        <v>0</v>
      </c>
      <c r="BE133" s="244">
        <f t="shared" si="103"/>
        <v>5353</v>
      </c>
      <c r="BF133" s="245">
        <f t="shared" si="103"/>
        <v>2626949</v>
      </c>
      <c r="BH133" s="218">
        <f t="shared" ref="BH133:BM133" si="104">BH42</f>
        <v>14201.704554000002</v>
      </c>
      <c r="BI133" s="218">
        <f t="shared" si="104"/>
        <v>145724.59620000006</v>
      </c>
      <c r="BJ133" s="218">
        <f t="shared" si="104"/>
        <v>0</v>
      </c>
      <c r="BK133" s="218">
        <f t="shared" si="104"/>
        <v>99138.692191499998</v>
      </c>
      <c r="BL133" s="218">
        <f t="shared" si="104"/>
        <v>0</v>
      </c>
      <c r="BM133" s="218">
        <f t="shared" si="104"/>
        <v>259064.99294550007</v>
      </c>
      <c r="BN133" s="718">
        <f t="shared" si="96"/>
        <v>0.22677176433356966</v>
      </c>
      <c r="BO133" s="714">
        <f t="shared" si="97"/>
        <v>98.618204215422566</v>
      </c>
      <c r="BQ133" s="659">
        <f>'[15]NUoS (t)'!BO130</f>
        <v>96.886890350926933</v>
      </c>
      <c r="BR133" s="718">
        <f t="shared" si="101"/>
        <v>1.786943371001759E-2</v>
      </c>
      <c r="BT133" s="137"/>
    </row>
    <row r="134" spans="1:72" x14ac:dyDescent="0.25">
      <c r="C134" s="216" t="s">
        <v>153</v>
      </c>
      <c r="D134" s="217"/>
      <c r="E134" s="217"/>
      <c r="G134" s="217"/>
      <c r="H134" s="217"/>
      <c r="I134" s="217"/>
      <c r="J134" s="217"/>
      <c r="K134" s="217"/>
      <c r="L134" s="217"/>
      <c r="M134" s="217"/>
      <c r="N134" s="217"/>
      <c r="O134" s="217"/>
      <c r="P134" s="217"/>
      <c r="Q134" s="217"/>
      <c r="R134" s="217"/>
      <c r="S134" s="217"/>
      <c r="T134" s="217"/>
      <c r="U134" s="217"/>
      <c r="V134" s="217"/>
      <c r="X134" s="218">
        <f t="shared" ref="X134:AM134" si="105">SUM(X70:X93)</f>
        <v>72635</v>
      </c>
      <c r="Y134" s="218">
        <f t="shared" si="105"/>
        <v>0</v>
      </c>
      <c r="Z134" s="218">
        <f t="shared" si="105"/>
        <v>364504</v>
      </c>
      <c r="AA134" s="218">
        <f t="shared" si="105"/>
        <v>0</v>
      </c>
      <c r="AB134" s="218">
        <f t="shared" si="105"/>
        <v>350404</v>
      </c>
      <c r="AC134" s="218">
        <f t="shared" si="105"/>
        <v>0</v>
      </c>
      <c r="AD134" s="218">
        <f t="shared" si="105"/>
        <v>0</v>
      </c>
      <c r="AE134" s="218">
        <f t="shared" si="105"/>
        <v>0</v>
      </c>
      <c r="AF134" s="218">
        <f t="shared" si="105"/>
        <v>0</v>
      </c>
      <c r="AG134" s="218">
        <f t="shared" si="105"/>
        <v>1488105</v>
      </c>
      <c r="AH134" s="218">
        <f t="shared" si="105"/>
        <v>0</v>
      </c>
      <c r="AI134" s="218">
        <f t="shared" si="105"/>
        <v>0</v>
      </c>
      <c r="AJ134" s="218">
        <f t="shared" si="105"/>
        <v>59423825</v>
      </c>
      <c r="AK134" s="218">
        <f t="shared" si="105"/>
        <v>87282815</v>
      </c>
      <c r="AL134" s="218">
        <f t="shared" si="105"/>
        <v>0</v>
      </c>
      <c r="AM134" s="218">
        <f t="shared" si="105"/>
        <v>0</v>
      </c>
      <c r="AO134" s="218">
        <f t="shared" ref="AO134:BF134" si="106">SUM(AO70:AO93)</f>
        <v>2888.8922545</v>
      </c>
      <c r="AP134" s="218">
        <f t="shared" si="106"/>
        <v>0</v>
      </c>
      <c r="AQ134" s="218">
        <f t="shared" si="106"/>
        <v>15123.436800000001</v>
      </c>
      <c r="AR134" s="218">
        <f t="shared" si="106"/>
        <v>0</v>
      </c>
      <c r="AS134" s="218">
        <f t="shared" si="106"/>
        <v>9081.3743999999988</v>
      </c>
      <c r="AT134" s="218">
        <f t="shared" si="106"/>
        <v>0</v>
      </c>
      <c r="AU134" s="218">
        <f t="shared" si="106"/>
        <v>0</v>
      </c>
      <c r="AV134" s="218">
        <f t="shared" si="106"/>
        <v>0</v>
      </c>
      <c r="AW134" s="218">
        <f t="shared" si="106"/>
        <v>0</v>
      </c>
      <c r="AX134" s="218">
        <f t="shared" si="106"/>
        <v>1185.722064</v>
      </c>
      <c r="AY134" s="218">
        <f t="shared" si="106"/>
        <v>0</v>
      </c>
      <c r="AZ134" s="218">
        <f t="shared" si="106"/>
        <v>0</v>
      </c>
      <c r="BA134" s="218">
        <f t="shared" si="106"/>
        <v>13183.504058</v>
      </c>
      <c r="BB134" s="218">
        <f t="shared" si="106"/>
        <v>8583.5196895000008</v>
      </c>
      <c r="BC134" s="218">
        <f t="shared" si="106"/>
        <v>0</v>
      </c>
      <c r="BD134" s="218">
        <f t="shared" si="106"/>
        <v>0</v>
      </c>
      <c r="BE134" s="244">
        <f t="shared" si="106"/>
        <v>199</v>
      </c>
      <c r="BF134" s="245">
        <f t="shared" si="106"/>
        <v>714908</v>
      </c>
      <c r="BH134" s="218">
        <f t="shared" ref="BH134:BM134" si="107">BH70</f>
        <v>2888.8922545</v>
      </c>
      <c r="BI134" s="218">
        <f t="shared" si="107"/>
        <v>24204.811200000004</v>
      </c>
      <c r="BJ134" s="218">
        <f t="shared" si="107"/>
        <v>0</v>
      </c>
      <c r="BK134" s="218">
        <f t="shared" si="107"/>
        <v>22952.745811499997</v>
      </c>
      <c r="BL134" s="218">
        <f t="shared" si="107"/>
        <v>0</v>
      </c>
      <c r="BM134" s="218">
        <f t="shared" si="107"/>
        <v>50046.449265999996</v>
      </c>
      <c r="BN134" s="718">
        <f t="shared" si="96"/>
        <v>4.3808009216701985E-2</v>
      </c>
      <c r="BO134" s="714">
        <f t="shared" si="97"/>
        <v>70.004041451487453</v>
      </c>
      <c r="BQ134" s="659">
        <f>'[15]NUoS (t)'!BO131</f>
        <v>68.822433284523342</v>
      </c>
      <c r="BR134" s="718">
        <f t="shared" si="101"/>
        <v>1.7168939117266468E-2</v>
      </c>
      <c r="BT134" s="137"/>
    </row>
    <row r="135" spans="1:72" x14ac:dyDescent="0.25">
      <c r="C135" s="216" t="s">
        <v>154</v>
      </c>
      <c r="D135" s="217"/>
      <c r="E135" s="217"/>
      <c r="G135" s="217"/>
      <c r="H135" s="217"/>
      <c r="I135" s="217"/>
      <c r="J135" s="217"/>
      <c r="K135" s="217"/>
      <c r="L135" s="217"/>
      <c r="M135" s="217"/>
      <c r="N135" s="217"/>
      <c r="O135" s="217"/>
      <c r="P135" s="217"/>
      <c r="Q135" s="217"/>
      <c r="R135" s="217"/>
      <c r="S135" s="217"/>
      <c r="T135" s="217"/>
      <c r="U135" s="217"/>
      <c r="V135" s="217"/>
      <c r="X135" s="218">
        <f t="shared" ref="X135:AM135" si="108">SUM(X94:X129)</f>
        <v>10220</v>
      </c>
      <c r="Y135" s="218">
        <f t="shared" si="108"/>
        <v>1181592</v>
      </c>
      <c r="Z135" s="218">
        <f t="shared" si="108"/>
        <v>0</v>
      </c>
      <c r="AA135" s="218">
        <f t="shared" si="108"/>
        <v>0</v>
      </c>
      <c r="AB135" s="218">
        <f t="shared" si="108"/>
        <v>0</v>
      </c>
      <c r="AC135" s="218">
        <f t="shared" si="108"/>
        <v>0</v>
      </c>
      <c r="AD135" s="218">
        <f t="shared" si="108"/>
        <v>0</v>
      </c>
      <c r="AE135" s="218">
        <f t="shared" si="108"/>
        <v>0</v>
      </c>
      <c r="AF135" s="218">
        <f t="shared" si="108"/>
        <v>0</v>
      </c>
      <c r="AG135" s="218">
        <f t="shared" si="108"/>
        <v>0</v>
      </c>
      <c r="AH135" s="218">
        <f t="shared" si="108"/>
        <v>0</v>
      </c>
      <c r="AI135" s="218">
        <f t="shared" si="108"/>
        <v>0</v>
      </c>
      <c r="AJ135" s="218">
        <f t="shared" si="108"/>
        <v>82932745</v>
      </c>
      <c r="AK135" s="218">
        <f t="shared" si="108"/>
        <v>125423125</v>
      </c>
      <c r="AL135" s="218">
        <f t="shared" si="108"/>
        <v>0</v>
      </c>
      <c r="AM135" s="218">
        <f t="shared" si="108"/>
        <v>0</v>
      </c>
      <c r="AO135" s="218">
        <f t="shared" ref="AO135:BF135" si="109">SUM(AO94:AO129)</f>
        <v>7739.4565345000001</v>
      </c>
      <c r="AP135" s="218">
        <f t="shared" si="109"/>
        <v>6142.6620000000003</v>
      </c>
      <c r="AQ135" s="218">
        <f t="shared" si="109"/>
        <v>0</v>
      </c>
      <c r="AR135" s="218">
        <f t="shared" si="109"/>
        <v>0</v>
      </c>
      <c r="AS135" s="218">
        <f t="shared" si="109"/>
        <v>0</v>
      </c>
      <c r="AT135" s="218">
        <f t="shared" si="109"/>
        <v>0</v>
      </c>
      <c r="AU135" s="218">
        <f t="shared" si="109"/>
        <v>0</v>
      </c>
      <c r="AV135" s="218">
        <f t="shared" si="109"/>
        <v>0</v>
      </c>
      <c r="AW135" s="218">
        <f t="shared" si="109"/>
        <v>0</v>
      </c>
      <c r="AX135" s="218">
        <f t="shared" si="109"/>
        <v>0</v>
      </c>
      <c r="AY135" s="218">
        <f t="shared" si="109"/>
        <v>0</v>
      </c>
      <c r="AZ135" s="218">
        <f t="shared" si="109"/>
        <v>0</v>
      </c>
      <c r="BA135" s="218">
        <f t="shared" si="109"/>
        <v>11367.122985499998</v>
      </c>
      <c r="BB135" s="218">
        <f t="shared" si="109"/>
        <v>6605.2157474999985</v>
      </c>
      <c r="BC135" s="218">
        <f t="shared" si="109"/>
        <v>0</v>
      </c>
      <c r="BD135" s="218">
        <f t="shared" si="109"/>
        <v>0</v>
      </c>
      <c r="BE135" s="244">
        <f t="shared" si="109"/>
        <v>28</v>
      </c>
      <c r="BF135" s="245">
        <f t="shared" si="109"/>
        <v>1181592</v>
      </c>
      <c r="BH135" s="218">
        <f t="shared" ref="BH135:BM135" si="110">BH94</f>
        <v>7739.4565345000001</v>
      </c>
      <c r="BI135" s="218">
        <f t="shared" si="110"/>
        <v>6142.6620000000003</v>
      </c>
      <c r="BJ135" s="218">
        <f t="shared" si="110"/>
        <v>0</v>
      </c>
      <c r="BK135" s="218">
        <f t="shared" si="110"/>
        <v>17972.338733000001</v>
      </c>
      <c r="BL135" s="218">
        <f t="shared" si="110"/>
        <v>0</v>
      </c>
      <c r="BM135" s="218">
        <f t="shared" si="110"/>
        <v>31854.457267500002</v>
      </c>
      <c r="BN135" s="718">
        <f t="shared" si="96"/>
        <v>2.7883703600041922E-2</v>
      </c>
      <c r="BO135" s="714">
        <f t="shared" si="97"/>
        <v>26.958931058690311</v>
      </c>
      <c r="BQ135" s="659">
        <f>'[15]NUoS (t)'!BO132</f>
        <v>27.29611279459639</v>
      </c>
      <c r="BR135" s="718">
        <f t="shared" si="101"/>
        <v>-1.2352738224793214E-2</v>
      </c>
      <c r="BT135" s="137"/>
    </row>
    <row r="136" spans="1:72" s="126" customFormat="1" ht="15.75" thickBot="1" x14ac:dyDescent="0.3">
      <c r="C136" s="219" t="s">
        <v>155</v>
      </c>
      <c r="D136" s="220"/>
      <c r="E136" s="220"/>
      <c r="G136" s="220"/>
      <c r="H136" s="220"/>
      <c r="I136" s="220"/>
      <c r="J136" s="220"/>
      <c r="K136" s="220"/>
      <c r="L136" s="220"/>
      <c r="M136" s="220"/>
      <c r="N136" s="220"/>
      <c r="O136" s="220"/>
      <c r="P136" s="220"/>
      <c r="Q136" s="220"/>
      <c r="R136" s="220"/>
      <c r="S136" s="220"/>
      <c r="T136" s="220"/>
      <c r="U136" s="220"/>
      <c r="V136" s="220"/>
      <c r="X136" s="221">
        <f t="shared" ref="X136:AL136" si="111">SUM(X131:X135)</f>
        <v>329884445</v>
      </c>
      <c r="Y136" s="221">
        <f t="shared" si="111"/>
        <v>4039092</v>
      </c>
      <c r="Z136" s="221">
        <f t="shared" si="111"/>
        <v>2519148</v>
      </c>
      <c r="AA136" s="221">
        <f t="shared" si="111"/>
        <v>386650</v>
      </c>
      <c r="AB136" s="221">
        <f t="shared" si="111"/>
        <v>2089509</v>
      </c>
      <c r="AC136" s="221">
        <f t="shared" si="111"/>
        <v>367300</v>
      </c>
      <c r="AD136" s="221">
        <f t="shared" si="111"/>
        <v>0</v>
      </c>
      <c r="AE136" s="221">
        <f t="shared" si="111"/>
        <v>92600</v>
      </c>
      <c r="AF136" s="221">
        <f t="shared" si="111"/>
        <v>23100</v>
      </c>
      <c r="AG136" s="221">
        <f t="shared" si="111"/>
        <v>5043249</v>
      </c>
      <c r="AH136" s="221">
        <f t="shared" si="111"/>
        <v>1828610</v>
      </c>
      <c r="AI136" s="221">
        <f t="shared" si="111"/>
        <v>4349340</v>
      </c>
      <c r="AJ136" s="221">
        <f t="shared" si="111"/>
        <v>374575045</v>
      </c>
      <c r="AK136" s="221">
        <f t="shared" si="111"/>
        <v>585726450</v>
      </c>
      <c r="AL136" s="221">
        <f t="shared" si="111"/>
        <v>446395</v>
      </c>
      <c r="AM136" s="221">
        <f>SUM(AM131:AM135)</f>
        <v>0</v>
      </c>
      <c r="AO136" s="221">
        <f>SUM(AO131:AO135)</f>
        <v>190111.126659</v>
      </c>
      <c r="AP136" s="221">
        <f t="shared" ref="AP136:BD136" si="112">SUM(AP131:AP135)</f>
        <v>390649.42200000002</v>
      </c>
      <c r="AQ136" s="221">
        <f t="shared" si="112"/>
        <v>240066.098</v>
      </c>
      <c r="AR136" s="221">
        <f t="shared" si="112"/>
        <v>49121.95</v>
      </c>
      <c r="AS136" s="221">
        <f t="shared" si="112"/>
        <v>96726.219400000002</v>
      </c>
      <c r="AT136" s="221">
        <f t="shared" si="112"/>
        <v>24792.749999999996</v>
      </c>
      <c r="AU136" s="221">
        <f t="shared" si="112"/>
        <v>0</v>
      </c>
      <c r="AV136" s="221">
        <f t="shared" si="112"/>
        <v>6250.4999999999991</v>
      </c>
      <c r="AW136" s="221">
        <f t="shared" si="112"/>
        <v>778.46999999999991</v>
      </c>
      <c r="AX136" s="221">
        <f t="shared" si="112"/>
        <v>4535.7342551999991</v>
      </c>
      <c r="AY136" s="221">
        <f t="shared" si="112"/>
        <v>724.49528199999997</v>
      </c>
      <c r="AZ136" s="221">
        <f t="shared" si="112"/>
        <v>852.47064</v>
      </c>
      <c r="BA136" s="221">
        <f t="shared" si="112"/>
        <v>84904.208696000016</v>
      </c>
      <c r="BB136" s="221">
        <f t="shared" si="112"/>
        <v>52218.381535000008</v>
      </c>
      <c r="BC136" s="221">
        <f t="shared" si="112"/>
        <v>334.26057600000001</v>
      </c>
      <c r="BD136" s="221">
        <f t="shared" si="112"/>
        <v>0</v>
      </c>
      <c r="BE136" s="238">
        <f>SUM(BE131:BE135)</f>
        <v>903793</v>
      </c>
      <c r="BF136" s="239">
        <f>SUM(BF131:BF135)</f>
        <v>9517399</v>
      </c>
      <c r="BH136" s="221">
        <f t="shared" ref="BH136:BM136" si="113">SUM(BH131:BH135)</f>
        <v>190294.56500100001</v>
      </c>
      <c r="BI136" s="221">
        <f t="shared" si="113"/>
        <v>776718.26228000002</v>
      </c>
      <c r="BJ136" s="221">
        <f t="shared" si="113"/>
        <v>31821.719999999994</v>
      </c>
      <c r="BK136" s="221">
        <f t="shared" si="113"/>
        <v>143235.2904082</v>
      </c>
      <c r="BL136" s="221">
        <f t="shared" si="113"/>
        <v>334.26057600000001</v>
      </c>
      <c r="BM136" s="221">
        <f t="shared" si="113"/>
        <v>1142404.0982651999</v>
      </c>
      <c r="BN136" s="718">
        <f t="shared" si="96"/>
        <v>1</v>
      </c>
      <c r="BO136" s="715">
        <f t="shared" si="97"/>
        <v>120.0332252819494</v>
      </c>
      <c r="BQ136" s="867">
        <f>'[15]NUoS (t)'!BO133</f>
        <v>118.76348449948003</v>
      </c>
      <c r="BR136" s="868">
        <f t="shared" si="101"/>
        <v>1.0691339916646836E-2</v>
      </c>
      <c r="BS136" s="128"/>
      <c r="BT136" s="137"/>
    </row>
    <row r="137" spans="1:72" x14ac:dyDescent="0.25">
      <c r="C137" s="215"/>
      <c r="D137" s="215"/>
      <c r="K137" s="136"/>
      <c r="L137" s="136"/>
      <c r="M137" s="136"/>
      <c r="N137" s="136"/>
      <c r="O137" s="136"/>
      <c r="P137" s="136"/>
      <c r="Q137" s="136"/>
      <c r="R137" s="136"/>
      <c r="S137" s="136"/>
      <c r="T137" s="136"/>
      <c r="U137" s="136"/>
      <c r="V137" s="136"/>
      <c r="AB137" s="136"/>
      <c r="AC137" s="136"/>
      <c r="AD137" s="136"/>
      <c r="AE137" s="136"/>
      <c r="AF137" s="136"/>
      <c r="AG137" s="136"/>
      <c r="AH137" s="136"/>
      <c r="AI137" s="136"/>
      <c r="AJ137" s="136"/>
      <c r="AK137" s="136"/>
      <c r="AL137" s="136"/>
      <c r="AM137" s="136"/>
      <c r="AS137" s="136"/>
      <c r="AT137" s="136"/>
      <c r="AU137" s="136"/>
      <c r="AV137" s="136"/>
      <c r="AW137" s="136"/>
      <c r="AX137" s="136"/>
      <c r="AY137" s="136"/>
      <c r="AZ137" s="136"/>
      <c r="BA137" s="136"/>
      <c r="BB137" s="136"/>
      <c r="BC137" s="136"/>
      <c r="BD137" s="136"/>
      <c r="BE137" s="250"/>
      <c r="BF137" s="250"/>
      <c r="BN137" s="718"/>
      <c r="BO137" s="713"/>
      <c r="BQ137" s="659"/>
      <c r="BR137" s="718"/>
    </row>
    <row r="138" spans="1:72" x14ac:dyDescent="0.25">
      <c r="C138" s="216" t="s">
        <v>597</v>
      </c>
      <c r="D138" s="217"/>
      <c r="J138" s="136"/>
      <c r="K138" s="136"/>
      <c r="L138" s="136"/>
      <c r="M138" s="136"/>
      <c r="N138" s="136"/>
      <c r="O138" s="136"/>
      <c r="P138" s="136"/>
      <c r="Q138" s="136"/>
      <c r="R138" s="136"/>
      <c r="S138" s="136"/>
      <c r="T138" s="136"/>
      <c r="U138" s="136"/>
      <c r="AB138" s="136"/>
      <c r="AC138" s="136"/>
      <c r="AD138" s="136"/>
      <c r="AE138" s="136"/>
      <c r="AF138" s="136"/>
      <c r="AG138" s="136"/>
      <c r="AH138" s="136"/>
      <c r="AI138" s="136"/>
      <c r="AJ138" s="136"/>
      <c r="AK138" s="136"/>
      <c r="AL138" s="136"/>
      <c r="AS138" s="136"/>
      <c r="AT138" s="136"/>
      <c r="AU138" s="136"/>
      <c r="AV138" s="136"/>
      <c r="AW138" s="136"/>
      <c r="AX138" s="136"/>
      <c r="AY138" s="136"/>
      <c r="AZ138" s="136"/>
      <c r="BA138" s="136"/>
      <c r="BB138" s="136"/>
      <c r="BC138" s="136"/>
      <c r="BD138" s="136"/>
      <c r="BE138" s="250"/>
      <c r="BF138" s="245">
        <f>BF131-BF139</f>
        <v>3211450</v>
      </c>
      <c r="BH138" s="218">
        <f>BH131</f>
        <v>144996.03815400001</v>
      </c>
      <c r="BI138" s="218">
        <f>BI131</f>
        <v>431212.28288000001</v>
      </c>
      <c r="BJ138" s="218"/>
      <c r="BK138" s="218">
        <f>BK131</f>
        <v>0</v>
      </c>
      <c r="BL138" s="218">
        <f>BL131</f>
        <v>334.26057600000001</v>
      </c>
      <c r="BM138" s="218">
        <f>SUM(BH138:BL138)</f>
        <v>576542.58160999999</v>
      </c>
      <c r="BN138" s="718">
        <f>BM138/$BM$136</f>
        <v>0.50467481908154033</v>
      </c>
      <c r="BO138" s="714">
        <f>BM138*1000/BF138</f>
        <v>179.52718604057358</v>
      </c>
      <c r="BQ138" s="659">
        <f>'[15]NUoS (t)'!BO135</f>
        <v>179.6779605283966</v>
      </c>
      <c r="BR138" s="718">
        <f t="shared" si="101"/>
        <v>-8.3913735095619835E-4</v>
      </c>
    </row>
    <row r="139" spans="1:72" x14ac:dyDescent="0.25">
      <c r="C139" s="216" t="s">
        <v>596</v>
      </c>
      <c r="D139" s="217"/>
      <c r="J139" s="136"/>
      <c r="K139" s="136"/>
      <c r="L139" s="136"/>
      <c r="M139" s="136"/>
      <c r="N139" s="136"/>
      <c r="O139" s="136"/>
      <c r="P139" s="136"/>
      <c r="Q139" s="136"/>
      <c r="R139" s="136"/>
      <c r="S139" s="136"/>
      <c r="T139" s="136"/>
      <c r="U139" s="136"/>
      <c r="AB139" s="136"/>
      <c r="AC139" s="136"/>
      <c r="AD139" s="136"/>
      <c r="AE139" s="136"/>
      <c r="AF139" s="136"/>
      <c r="AG139" s="136"/>
      <c r="AH139" s="136"/>
      <c r="AI139" s="136"/>
      <c r="AJ139" s="136"/>
      <c r="AK139" s="136"/>
      <c r="AL139" s="136"/>
      <c r="AS139" s="136"/>
      <c r="AT139" s="136"/>
      <c r="AU139" s="136"/>
      <c r="AV139" s="136"/>
      <c r="AW139" s="136"/>
      <c r="AX139" s="136"/>
      <c r="AY139" s="136"/>
      <c r="AZ139" s="136"/>
      <c r="BA139" s="136"/>
      <c r="BB139" s="136"/>
      <c r="BC139" s="136"/>
      <c r="BD139" s="136"/>
      <c r="BE139" s="250"/>
      <c r="BF139" s="245">
        <f>SUM(AC16:AF25)</f>
        <v>477000</v>
      </c>
      <c r="BH139" s="218"/>
      <c r="BI139" s="218"/>
      <c r="BJ139" s="218">
        <f>BJ131</f>
        <v>31416.719999999994</v>
      </c>
      <c r="BK139" s="218"/>
      <c r="BL139" s="218"/>
      <c r="BM139" s="218">
        <f>SUM(BH139:BL139)</f>
        <v>31416.719999999994</v>
      </c>
      <c r="BN139" s="718">
        <f>BM139/$BM$136</f>
        <v>2.7500531596225817E-2</v>
      </c>
      <c r="BO139" s="714">
        <f>BM139*1000/BF139</f>
        <v>65.863144654088032</v>
      </c>
      <c r="BQ139" s="659">
        <f>'[15]NUoS (t)'!BO136</f>
        <v>67.395859872611467</v>
      </c>
      <c r="BR139" s="718">
        <f t="shared" si="101"/>
        <v>-2.2741978831051335E-2</v>
      </c>
    </row>
    <row r="140" spans="1:72" x14ac:dyDescent="0.25">
      <c r="J140" s="136"/>
      <c r="K140" s="136"/>
      <c r="L140" s="136"/>
      <c r="M140" s="136"/>
      <c r="N140" s="136"/>
      <c r="O140" s="136"/>
      <c r="P140" s="136"/>
      <c r="Q140" s="136"/>
      <c r="R140" s="136"/>
      <c r="S140" s="136"/>
      <c r="T140" s="136"/>
      <c r="U140" s="136"/>
      <c r="AB140" s="136"/>
      <c r="AC140" s="136"/>
      <c r="AD140" s="136"/>
      <c r="AE140" s="136"/>
      <c r="AF140" s="136"/>
      <c r="AG140" s="136"/>
      <c r="AH140" s="136"/>
      <c r="AI140" s="136"/>
      <c r="AJ140" s="136"/>
      <c r="AK140" s="136"/>
      <c r="AL140" s="136"/>
      <c r="AS140" s="136"/>
      <c r="AT140" s="136"/>
      <c r="AU140" s="136"/>
      <c r="AV140" s="136"/>
      <c r="AW140" s="136"/>
      <c r="AX140" s="136"/>
      <c r="AY140" s="136"/>
      <c r="AZ140" s="136"/>
      <c r="BA140" s="136"/>
      <c r="BB140" s="136"/>
      <c r="BC140" s="136"/>
      <c r="BD140" s="136"/>
      <c r="BE140" s="250"/>
      <c r="BF140" s="716"/>
      <c r="BH140" s="218"/>
      <c r="BI140" s="218"/>
      <c r="BJ140" s="218"/>
      <c r="BK140" s="218"/>
      <c r="BL140" s="218"/>
      <c r="BM140" s="218"/>
      <c r="BN140" s="718"/>
      <c r="BO140" s="714"/>
      <c r="BQ140" s="659"/>
    </row>
    <row r="141" spans="1:72" x14ac:dyDescent="0.25">
      <c r="J141" s="136"/>
      <c r="K141" s="136"/>
      <c r="L141" s="136"/>
      <c r="M141" s="136"/>
      <c r="N141" s="136"/>
      <c r="O141" s="136"/>
      <c r="P141" s="136"/>
      <c r="Q141" s="136"/>
      <c r="R141" s="136"/>
      <c r="S141" s="136"/>
      <c r="T141" s="136"/>
      <c r="U141" s="136"/>
      <c r="AB141" s="136"/>
      <c r="AC141" s="136"/>
      <c r="AD141" s="136"/>
      <c r="AE141" s="136"/>
      <c r="AF141" s="136"/>
      <c r="AG141" s="136"/>
      <c r="AH141" s="136"/>
      <c r="AI141" s="136"/>
      <c r="AJ141" s="136"/>
      <c r="AK141" s="136"/>
      <c r="AL141" s="136"/>
      <c r="AS141" s="136"/>
      <c r="AT141" s="136"/>
      <c r="AU141" s="136"/>
      <c r="AV141" s="136"/>
      <c r="AW141" s="136"/>
      <c r="AX141" s="136"/>
      <c r="AY141" s="136"/>
      <c r="AZ141" s="136"/>
      <c r="BA141" s="136"/>
      <c r="BB141" s="136"/>
      <c r="BC141" s="136"/>
      <c r="BD141" s="136"/>
      <c r="BE141" s="250"/>
      <c r="BQ141" s="659"/>
    </row>
    <row r="142" spans="1:72" x14ac:dyDescent="0.25">
      <c r="E142" s="222" t="s">
        <v>197</v>
      </c>
      <c r="F142" s="222"/>
      <c r="G142" s="223" t="s">
        <v>156</v>
      </c>
      <c r="H142" s="223" t="s">
        <v>157</v>
      </c>
      <c r="I142" s="223" t="s">
        <v>155</v>
      </c>
      <c r="J142" s="136"/>
      <c r="K142" s="136"/>
      <c r="L142" s="136"/>
      <c r="M142" s="136"/>
      <c r="N142" s="136"/>
      <c r="O142" s="136"/>
      <c r="P142" s="136"/>
      <c r="Q142" s="136"/>
      <c r="R142" s="136"/>
      <c r="S142" s="136"/>
      <c r="T142" s="136"/>
      <c r="U142" s="136"/>
      <c r="AB142" s="136"/>
      <c r="AC142" s="136"/>
      <c r="AD142" s="136"/>
      <c r="AE142" s="136"/>
      <c r="AF142" s="136"/>
      <c r="AG142" s="136"/>
      <c r="AH142" s="136"/>
      <c r="AI142" s="136"/>
      <c r="AJ142" s="136"/>
      <c r="AK142" s="136"/>
      <c r="AL142" s="136"/>
      <c r="AS142" s="136"/>
      <c r="AT142" s="136"/>
      <c r="AU142" s="136"/>
      <c r="AV142" s="136"/>
      <c r="AW142" s="136"/>
      <c r="AX142" s="136"/>
      <c r="AY142" s="136"/>
      <c r="AZ142" s="136"/>
      <c r="BA142" s="136"/>
      <c r="BB142" s="136"/>
      <c r="BC142" s="136"/>
      <c r="BD142" s="136"/>
      <c r="BE142" s="250"/>
      <c r="BQ142" s="659"/>
    </row>
    <row r="143" spans="1:72" x14ac:dyDescent="0.25">
      <c r="E143" s="224"/>
      <c r="F143" s="224"/>
      <c r="G143" s="224"/>
      <c r="H143" s="224"/>
      <c r="I143" s="224"/>
      <c r="J143" s="136"/>
      <c r="K143" s="136"/>
      <c r="L143" s="136"/>
      <c r="M143" s="136"/>
      <c r="N143" s="136"/>
      <c r="O143" s="136"/>
      <c r="P143" s="136"/>
      <c r="Q143" s="136"/>
      <c r="R143" s="136"/>
      <c r="S143" s="136"/>
      <c r="T143" s="136"/>
      <c r="U143" s="136"/>
      <c r="AB143" s="136"/>
      <c r="AC143" s="136"/>
      <c r="AD143" s="136"/>
      <c r="AE143" s="136"/>
      <c r="AF143" s="136"/>
      <c r="AG143" s="136"/>
      <c r="AH143" s="136"/>
      <c r="AI143" s="136"/>
      <c r="AJ143" s="136"/>
      <c r="AK143" s="136"/>
      <c r="AL143" s="136"/>
      <c r="AS143" s="136"/>
      <c r="AT143" s="136"/>
      <c r="AU143" s="136"/>
      <c r="AV143" s="136"/>
      <c r="AW143" s="136"/>
      <c r="AX143" s="136"/>
      <c r="AY143" s="136"/>
      <c r="AZ143" s="136"/>
      <c r="BA143" s="136"/>
      <c r="BB143" s="136"/>
      <c r="BC143" s="136"/>
      <c r="BD143" s="136"/>
      <c r="BE143" s="250"/>
    </row>
    <row r="144" spans="1:72" x14ac:dyDescent="0.25">
      <c r="E144" s="224" t="s">
        <v>45</v>
      </c>
      <c r="F144" s="224"/>
      <c r="G144" s="225">
        <f>SUM(AO18:AO19,AX18:BD19)</f>
        <v>114405.03936</v>
      </c>
      <c r="H144" s="225">
        <f>SUM(AP18:AS19)</f>
        <v>323053.46000000002</v>
      </c>
      <c r="I144" s="225">
        <f>SUM(G144:H144)</f>
        <v>437458.49936000002</v>
      </c>
      <c r="J144" s="136"/>
      <c r="K144" s="136"/>
      <c r="L144" s="136"/>
      <c r="M144" s="136"/>
      <c r="N144" s="136"/>
      <c r="O144" s="136"/>
      <c r="P144" s="136"/>
      <c r="Q144" s="136"/>
      <c r="R144" s="136"/>
      <c r="S144" s="136"/>
      <c r="T144" s="136"/>
      <c r="U144" s="136"/>
      <c r="AB144" s="136"/>
      <c r="AC144" s="136"/>
      <c r="AD144" s="136"/>
      <c r="AE144" s="136"/>
      <c r="AF144" s="136"/>
      <c r="AG144" s="136"/>
      <c r="AH144" s="136"/>
      <c r="AI144" s="136"/>
      <c r="AJ144" s="136"/>
      <c r="AK144" s="136"/>
      <c r="AL144" s="136"/>
      <c r="AS144" s="136"/>
      <c r="AT144" s="136"/>
      <c r="AU144" s="136"/>
      <c r="AV144" s="136"/>
      <c r="AW144" s="136"/>
      <c r="AX144" s="136"/>
      <c r="AY144" s="136"/>
      <c r="AZ144" s="136"/>
      <c r="BA144" s="136"/>
      <c r="BB144" s="136"/>
      <c r="BC144" s="136"/>
      <c r="BD144" s="136"/>
      <c r="BE144" s="250"/>
    </row>
    <row r="145" spans="5:57" x14ac:dyDescent="0.25">
      <c r="E145" s="224" t="s">
        <v>158</v>
      </c>
      <c r="F145" s="224"/>
      <c r="G145" s="225">
        <f>SUM(AO22:AO23,AX22:BD23)</f>
        <v>30224.12211</v>
      </c>
      <c r="H145" s="225">
        <f>SUM(AP22:AS23)</f>
        <v>107935.64</v>
      </c>
      <c r="I145" s="225">
        <f t="shared" ref="I145:I164" si="114">SUM(G145:H145)</f>
        <v>138159.76211000001</v>
      </c>
      <c r="J145" s="136"/>
      <c r="K145" s="136"/>
      <c r="L145" s="136"/>
      <c r="M145" s="136"/>
      <c r="N145" s="136"/>
      <c r="O145" s="136"/>
      <c r="P145" s="136"/>
      <c r="Q145" s="136"/>
      <c r="R145" s="136"/>
      <c r="S145" s="136"/>
      <c r="T145" s="136"/>
      <c r="U145" s="136"/>
      <c r="AB145" s="136"/>
      <c r="AC145" s="136"/>
      <c r="AD145" s="136"/>
      <c r="AE145" s="136"/>
      <c r="AF145" s="136"/>
      <c r="AG145" s="136"/>
      <c r="AH145" s="136"/>
      <c r="AI145" s="136"/>
      <c r="AJ145" s="136"/>
      <c r="AK145" s="136"/>
      <c r="AL145" s="136"/>
      <c r="AS145" s="136"/>
      <c r="AT145" s="136"/>
      <c r="AU145" s="136"/>
      <c r="AV145" s="136"/>
      <c r="AW145" s="136"/>
      <c r="AX145" s="136"/>
      <c r="AY145" s="136"/>
      <c r="AZ145" s="136"/>
      <c r="BA145" s="136"/>
      <c r="BB145" s="136"/>
      <c r="BC145" s="136"/>
      <c r="BD145" s="136"/>
      <c r="BE145" s="250"/>
    </row>
    <row r="146" spans="5:57" x14ac:dyDescent="0.25">
      <c r="E146" s="224" t="s">
        <v>54</v>
      </c>
      <c r="F146" s="224"/>
      <c r="G146" s="225">
        <f>SUM(AO24:AO25,AX24:BD25)</f>
        <v>517.69891800000005</v>
      </c>
      <c r="H146" s="225">
        <f>SUM(AP24:AS25)</f>
        <v>68.61</v>
      </c>
      <c r="I146" s="225">
        <f t="shared" si="114"/>
        <v>586.30891800000006</v>
      </c>
      <c r="J146" s="136"/>
      <c r="K146" s="136"/>
      <c r="L146" s="136"/>
      <c r="M146" s="136"/>
      <c r="N146" s="136"/>
      <c r="O146" s="136"/>
      <c r="P146" s="136"/>
      <c r="Q146" s="136"/>
      <c r="R146" s="136"/>
      <c r="S146" s="136"/>
      <c r="T146" s="136"/>
      <c r="U146" s="136"/>
      <c r="AB146" s="136"/>
      <c r="AC146" s="136"/>
      <c r="AD146" s="136"/>
      <c r="AE146" s="136"/>
      <c r="AF146" s="136"/>
      <c r="AG146" s="136"/>
      <c r="AH146" s="136"/>
      <c r="AI146" s="136"/>
      <c r="AJ146" s="136"/>
      <c r="AK146" s="136"/>
      <c r="AL146" s="136"/>
      <c r="AS146" s="136"/>
      <c r="AT146" s="136"/>
      <c r="AU146" s="136"/>
      <c r="AV146" s="136"/>
      <c r="AW146" s="136"/>
      <c r="AX146" s="136"/>
      <c r="AY146" s="136"/>
      <c r="AZ146" s="136"/>
      <c r="BA146" s="136"/>
      <c r="BB146" s="136"/>
      <c r="BC146" s="136"/>
      <c r="BD146" s="136"/>
      <c r="BE146" s="250"/>
    </row>
    <row r="147" spans="5:57" x14ac:dyDescent="0.25">
      <c r="E147" s="224" t="s">
        <v>704</v>
      </c>
      <c r="F147" s="224"/>
      <c r="G147" s="225">
        <f>SUM(AO26:AO27,AX26:BD27)</f>
        <v>183.43834199999998</v>
      </c>
      <c r="H147" s="225">
        <f>SUM(AP26:AS27)</f>
        <v>154.57288</v>
      </c>
      <c r="I147" s="225">
        <f>SUM(G147:H147)</f>
        <v>338.01122199999998</v>
      </c>
      <c r="J147" s="136"/>
      <c r="K147" s="136"/>
      <c r="L147" s="136"/>
      <c r="M147" s="136"/>
      <c r="N147" s="136"/>
      <c r="O147" s="136"/>
      <c r="P147" s="136"/>
      <c r="Q147" s="136"/>
      <c r="R147" s="136"/>
      <c r="S147" s="136"/>
      <c r="T147" s="136"/>
      <c r="U147" s="136"/>
      <c r="AB147" s="136"/>
      <c r="AC147" s="136"/>
      <c r="AD147" s="136"/>
      <c r="AE147" s="136"/>
      <c r="AF147" s="136"/>
      <c r="AG147" s="136"/>
      <c r="AH147" s="136"/>
      <c r="AI147" s="136"/>
      <c r="AJ147" s="136"/>
      <c r="AK147" s="136"/>
      <c r="AL147" s="136"/>
      <c r="AS147" s="136"/>
      <c r="AT147" s="136"/>
      <c r="AU147" s="136"/>
      <c r="AV147" s="136"/>
      <c r="AW147" s="136"/>
      <c r="AX147" s="136"/>
      <c r="AY147" s="136"/>
      <c r="AZ147" s="136"/>
      <c r="BA147" s="136"/>
      <c r="BB147" s="136"/>
      <c r="BC147" s="136"/>
      <c r="BD147" s="136"/>
      <c r="BE147" s="250"/>
    </row>
    <row r="148" spans="5:57" x14ac:dyDescent="0.25">
      <c r="E148" s="224" t="s">
        <v>159</v>
      </c>
      <c r="F148" s="224"/>
      <c r="G148" s="225"/>
      <c r="H148" s="225">
        <f>SUM(AT16:AW129)-H149</f>
        <v>24792.75</v>
      </c>
      <c r="I148" s="225">
        <f t="shared" si="114"/>
        <v>24792.75</v>
      </c>
      <c r="J148" s="136"/>
      <c r="K148" s="136"/>
      <c r="L148" s="136"/>
      <c r="M148" s="136"/>
      <c r="N148" s="136"/>
      <c r="O148" s="136"/>
      <c r="P148" s="136"/>
      <c r="Q148" s="136"/>
      <c r="R148" s="136"/>
      <c r="S148" s="136"/>
      <c r="T148" s="136"/>
      <c r="U148" s="136"/>
      <c r="AB148" s="136"/>
      <c r="AC148" s="136"/>
      <c r="AD148" s="136"/>
      <c r="AE148" s="136"/>
      <c r="AF148" s="136"/>
      <c r="AG148" s="136"/>
      <c r="AH148" s="136"/>
      <c r="AI148" s="136"/>
      <c r="AJ148" s="136"/>
      <c r="AK148" s="136"/>
      <c r="AL148" s="136"/>
      <c r="AS148" s="136"/>
      <c r="AT148" s="136"/>
      <c r="AU148" s="136"/>
      <c r="AV148" s="136"/>
      <c r="AW148" s="136"/>
      <c r="AX148" s="136"/>
      <c r="AY148" s="136"/>
      <c r="AZ148" s="136"/>
      <c r="BA148" s="136"/>
      <c r="BB148" s="136"/>
      <c r="BC148" s="136"/>
      <c r="BD148" s="136"/>
      <c r="BE148" s="250"/>
    </row>
    <row r="149" spans="5:57" x14ac:dyDescent="0.25">
      <c r="E149" s="224" t="s">
        <v>160</v>
      </c>
      <c r="F149" s="224"/>
      <c r="G149" s="225"/>
      <c r="H149" s="225">
        <f>SUM(AT22:AW25,AT39:AW40,AT49:AW53)</f>
        <v>7028.9699999999993</v>
      </c>
      <c r="I149" s="225">
        <f t="shared" si="114"/>
        <v>7028.9699999999993</v>
      </c>
      <c r="J149" s="136"/>
      <c r="K149" s="136"/>
      <c r="L149" s="136"/>
      <c r="M149" s="136"/>
      <c r="N149" s="136"/>
      <c r="O149" s="136"/>
      <c r="P149" s="136"/>
      <c r="Q149" s="136"/>
      <c r="R149" s="136"/>
      <c r="S149" s="136"/>
      <c r="T149" s="136"/>
      <c r="U149" s="136"/>
      <c r="AB149" s="136"/>
      <c r="AC149" s="136"/>
      <c r="AD149" s="136"/>
      <c r="AE149" s="136"/>
      <c r="AF149" s="136"/>
      <c r="AG149" s="136"/>
      <c r="AH149" s="136"/>
      <c r="AI149" s="136"/>
      <c r="AJ149" s="136"/>
      <c r="AK149" s="136"/>
      <c r="AL149" s="136"/>
      <c r="AS149" s="136"/>
      <c r="AT149" s="136"/>
      <c r="AU149" s="136"/>
      <c r="AV149" s="136"/>
      <c r="AW149" s="136"/>
      <c r="AX149" s="136"/>
      <c r="AY149" s="136"/>
      <c r="AZ149" s="136"/>
      <c r="BA149" s="136"/>
      <c r="BB149" s="136"/>
      <c r="BC149" s="136"/>
      <c r="BD149" s="136"/>
      <c r="BE149" s="250"/>
    </row>
    <row r="150" spans="5:57" x14ac:dyDescent="0.25">
      <c r="E150" s="224" t="s">
        <v>161</v>
      </c>
      <c r="F150" s="224"/>
      <c r="G150" s="225">
        <f>SUM(AO30:AO31,AX30:BD31)</f>
        <v>0</v>
      </c>
      <c r="H150" s="225">
        <f>SUM(AP30:AS31)</f>
        <v>10692</v>
      </c>
      <c r="I150" s="225">
        <f t="shared" si="114"/>
        <v>10692</v>
      </c>
      <c r="J150" s="136"/>
      <c r="K150" s="136"/>
      <c r="L150" s="136"/>
      <c r="M150" s="136"/>
      <c r="N150" s="136"/>
      <c r="O150" s="136"/>
      <c r="P150" s="136"/>
      <c r="Q150" s="136"/>
      <c r="R150" s="136"/>
      <c r="S150" s="136"/>
      <c r="T150" s="136"/>
      <c r="U150" s="136"/>
      <c r="AB150" s="136"/>
      <c r="AC150" s="136"/>
      <c r="AD150" s="136"/>
      <c r="AE150" s="136"/>
      <c r="AF150" s="136"/>
      <c r="AG150" s="136"/>
      <c r="AH150" s="136"/>
      <c r="AI150" s="136"/>
      <c r="AJ150" s="136"/>
      <c r="AK150" s="136"/>
      <c r="AL150" s="136"/>
      <c r="AS150" s="136"/>
      <c r="AT150" s="136"/>
      <c r="AU150" s="136"/>
      <c r="AV150" s="136"/>
      <c r="AW150" s="136"/>
      <c r="AX150" s="136"/>
      <c r="AY150" s="136"/>
      <c r="AZ150" s="136"/>
      <c r="BA150" s="136"/>
      <c r="BB150" s="136"/>
      <c r="BC150" s="136"/>
      <c r="BD150" s="136"/>
      <c r="BE150" s="250"/>
    </row>
    <row r="151" spans="5:57" x14ac:dyDescent="0.25">
      <c r="E151" s="224" t="s">
        <v>162</v>
      </c>
      <c r="F151" s="224"/>
      <c r="G151" s="225">
        <f>SUM(AO33:AO37,AO44:AO47,AX33:BD37,AX44:BD47)</f>
        <v>14160.704688</v>
      </c>
      <c r="H151" s="225">
        <f>SUM(AP33:AS37,AP44:AS47)</f>
        <v>88495.89</v>
      </c>
      <c r="I151" s="225">
        <f t="shared" si="114"/>
        <v>102656.594688</v>
      </c>
      <c r="J151" s="136"/>
      <c r="K151" s="136"/>
      <c r="L151" s="136"/>
      <c r="M151" s="136"/>
      <c r="N151" s="136"/>
      <c r="O151" s="136"/>
      <c r="P151" s="136"/>
      <c r="Q151" s="136"/>
      <c r="R151" s="136"/>
      <c r="S151" s="136"/>
      <c r="T151" s="136"/>
      <c r="U151" s="136"/>
      <c r="AB151" s="136"/>
      <c r="AC151" s="136"/>
      <c r="AD151" s="136"/>
      <c r="AE151" s="136"/>
      <c r="AF151" s="136"/>
      <c r="AG151" s="136"/>
      <c r="AH151" s="136"/>
      <c r="AI151" s="136"/>
      <c r="AJ151" s="136"/>
      <c r="AK151" s="136"/>
      <c r="AL151" s="136"/>
      <c r="AS151" s="136"/>
      <c r="AT151" s="136"/>
      <c r="AU151" s="136"/>
      <c r="AV151" s="136"/>
      <c r="AW151" s="136"/>
      <c r="AX151" s="136"/>
      <c r="AY151" s="136"/>
      <c r="AZ151" s="136"/>
      <c r="BA151" s="136"/>
      <c r="BB151" s="136"/>
      <c r="BC151" s="136"/>
      <c r="BD151" s="136"/>
      <c r="BE151" s="250"/>
    </row>
    <row r="152" spans="5:57" x14ac:dyDescent="0.25">
      <c r="E152" s="224" t="s">
        <v>163</v>
      </c>
      <c r="F152" s="224"/>
      <c r="G152" s="225">
        <f>SUM(AO39:AO39,AX39:BD39)</f>
        <v>4602.3007680000001</v>
      </c>
      <c r="H152" s="225">
        <f>SUM(AP39:AS39)</f>
        <v>60887.919999999991</v>
      </c>
      <c r="I152" s="225">
        <f t="shared" si="114"/>
        <v>65490.220767999992</v>
      </c>
      <c r="J152" s="136"/>
      <c r="K152" s="136"/>
      <c r="L152" s="136"/>
      <c r="M152" s="136"/>
      <c r="N152" s="136"/>
      <c r="O152" s="136"/>
      <c r="P152" s="136"/>
      <c r="Q152" s="136"/>
      <c r="R152" s="136"/>
      <c r="S152" s="136"/>
      <c r="T152" s="136"/>
      <c r="U152" s="136"/>
      <c r="AB152" s="136"/>
      <c r="AC152" s="136"/>
      <c r="AD152" s="136"/>
      <c r="AE152" s="136"/>
      <c r="AF152" s="136"/>
      <c r="AG152" s="136"/>
      <c r="AH152" s="136"/>
      <c r="AI152" s="136"/>
      <c r="AJ152" s="136"/>
      <c r="AK152" s="136"/>
      <c r="AL152" s="136"/>
      <c r="AS152" s="136"/>
      <c r="AT152" s="136"/>
      <c r="AU152" s="136"/>
      <c r="AV152" s="136"/>
      <c r="AW152" s="136"/>
      <c r="AX152" s="136"/>
      <c r="AY152" s="136"/>
      <c r="AZ152" s="136"/>
      <c r="BA152" s="136"/>
      <c r="BB152" s="136"/>
      <c r="BC152" s="136"/>
      <c r="BD152" s="136"/>
      <c r="BE152" s="250"/>
    </row>
    <row r="153" spans="5:57" x14ac:dyDescent="0.25">
      <c r="E153" s="224" t="s">
        <v>164</v>
      </c>
      <c r="F153" s="224"/>
      <c r="G153" s="225">
        <f>SUM(AO40:AO40,AX40:BD40)</f>
        <v>2533.8308760000004</v>
      </c>
      <c r="H153" s="225">
        <f>SUM(AP40:AS40)</f>
        <v>7829.02</v>
      </c>
      <c r="I153" s="225">
        <f t="shared" si="114"/>
        <v>10362.850876</v>
      </c>
      <c r="J153" s="136"/>
      <c r="K153" s="136"/>
      <c r="L153" s="136"/>
      <c r="M153" s="136"/>
      <c r="N153" s="136"/>
      <c r="O153" s="136"/>
      <c r="P153" s="136"/>
      <c r="Q153" s="136"/>
      <c r="R153" s="136"/>
      <c r="S153" s="136"/>
      <c r="T153" s="136"/>
      <c r="U153" s="136"/>
      <c r="AB153" s="136"/>
      <c r="AC153" s="136"/>
      <c r="AD153" s="136"/>
      <c r="AE153" s="136"/>
      <c r="AF153" s="136"/>
      <c r="AG153" s="136"/>
      <c r="AH153" s="136"/>
      <c r="AI153" s="136"/>
      <c r="AJ153" s="136"/>
      <c r="AK153" s="136"/>
      <c r="AL153" s="136"/>
      <c r="AS153" s="136"/>
      <c r="AT153" s="136"/>
      <c r="AU153" s="136"/>
      <c r="AV153" s="136"/>
      <c r="AW153" s="136"/>
      <c r="AX153" s="136"/>
      <c r="AY153" s="136"/>
      <c r="AZ153" s="136"/>
      <c r="BA153" s="136"/>
      <c r="BB153" s="136"/>
      <c r="BC153" s="136"/>
      <c r="BD153" s="136"/>
      <c r="BE153" s="250"/>
    </row>
    <row r="154" spans="5:57" x14ac:dyDescent="0.25">
      <c r="E154" s="224" t="s">
        <v>165</v>
      </c>
      <c r="F154" s="224"/>
      <c r="G154" s="225">
        <f>SUM(AO41:AO41,AX41:BD41)</f>
        <v>2343.1508441999999</v>
      </c>
      <c r="H154" s="225">
        <f>SUM(AP41:AS41)</f>
        <v>1529.08</v>
      </c>
      <c r="I154" s="225">
        <f t="shared" si="114"/>
        <v>3872.2308441999999</v>
      </c>
      <c r="J154" s="136"/>
      <c r="K154" s="136"/>
      <c r="L154" s="136"/>
      <c r="M154" s="136"/>
      <c r="N154" s="136"/>
      <c r="O154" s="136"/>
      <c r="P154" s="136"/>
      <c r="Q154" s="136"/>
      <c r="R154" s="136"/>
      <c r="S154" s="136"/>
      <c r="T154" s="136"/>
      <c r="U154" s="136"/>
      <c r="AB154" s="136"/>
      <c r="AC154" s="136"/>
      <c r="AD154" s="136"/>
      <c r="AE154" s="136"/>
      <c r="AF154" s="136"/>
      <c r="AG154" s="136"/>
      <c r="AH154" s="136"/>
      <c r="AI154" s="136"/>
      <c r="AJ154" s="136"/>
      <c r="AK154" s="136"/>
      <c r="AL154" s="136"/>
      <c r="AS154" s="136"/>
      <c r="AT154" s="136"/>
      <c r="AU154" s="136"/>
      <c r="AV154" s="136"/>
      <c r="AW154" s="136"/>
      <c r="AX154" s="136"/>
      <c r="AY154" s="136"/>
      <c r="AZ154" s="136"/>
      <c r="BA154" s="136"/>
      <c r="BB154" s="136"/>
      <c r="BC154" s="136"/>
      <c r="BD154" s="136"/>
      <c r="BE154" s="250"/>
    </row>
    <row r="155" spans="5:57" x14ac:dyDescent="0.25">
      <c r="E155" s="224" t="s">
        <v>166</v>
      </c>
      <c r="F155" s="224"/>
      <c r="G155" s="225">
        <f>SUM(AO49:AO49,AO55:AO68,AX49:BD49,AX55:BD68)</f>
        <v>105691.77231749998</v>
      </c>
      <c r="H155" s="225">
        <f>SUM(AP49:AS49,AP55:AS68)</f>
        <v>137644.24620000008</v>
      </c>
      <c r="I155" s="225">
        <f t="shared" si="114"/>
        <v>243336.01851750008</v>
      </c>
      <c r="J155" s="136"/>
      <c r="K155" s="136"/>
      <c r="L155" s="136"/>
      <c r="M155" s="136"/>
      <c r="N155" s="136"/>
      <c r="O155" s="136"/>
      <c r="P155" s="136"/>
      <c r="Q155" s="136"/>
      <c r="R155" s="136"/>
      <c r="S155" s="136"/>
      <c r="T155" s="136"/>
      <c r="U155" s="136"/>
      <c r="AB155" s="136"/>
      <c r="AC155" s="136"/>
      <c r="AD155" s="136"/>
      <c r="AE155" s="136"/>
      <c r="AF155" s="136"/>
      <c r="AG155" s="136"/>
      <c r="AH155" s="136"/>
      <c r="AI155" s="136"/>
      <c r="AJ155" s="136"/>
      <c r="AK155" s="136"/>
      <c r="AL155" s="136"/>
      <c r="AS155" s="136"/>
      <c r="AT155" s="136"/>
      <c r="AU155" s="136"/>
      <c r="AV155" s="136"/>
      <c r="AW155" s="136"/>
      <c r="AX155" s="136"/>
      <c r="AY155" s="136"/>
      <c r="AZ155" s="136"/>
      <c r="BA155" s="136"/>
      <c r="BB155" s="136"/>
      <c r="BC155" s="136"/>
      <c r="BD155" s="136"/>
      <c r="BE155" s="250"/>
    </row>
    <row r="156" spans="5:57" x14ac:dyDescent="0.25">
      <c r="E156" s="224" t="s">
        <v>167</v>
      </c>
      <c r="F156" s="224"/>
      <c r="G156" s="225">
        <f>SUM(AO50:AO51,AO69,AX50:BD51,AX69:BD69)</f>
        <v>6933.8090021999997</v>
      </c>
      <c r="H156" s="225">
        <f>SUM(AP50:AS51,AP69:AS69)</f>
        <v>7210.35</v>
      </c>
      <c r="I156" s="225">
        <f t="shared" si="114"/>
        <v>14144.1590022</v>
      </c>
      <c r="J156" s="136"/>
      <c r="K156" s="136"/>
      <c r="L156" s="136"/>
      <c r="M156" s="136"/>
      <c r="N156" s="136"/>
      <c r="O156" s="136"/>
      <c r="P156" s="136"/>
      <c r="Q156" s="136"/>
      <c r="R156" s="136"/>
      <c r="S156" s="136"/>
      <c r="T156" s="136"/>
      <c r="U156" s="136"/>
      <c r="AB156" s="136"/>
      <c r="AC156" s="136"/>
      <c r="AD156" s="136"/>
      <c r="AE156" s="136"/>
      <c r="AF156" s="136"/>
      <c r="AG156" s="136"/>
      <c r="AH156" s="136"/>
      <c r="AI156" s="136"/>
      <c r="AJ156" s="136"/>
      <c r="AK156" s="136"/>
      <c r="AL156" s="136"/>
      <c r="AS156" s="136"/>
      <c r="AT156" s="136"/>
      <c r="AU156" s="136"/>
      <c r="AV156" s="136"/>
      <c r="AW156" s="136"/>
      <c r="AX156" s="136"/>
      <c r="AY156" s="136"/>
      <c r="AZ156" s="136"/>
      <c r="BA156" s="136"/>
      <c r="BB156" s="136"/>
      <c r="BC156" s="136"/>
      <c r="BD156" s="136"/>
      <c r="BE156" s="250"/>
    </row>
    <row r="157" spans="5:57" x14ac:dyDescent="0.25">
      <c r="E157" s="224" t="s">
        <v>168</v>
      </c>
      <c r="F157" s="224"/>
      <c r="G157" s="225">
        <f>SUM(AO52:AO53,AX52:BD53)</f>
        <v>714.81542579999996</v>
      </c>
      <c r="H157" s="225">
        <f>SUM(AP52:AS53)</f>
        <v>869.99999999999989</v>
      </c>
      <c r="I157" s="225">
        <f t="shared" si="114"/>
        <v>1584.8154258</v>
      </c>
      <c r="J157" s="136"/>
      <c r="K157" s="136"/>
      <c r="L157" s="136"/>
      <c r="M157" s="136"/>
      <c r="N157" s="136"/>
      <c r="O157" s="136"/>
      <c r="P157" s="136"/>
      <c r="Q157" s="136"/>
      <c r="R157" s="136"/>
      <c r="S157" s="136"/>
      <c r="T157" s="136"/>
      <c r="U157" s="136"/>
      <c r="AB157" s="136"/>
      <c r="AC157" s="136"/>
      <c r="AD157" s="136"/>
      <c r="AE157" s="136"/>
      <c r="AF157" s="136"/>
      <c r="AG157" s="136"/>
      <c r="AH157" s="136"/>
      <c r="AI157" s="136"/>
      <c r="AJ157" s="136"/>
      <c r="AK157" s="136"/>
      <c r="AL157" s="136"/>
      <c r="AS157" s="136"/>
      <c r="AT157" s="136"/>
      <c r="AU157" s="136"/>
      <c r="AV157" s="136"/>
      <c r="AW157" s="136"/>
      <c r="AX157" s="136"/>
      <c r="AY157" s="136"/>
      <c r="AZ157" s="136"/>
      <c r="BA157" s="136"/>
      <c r="BB157" s="136"/>
      <c r="BC157" s="136"/>
      <c r="BD157" s="136"/>
      <c r="BE157" s="250"/>
    </row>
    <row r="158" spans="5:57" x14ac:dyDescent="0.25">
      <c r="E158" s="224" t="s">
        <v>169</v>
      </c>
      <c r="F158" s="224"/>
      <c r="G158" s="225">
        <f>SUM(AO72:AO72,AO76,AO79:AO87,AX72:BD72,AX76:BD76,AX79:BD87)</f>
        <v>23456.993019500002</v>
      </c>
      <c r="H158" s="225">
        <f>SUM(AP72:AS72,AP76:AS76,AP79:AS87)</f>
        <v>22472.281200000001</v>
      </c>
      <c r="I158" s="225">
        <f t="shared" si="114"/>
        <v>45929.274219500003</v>
      </c>
      <c r="J158" s="136"/>
      <c r="K158" s="136"/>
      <c r="L158" s="136"/>
      <c r="M158" s="136"/>
      <c r="N158" s="136"/>
      <c r="O158" s="136"/>
      <c r="P158" s="136"/>
      <c r="Q158" s="136"/>
      <c r="R158" s="136"/>
      <c r="S158" s="136"/>
      <c r="T158" s="136"/>
      <c r="U158" s="136"/>
      <c r="AB158" s="136"/>
      <c r="AC158" s="136"/>
      <c r="AD158" s="136"/>
      <c r="AE158" s="136"/>
      <c r="AF158" s="136"/>
      <c r="AG158" s="136"/>
      <c r="AH158" s="136"/>
      <c r="AI158" s="136"/>
      <c r="AJ158" s="136"/>
      <c r="AK158" s="136"/>
      <c r="AL158" s="136"/>
      <c r="AS158" s="136"/>
      <c r="AT158" s="136"/>
      <c r="AU158" s="136"/>
      <c r="AV158" s="136"/>
      <c r="AW158" s="136"/>
      <c r="AX158" s="136"/>
      <c r="AY158" s="136"/>
      <c r="AZ158" s="136"/>
      <c r="BA158" s="136"/>
      <c r="BB158" s="136"/>
      <c r="BC158" s="136"/>
      <c r="BD158" s="136"/>
      <c r="BE158" s="250"/>
    </row>
    <row r="159" spans="5:57" x14ac:dyDescent="0.25">
      <c r="E159" s="224" t="s">
        <v>170</v>
      </c>
      <c r="F159" s="224"/>
      <c r="G159" s="225">
        <f>SUM(AO73:AO74,AX73:BD74)</f>
        <v>2352.3002065000001</v>
      </c>
      <c r="H159" s="225">
        <f>SUM(AP73:AS74)</f>
        <v>1732.53</v>
      </c>
      <c r="I159" s="225">
        <f t="shared" si="114"/>
        <v>4084.8302064999998</v>
      </c>
      <c r="J159" s="136"/>
      <c r="K159" s="136"/>
      <c r="L159" s="136"/>
      <c r="M159" s="136"/>
      <c r="N159" s="136"/>
      <c r="O159" s="136"/>
      <c r="P159" s="136"/>
      <c r="Q159" s="136"/>
      <c r="R159" s="136"/>
      <c r="S159" s="136"/>
      <c r="T159" s="136"/>
      <c r="U159" s="136"/>
      <c r="AB159" s="136"/>
      <c r="AC159" s="136"/>
      <c r="AD159" s="136"/>
      <c r="AE159" s="136"/>
      <c r="AF159" s="136"/>
      <c r="AG159" s="136"/>
      <c r="AH159" s="136"/>
      <c r="AI159" s="136"/>
      <c r="AJ159" s="136"/>
      <c r="AK159" s="136"/>
      <c r="AL159" s="136"/>
      <c r="AS159" s="136"/>
      <c r="AT159" s="136"/>
      <c r="AU159" s="136"/>
      <c r="AV159" s="136"/>
      <c r="AW159" s="136"/>
      <c r="AX159" s="136"/>
      <c r="AY159" s="136"/>
      <c r="AZ159" s="136"/>
      <c r="BA159" s="136"/>
      <c r="BB159" s="136"/>
      <c r="BC159" s="136"/>
      <c r="BD159" s="136"/>
      <c r="BE159" s="250"/>
    </row>
    <row r="160" spans="5:57" x14ac:dyDescent="0.25">
      <c r="E160" s="224" t="s">
        <v>171</v>
      </c>
      <c r="F160" s="224"/>
      <c r="G160" s="225">
        <f>SUM(AO75,AO77:AO77,AX75:BD75,AX77:BD77)</f>
        <v>32.344839999999998</v>
      </c>
      <c r="H160" s="225">
        <f>SUM(AP75:AS75,AP77:AS77)</f>
        <v>0</v>
      </c>
      <c r="I160" s="225">
        <f t="shared" si="114"/>
        <v>32.344839999999998</v>
      </c>
      <c r="J160" s="136"/>
      <c r="K160" s="136"/>
      <c r="L160" s="136"/>
      <c r="M160" s="136"/>
      <c r="N160" s="136"/>
      <c r="O160" s="136"/>
      <c r="P160" s="136"/>
      <c r="Q160" s="136"/>
      <c r="R160" s="136"/>
      <c r="S160" s="136"/>
      <c r="T160" s="136"/>
      <c r="U160" s="136"/>
      <c r="AB160" s="136"/>
      <c r="AC160" s="136"/>
      <c r="AD160" s="136"/>
      <c r="AE160" s="136"/>
      <c r="AF160" s="136"/>
      <c r="AG160" s="136"/>
      <c r="AH160" s="136"/>
      <c r="AI160" s="136"/>
      <c r="AJ160" s="136"/>
      <c r="AK160" s="136"/>
      <c r="AL160" s="136"/>
      <c r="AS160" s="136"/>
      <c r="AT160" s="136"/>
      <c r="AU160" s="136"/>
      <c r="AV160" s="136"/>
      <c r="AW160" s="136"/>
      <c r="AX160" s="136"/>
      <c r="AY160" s="136"/>
      <c r="AZ160" s="136"/>
      <c r="BA160" s="136"/>
      <c r="BB160" s="136"/>
      <c r="BC160" s="136"/>
      <c r="BD160" s="136"/>
      <c r="BE160" s="250"/>
    </row>
    <row r="161" spans="3:57" x14ac:dyDescent="0.25">
      <c r="E161" s="224" t="s">
        <v>172</v>
      </c>
      <c r="F161" s="224"/>
      <c r="G161" s="225">
        <f>SUM(AO96:AO103,AX96:BD103)</f>
        <v>3575.2986274999994</v>
      </c>
      <c r="H161" s="225">
        <f>SUM(AP96:AS103)</f>
        <v>1430.348</v>
      </c>
      <c r="I161" s="225">
        <f t="shared" si="114"/>
        <v>5005.6466274999993</v>
      </c>
      <c r="J161" s="136"/>
      <c r="K161" s="136"/>
      <c r="L161" s="136"/>
      <c r="M161" s="136"/>
      <c r="N161" s="136"/>
      <c r="O161" s="136"/>
      <c r="P161" s="136"/>
      <c r="Q161" s="136"/>
      <c r="R161" s="136"/>
      <c r="S161" s="136"/>
      <c r="T161" s="136"/>
      <c r="U161" s="136"/>
      <c r="AB161" s="136"/>
      <c r="AC161" s="136"/>
      <c r="AD161" s="136"/>
      <c r="AE161" s="136"/>
      <c r="AF161" s="136"/>
      <c r="AG161" s="136"/>
      <c r="AH161" s="136"/>
      <c r="AI161" s="136"/>
      <c r="AJ161" s="136"/>
      <c r="AK161" s="136"/>
      <c r="AL161" s="136"/>
      <c r="AS161" s="136"/>
      <c r="AT161" s="136"/>
      <c r="AU161" s="136"/>
      <c r="AV161" s="136"/>
      <c r="AW161" s="136"/>
      <c r="AX161" s="136"/>
      <c r="AY161" s="136"/>
      <c r="AZ161" s="136"/>
      <c r="BA161" s="136"/>
      <c r="BB161" s="136"/>
      <c r="BC161" s="136"/>
      <c r="BD161" s="136"/>
      <c r="BE161" s="250"/>
    </row>
    <row r="162" spans="3:57" x14ac:dyDescent="0.25">
      <c r="C162" s="215"/>
      <c r="D162" s="215"/>
      <c r="E162" s="224" t="s">
        <v>173</v>
      </c>
      <c r="F162" s="224"/>
      <c r="G162" s="225">
        <f>SUM(AO105:AO114,AX105:BD114)</f>
        <v>8421.2859129999997</v>
      </c>
      <c r="H162" s="225">
        <f>SUM(AP105:AS114)</f>
        <v>2323.6599999999994</v>
      </c>
      <c r="I162" s="225">
        <f t="shared" si="114"/>
        <v>10744.945913</v>
      </c>
      <c r="J162" s="136"/>
      <c r="K162" s="136"/>
      <c r="L162" s="136"/>
      <c r="M162" s="136"/>
      <c r="N162" s="136"/>
      <c r="O162" s="136"/>
      <c r="P162" s="136"/>
      <c r="Q162" s="136"/>
      <c r="R162" s="136"/>
      <c r="S162" s="136"/>
      <c r="T162" s="136"/>
      <c r="U162" s="136"/>
      <c r="AB162" s="136"/>
      <c r="AC162" s="136"/>
      <c r="AD162" s="136"/>
      <c r="AE162" s="136"/>
      <c r="AF162" s="136"/>
      <c r="AG162" s="136"/>
      <c r="AH162" s="136"/>
      <c r="AI162" s="136"/>
      <c r="AJ162" s="136"/>
      <c r="AK162" s="136"/>
      <c r="AL162" s="136"/>
      <c r="AS162" s="136"/>
      <c r="AT162" s="136"/>
      <c r="AU162" s="136"/>
      <c r="AV162" s="136"/>
      <c r="AW162" s="136"/>
      <c r="AX162" s="136"/>
      <c r="AY162" s="136"/>
      <c r="AZ162" s="136"/>
      <c r="BA162" s="136"/>
      <c r="BB162" s="136"/>
      <c r="BC162" s="136"/>
      <c r="BD162" s="136"/>
      <c r="BE162" s="250"/>
    </row>
    <row r="163" spans="3:57" x14ac:dyDescent="0.25">
      <c r="C163" s="215"/>
      <c r="D163" s="215"/>
      <c r="E163" s="224" t="s">
        <v>174</v>
      </c>
      <c r="F163" s="224"/>
      <c r="G163" s="225">
        <f>SUM(AO116:AO119,AX116:BD119)</f>
        <v>729.46790300000009</v>
      </c>
      <c r="H163" s="225">
        <f>SUM(AP116:AS119)</f>
        <v>202.04400000000004</v>
      </c>
      <c r="I163" s="225">
        <f t="shared" si="114"/>
        <v>931.51190300000007</v>
      </c>
      <c r="J163" s="136"/>
      <c r="K163" s="136"/>
      <c r="L163" s="136"/>
      <c r="M163" s="136"/>
      <c r="N163" s="136"/>
      <c r="O163" s="136"/>
      <c r="P163" s="136"/>
      <c r="Q163" s="136"/>
      <c r="R163" s="136"/>
      <c r="S163" s="136"/>
      <c r="T163" s="136"/>
      <c r="U163" s="136"/>
      <c r="AB163" s="136"/>
      <c r="AC163" s="136"/>
      <c r="AD163" s="136"/>
      <c r="AE163" s="136"/>
      <c r="AF163" s="136"/>
      <c r="AG163" s="136"/>
      <c r="AH163" s="136"/>
      <c r="AI163" s="136"/>
      <c r="AJ163" s="136"/>
      <c r="AK163" s="136"/>
      <c r="AL163" s="136"/>
      <c r="AS163" s="136"/>
      <c r="AT163" s="136"/>
      <c r="AU163" s="136"/>
      <c r="AV163" s="136"/>
      <c r="AW163" s="136"/>
      <c r="AX163" s="136"/>
      <c r="AY163" s="136"/>
      <c r="AZ163" s="136"/>
      <c r="BA163" s="136"/>
      <c r="BB163" s="136"/>
      <c r="BC163" s="136"/>
      <c r="BD163" s="136"/>
      <c r="BE163" s="250"/>
    </row>
    <row r="164" spans="3:57" x14ac:dyDescent="0.25">
      <c r="C164" s="215"/>
      <c r="D164" s="215"/>
      <c r="E164" s="224" t="s">
        <v>175</v>
      </c>
      <c r="F164" s="224"/>
      <c r="G164" s="225">
        <f>SUM(AO121:AO129,AX121:BD129)</f>
        <v>12985.742823999999</v>
      </c>
      <c r="H164" s="225">
        <f>SUM(AP121:AS129)</f>
        <v>2186.61</v>
      </c>
      <c r="I164" s="225">
        <f t="shared" si="114"/>
        <v>15172.352824</v>
      </c>
      <c r="J164" s="136"/>
      <c r="K164" s="136"/>
      <c r="L164" s="136"/>
      <c r="M164" s="136"/>
      <c r="N164" s="136"/>
      <c r="O164" s="136"/>
      <c r="P164" s="136"/>
      <c r="Q164" s="136"/>
      <c r="R164" s="136"/>
      <c r="S164" s="136"/>
      <c r="T164" s="136"/>
      <c r="U164" s="136"/>
      <c r="AB164" s="136"/>
      <c r="AC164" s="136"/>
      <c r="AD164" s="136"/>
      <c r="AE164" s="136"/>
      <c r="AF164" s="136"/>
      <c r="AG164" s="136"/>
      <c r="AH164" s="136"/>
      <c r="AI164" s="136"/>
      <c r="AJ164" s="136"/>
      <c r="AK164" s="136"/>
      <c r="AL164" s="136"/>
      <c r="AS164" s="136"/>
      <c r="AT164" s="136"/>
      <c r="AU164" s="136"/>
      <c r="AV164" s="136"/>
      <c r="AW164" s="136"/>
      <c r="AX164" s="136"/>
      <c r="AY164" s="136"/>
      <c r="AZ164" s="136"/>
      <c r="BA164" s="136"/>
      <c r="BB164" s="136"/>
      <c r="BC164" s="136"/>
      <c r="BD164" s="136"/>
      <c r="BE164" s="250"/>
    </row>
    <row r="165" spans="3:57" ht="15.75" thickBot="1" x14ac:dyDescent="0.3">
      <c r="E165" s="224"/>
      <c r="F165" s="224"/>
      <c r="G165" s="226">
        <f>SUM(G144:G164)</f>
        <v>333864.11598519998</v>
      </c>
      <c r="H165" s="226">
        <f>SUM(H144:H164)</f>
        <v>808539.98228</v>
      </c>
      <c r="I165" s="226">
        <f>SUM(I144:I164)</f>
        <v>1142404.0982651997</v>
      </c>
    </row>
    <row r="166" spans="3:57" x14ac:dyDescent="0.25">
      <c r="E166" s="222" t="s">
        <v>176</v>
      </c>
      <c r="F166" s="222"/>
      <c r="G166" s="227"/>
      <c r="H166" s="227"/>
      <c r="I166" s="228">
        <f>SUM(BM136)</f>
        <v>1142404.0982651999</v>
      </c>
    </row>
    <row r="167" spans="3:57" x14ac:dyDescent="0.25">
      <c r="E167" s="222" t="s">
        <v>177</v>
      </c>
      <c r="F167" s="222"/>
      <c r="G167" s="228"/>
      <c r="H167" s="228"/>
      <c r="I167" s="228">
        <f>I166-I165</f>
        <v>0</v>
      </c>
    </row>
    <row r="168" spans="3:57" x14ac:dyDescent="0.25">
      <c r="Y168" s="137"/>
      <c r="AP168" s="137"/>
    </row>
    <row r="169" spans="3:57" x14ac:dyDescent="0.25">
      <c r="Y169" s="137"/>
      <c r="AP169" s="137"/>
    </row>
    <row r="170" spans="3:57" x14ac:dyDescent="0.25">
      <c r="Y170" s="137"/>
      <c r="AP170" s="137"/>
    </row>
    <row r="171" spans="3:57" x14ac:dyDescent="0.25">
      <c r="H171" s="137"/>
      <c r="Y171" s="137"/>
      <c r="AP171" s="137"/>
    </row>
    <row r="172" spans="3:57" x14ac:dyDescent="0.25">
      <c r="H172" s="137"/>
      <c r="Y172" s="137"/>
      <c r="AP172" s="137"/>
    </row>
    <row r="173" spans="3:57" x14ac:dyDescent="0.25">
      <c r="H173" s="137"/>
      <c r="Y173" s="137"/>
      <c r="AP173" s="137"/>
    </row>
    <row r="174" spans="3:57" x14ac:dyDescent="0.25">
      <c r="H174" s="137"/>
      <c r="Y174" s="137"/>
      <c r="AP174" s="137"/>
    </row>
    <row r="175" spans="3:57" x14ac:dyDescent="0.25">
      <c r="H175" s="137"/>
      <c r="Y175" s="137"/>
      <c r="AP175" s="137"/>
    </row>
    <row r="176" spans="3:57" x14ac:dyDescent="0.25">
      <c r="H176" s="137"/>
      <c r="Y176" s="137"/>
      <c r="AP176" s="137"/>
    </row>
    <row r="177" spans="3:45" x14ac:dyDescent="0.25">
      <c r="H177" s="137"/>
      <c r="Y177" s="137"/>
      <c r="AP177" s="137"/>
    </row>
    <row r="178" spans="3:45" x14ac:dyDescent="0.25">
      <c r="H178" s="137"/>
      <c r="Y178" s="137"/>
      <c r="AP178" s="137"/>
    </row>
    <row r="179" spans="3:45" x14ac:dyDescent="0.25">
      <c r="H179" s="137"/>
      <c r="Y179" s="137"/>
      <c r="AP179" s="137"/>
    </row>
    <row r="180" spans="3:45" x14ac:dyDescent="0.25">
      <c r="H180" s="137"/>
      <c r="Y180" s="137"/>
      <c r="AP180" s="137"/>
    </row>
    <row r="181" spans="3:45" x14ac:dyDescent="0.25">
      <c r="H181" s="137"/>
      <c r="Y181" s="137"/>
      <c r="AP181" s="137"/>
    </row>
    <row r="182" spans="3:45" x14ac:dyDescent="0.25">
      <c r="H182" s="137"/>
      <c r="Y182" s="137"/>
      <c r="AP182" s="137"/>
    </row>
    <row r="183" spans="3:45" x14ac:dyDescent="0.25">
      <c r="H183" s="137"/>
      <c r="Y183" s="137"/>
      <c r="AP183" s="137"/>
    </row>
    <row r="184" spans="3:45" x14ac:dyDescent="0.25">
      <c r="H184" s="137"/>
      <c r="Y184" s="137"/>
      <c r="AP184" s="137"/>
    </row>
    <row r="185" spans="3:45" x14ac:dyDescent="0.25">
      <c r="H185" s="137"/>
      <c r="Y185" s="137"/>
      <c r="AP185" s="137"/>
    </row>
    <row r="186" spans="3:45" x14ac:dyDescent="0.25">
      <c r="H186" s="137"/>
      <c r="Y186" s="137"/>
      <c r="AP186" s="137"/>
    </row>
    <row r="187" spans="3:45" x14ac:dyDescent="0.25">
      <c r="C187" s="135"/>
      <c r="D187" s="135"/>
      <c r="H187" s="137"/>
      <c r="Y187" s="137"/>
      <c r="AP187" s="137"/>
    </row>
    <row r="188" spans="3:45" x14ac:dyDescent="0.25">
      <c r="C188" s="135"/>
      <c r="D188" s="135"/>
      <c r="H188" s="137"/>
      <c r="Y188" s="137"/>
      <c r="AP188" s="137"/>
    </row>
    <row r="189" spans="3:45" x14ac:dyDescent="0.25">
      <c r="C189" s="135"/>
      <c r="D189" s="135"/>
      <c r="H189" s="137"/>
      <c r="Y189" s="137"/>
      <c r="Z189" s="137"/>
      <c r="AP189" s="137"/>
      <c r="AQ189" s="137"/>
    </row>
    <row r="190" spans="3:45" x14ac:dyDescent="0.25">
      <c r="C190" s="135"/>
      <c r="D190" s="135"/>
      <c r="H190" s="137"/>
      <c r="K190" s="137"/>
      <c r="Y190" s="137"/>
      <c r="Z190" s="137"/>
      <c r="AB190" s="137"/>
      <c r="AP190" s="137"/>
      <c r="AQ190" s="137"/>
      <c r="AS190" s="137"/>
    </row>
    <row r="191" spans="3:45" x14ac:dyDescent="0.25">
      <c r="C191" s="135"/>
      <c r="D191" s="135"/>
      <c r="E191" s="126"/>
      <c r="F191" s="126"/>
      <c r="H191" s="137"/>
      <c r="K191" s="137"/>
      <c r="Y191" s="137"/>
      <c r="Z191" s="137"/>
      <c r="AB191" s="137"/>
      <c r="AP191" s="137"/>
      <c r="AQ191" s="137"/>
      <c r="AS191" s="137"/>
    </row>
    <row r="192" spans="3:45" x14ac:dyDescent="0.25">
      <c r="C192" s="135"/>
      <c r="D192" s="135"/>
      <c r="H192" s="137"/>
      <c r="I192" s="137"/>
      <c r="K192" s="137"/>
      <c r="Y192" s="137"/>
      <c r="Z192" s="137"/>
      <c r="AB192" s="137"/>
      <c r="AP192" s="137"/>
      <c r="AQ192" s="137"/>
      <c r="AS192" s="137"/>
    </row>
    <row r="193" spans="3:45" x14ac:dyDescent="0.25">
      <c r="C193" s="135"/>
      <c r="D193" s="135"/>
      <c r="H193" s="137"/>
      <c r="I193" s="137"/>
      <c r="K193" s="137"/>
      <c r="Y193" s="137"/>
      <c r="Z193" s="137"/>
      <c r="AB193" s="137"/>
      <c r="AP193" s="137"/>
      <c r="AQ193" s="137"/>
      <c r="AS193" s="137"/>
    </row>
    <row r="194" spans="3:45" x14ac:dyDescent="0.25">
      <c r="C194" s="135"/>
      <c r="D194" s="135"/>
      <c r="H194" s="137"/>
      <c r="I194" s="137"/>
      <c r="K194" s="137"/>
      <c r="Y194" s="137"/>
      <c r="Z194" s="137"/>
      <c r="AB194" s="137"/>
      <c r="AP194" s="137"/>
      <c r="AQ194" s="137"/>
      <c r="AS194" s="137"/>
    </row>
    <row r="195" spans="3:45" x14ac:dyDescent="0.25">
      <c r="C195" s="135"/>
      <c r="D195" s="135"/>
      <c r="H195" s="137"/>
      <c r="I195" s="137"/>
      <c r="K195" s="137"/>
      <c r="Y195" s="137"/>
      <c r="Z195" s="137"/>
      <c r="AB195" s="137"/>
      <c r="AP195" s="137"/>
      <c r="AQ195" s="137"/>
      <c r="AS195" s="137"/>
    </row>
    <row r="196" spans="3:45" x14ac:dyDescent="0.25">
      <c r="C196" s="135"/>
      <c r="D196" s="135"/>
      <c r="H196" s="137"/>
      <c r="I196" s="137"/>
      <c r="K196" s="137"/>
      <c r="Y196" s="137"/>
      <c r="Z196" s="137"/>
      <c r="AB196" s="137"/>
      <c r="AP196" s="137"/>
      <c r="AQ196" s="137"/>
      <c r="AS196" s="137"/>
    </row>
    <row r="197" spans="3:45" x14ac:dyDescent="0.25">
      <c r="C197" s="135"/>
      <c r="D197" s="135"/>
      <c r="H197" s="137"/>
      <c r="I197" s="137"/>
      <c r="K197" s="137"/>
      <c r="Y197" s="137"/>
      <c r="Z197" s="137"/>
      <c r="AB197" s="137"/>
      <c r="AP197" s="137"/>
      <c r="AQ197" s="137"/>
      <c r="AS197" s="137"/>
    </row>
    <row r="198" spans="3:45" x14ac:dyDescent="0.25">
      <c r="C198" s="135"/>
      <c r="D198" s="135"/>
      <c r="H198" s="137"/>
      <c r="I198" s="137"/>
      <c r="Y198" s="137"/>
      <c r="AP198" s="137"/>
    </row>
    <row r="199" spans="3:45" x14ac:dyDescent="0.25">
      <c r="C199" s="135"/>
      <c r="D199" s="135"/>
      <c r="H199" s="137"/>
      <c r="I199" s="137"/>
      <c r="Y199" s="137"/>
      <c r="AP199" s="137"/>
    </row>
    <row r="200" spans="3:45" x14ac:dyDescent="0.25">
      <c r="C200" s="135"/>
      <c r="D200" s="135"/>
      <c r="H200" s="137"/>
      <c r="I200" s="137"/>
      <c r="Y200" s="137"/>
      <c r="Z200" s="137"/>
      <c r="AP200" s="137"/>
      <c r="AQ200" s="137"/>
    </row>
    <row r="201" spans="3:45" x14ac:dyDescent="0.25">
      <c r="C201" s="135"/>
      <c r="D201" s="135"/>
      <c r="H201" s="137"/>
      <c r="K201" s="137"/>
      <c r="Y201" s="137"/>
      <c r="Z201" s="137"/>
      <c r="AB201" s="137"/>
      <c r="AP201" s="137"/>
      <c r="AQ201" s="137"/>
      <c r="AS201" s="137"/>
    </row>
    <row r="202" spans="3:45" x14ac:dyDescent="0.25">
      <c r="C202" s="135"/>
      <c r="D202" s="135"/>
      <c r="H202" s="137"/>
      <c r="K202" s="137"/>
      <c r="Y202" s="137"/>
      <c r="AB202" s="137"/>
      <c r="AP202" s="137"/>
      <c r="AS202" s="137"/>
    </row>
    <row r="203" spans="3:45" x14ac:dyDescent="0.25">
      <c r="C203" s="135"/>
      <c r="D203" s="135"/>
      <c r="H203" s="137"/>
      <c r="I203" s="137"/>
      <c r="Y203" s="137"/>
      <c r="AP203" s="137"/>
    </row>
    <row r="204" spans="3:45" x14ac:dyDescent="0.25">
      <c r="C204" s="135"/>
      <c r="D204" s="135"/>
      <c r="H204" s="137"/>
      <c r="I204" s="137"/>
      <c r="Y204" s="137"/>
      <c r="AP204" s="137"/>
    </row>
    <row r="205" spans="3:45" x14ac:dyDescent="0.25">
      <c r="C205" s="135"/>
      <c r="D205" s="135"/>
      <c r="H205" s="137"/>
      <c r="Y205" s="137"/>
      <c r="Z205" s="137"/>
      <c r="AP205" s="137"/>
      <c r="AQ205" s="137"/>
    </row>
    <row r="206" spans="3:45" x14ac:dyDescent="0.25">
      <c r="C206" s="135"/>
      <c r="D206" s="135"/>
      <c r="H206" s="137"/>
      <c r="K206" s="137"/>
      <c r="Y206" s="137"/>
      <c r="Z206" s="137"/>
      <c r="AB206" s="137"/>
      <c r="AP206" s="137"/>
      <c r="AQ206" s="137"/>
      <c r="AS206" s="137"/>
    </row>
    <row r="207" spans="3:45" x14ac:dyDescent="0.25">
      <c r="C207" s="135"/>
      <c r="D207" s="135"/>
      <c r="H207" s="137"/>
      <c r="K207" s="137"/>
      <c r="Y207" s="137"/>
      <c r="Z207" s="137"/>
      <c r="AB207" s="137"/>
      <c r="AP207" s="137"/>
      <c r="AQ207" s="137"/>
      <c r="AS207" s="137"/>
    </row>
    <row r="208" spans="3:45" x14ac:dyDescent="0.25">
      <c r="C208" s="135"/>
      <c r="D208" s="135"/>
      <c r="H208" s="137"/>
      <c r="I208" s="137"/>
      <c r="K208" s="137"/>
      <c r="Y208" s="137"/>
      <c r="AB208" s="137"/>
      <c r="AP208" s="137"/>
      <c r="AS208" s="137"/>
    </row>
    <row r="209" spans="3:45" x14ac:dyDescent="0.25">
      <c r="C209" s="135"/>
      <c r="D209" s="135"/>
      <c r="H209" s="137"/>
      <c r="I209" s="137"/>
      <c r="Y209" s="137"/>
      <c r="Z209" s="137"/>
      <c r="AP209" s="137"/>
      <c r="AQ209" s="137"/>
    </row>
    <row r="210" spans="3:45" x14ac:dyDescent="0.25">
      <c r="C210" s="135"/>
      <c r="D210" s="135"/>
      <c r="H210" s="137"/>
      <c r="I210" s="137"/>
      <c r="K210" s="137"/>
      <c r="Y210" s="137"/>
      <c r="Z210" s="137"/>
      <c r="AB210" s="137"/>
      <c r="AP210" s="137"/>
      <c r="AQ210" s="137"/>
      <c r="AS210" s="137"/>
    </row>
    <row r="211" spans="3:45" x14ac:dyDescent="0.25">
      <c r="C211" s="135"/>
      <c r="D211" s="135"/>
      <c r="H211" s="137"/>
      <c r="K211" s="137"/>
      <c r="Y211" s="137"/>
      <c r="Z211" s="137"/>
      <c r="AB211" s="137"/>
      <c r="AP211" s="137"/>
      <c r="AQ211" s="137"/>
      <c r="AS211" s="137"/>
    </row>
    <row r="212" spans="3:45" x14ac:dyDescent="0.25">
      <c r="C212" s="135"/>
      <c r="D212" s="135"/>
      <c r="H212" s="137"/>
      <c r="I212" s="137"/>
      <c r="K212" s="137"/>
      <c r="Y212" s="137"/>
      <c r="Z212" s="137"/>
      <c r="AB212" s="137"/>
      <c r="AP212" s="137"/>
      <c r="AQ212" s="137"/>
      <c r="AS212" s="137"/>
    </row>
    <row r="213" spans="3:45" x14ac:dyDescent="0.25">
      <c r="C213" s="135"/>
      <c r="D213" s="135"/>
      <c r="H213" s="137"/>
      <c r="I213" s="137"/>
      <c r="K213" s="137"/>
      <c r="Y213" s="137"/>
      <c r="AB213" s="137"/>
      <c r="AP213" s="137"/>
      <c r="AS213" s="137"/>
    </row>
    <row r="214" spans="3:45" x14ac:dyDescent="0.25">
      <c r="C214" s="135"/>
      <c r="D214" s="135"/>
      <c r="H214" s="137"/>
      <c r="I214" s="137"/>
      <c r="Y214" s="137"/>
      <c r="AP214" s="137"/>
    </row>
    <row r="215" spans="3:45" x14ac:dyDescent="0.25">
      <c r="C215" s="135"/>
      <c r="D215" s="135"/>
      <c r="H215" s="137"/>
      <c r="I215" s="137"/>
      <c r="Y215" s="137"/>
      <c r="Z215" s="137"/>
      <c r="AP215" s="137"/>
      <c r="AQ215" s="137"/>
    </row>
    <row r="216" spans="3:45" x14ac:dyDescent="0.25">
      <c r="C216" s="135"/>
      <c r="D216" s="135"/>
      <c r="H216" s="137"/>
      <c r="K216" s="137"/>
      <c r="Y216" s="137"/>
      <c r="Z216" s="137"/>
      <c r="AB216" s="137"/>
      <c r="AP216" s="137"/>
      <c r="AQ216" s="137"/>
      <c r="AS216" s="137"/>
    </row>
    <row r="217" spans="3:45" x14ac:dyDescent="0.25">
      <c r="H217" s="137"/>
      <c r="K217" s="137"/>
      <c r="Y217" s="137"/>
      <c r="AB217" s="137"/>
      <c r="AP217" s="137"/>
      <c r="AS217" s="137"/>
    </row>
    <row r="218" spans="3:45" x14ac:dyDescent="0.25">
      <c r="H218" s="137"/>
      <c r="I218" s="137"/>
      <c r="Y218" s="137"/>
      <c r="AP218" s="137"/>
    </row>
    <row r="219" spans="3:45" x14ac:dyDescent="0.25">
      <c r="H219" s="137"/>
      <c r="I219" s="137"/>
      <c r="Y219" s="137"/>
      <c r="AP219" s="137"/>
    </row>
    <row r="220" spans="3:45" x14ac:dyDescent="0.25">
      <c r="H220" s="137"/>
      <c r="Y220" s="137"/>
      <c r="AP220" s="137"/>
    </row>
    <row r="221" spans="3:45" x14ac:dyDescent="0.25">
      <c r="C221" s="229"/>
      <c r="D221" s="229"/>
      <c r="H221" s="137"/>
      <c r="Y221" s="137"/>
      <c r="AP221" s="137"/>
    </row>
    <row r="222" spans="3:45" x14ac:dyDescent="0.25">
      <c r="H222" s="137"/>
      <c r="Y222" s="137"/>
      <c r="AP222" s="137"/>
    </row>
    <row r="223" spans="3:45" x14ac:dyDescent="0.25">
      <c r="H223" s="137"/>
      <c r="Y223" s="137"/>
      <c r="AP223" s="137"/>
    </row>
    <row r="224" spans="3:45" x14ac:dyDescent="0.25">
      <c r="H224" s="137"/>
      <c r="Y224" s="137"/>
      <c r="AP224" s="137"/>
    </row>
    <row r="225" spans="5:42" x14ac:dyDescent="0.25">
      <c r="E225" s="126"/>
      <c r="F225" s="126"/>
      <c r="H225" s="137"/>
      <c r="Y225" s="137"/>
      <c r="AP225" s="137"/>
    </row>
    <row r="226" spans="5:42" x14ac:dyDescent="0.25">
      <c r="H226" s="137"/>
      <c r="Y226" s="137"/>
      <c r="AP226" s="137"/>
    </row>
    <row r="227" spans="5:42" x14ac:dyDescent="0.25">
      <c r="H227" s="137"/>
      <c r="Y227" s="137"/>
      <c r="AP227" s="137"/>
    </row>
    <row r="228" spans="5:42" x14ac:dyDescent="0.25">
      <c r="H228" s="137"/>
      <c r="Y228" s="137"/>
      <c r="AP228" s="137"/>
    </row>
    <row r="229" spans="5:42" x14ac:dyDescent="0.25">
      <c r="H229" s="137"/>
      <c r="Y229" s="137"/>
      <c r="AP229" s="137"/>
    </row>
    <row r="230" spans="5:42" x14ac:dyDescent="0.25">
      <c r="H230" s="137"/>
      <c r="Y230" s="137"/>
      <c r="AP230" s="137"/>
    </row>
    <row r="231" spans="5:42" x14ac:dyDescent="0.25">
      <c r="H231" s="137"/>
      <c r="Y231" s="137"/>
      <c r="AP231" s="137"/>
    </row>
    <row r="232" spans="5:42" x14ac:dyDescent="0.25">
      <c r="H232" s="137"/>
      <c r="Y232" s="137"/>
      <c r="AP232" s="137"/>
    </row>
    <row r="233" spans="5:42" x14ac:dyDescent="0.25">
      <c r="H233" s="137"/>
      <c r="Y233" s="137"/>
      <c r="AP233" s="137"/>
    </row>
    <row r="234" spans="5:42" x14ac:dyDescent="0.25">
      <c r="H234" s="137"/>
      <c r="Y234" s="137"/>
      <c r="AP234" s="137"/>
    </row>
    <row r="235" spans="5:42" x14ac:dyDescent="0.25">
      <c r="H235" s="137"/>
      <c r="Y235" s="137"/>
      <c r="AP235" s="137"/>
    </row>
    <row r="236" spans="5:42" x14ac:dyDescent="0.25">
      <c r="E236" s="126"/>
      <c r="F236" s="126"/>
      <c r="H236" s="137"/>
      <c r="Y236" s="137"/>
      <c r="AP236" s="137"/>
    </row>
    <row r="237" spans="5:42" x14ac:dyDescent="0.25">
      <c r="H237" s="137"/>
      <c r="Y237" s="137"/>
      <c r="AP237" s="137"/>
    </row>
    <row r="238" spans="5:42" x14ac:dyDescent="0.25">
      <c r="H238" s="137"/>
      <c r="Y238" s="137"/>
      <c r="AP238" s="137"/>
    </row>
    <row r="239" spans="5:42" x14ac:dyDescent="0.25">
      <c r="H239" s="137"/>
      <c r="Y239" s="137"/>
      <c r="AP239" s="137"/>
    </row>
    <row r="240" spans="5:42" x14ac:dyDescent="0.25">
      <c r="H240" s="137"/>
      <c r="Y240" s="137"/>
      <c r="AP240" s="137"/>
    </row>
    <row r="241" spans="8:42" x14ac:dyDescent="0.25">
      <c r="H241" s="137"/>
      <c r="Y241" s="137"/>
      <c r="AP241" s="137"/>
    </row>
    <row r="242" spans="8:42" x14ac:dyDescent="0.25">
      <c r="H242" s="137"/>
      <c r="Y242" s="137"/>
      <c r="AP242" s="137"/>
    </row>
    <row r="243" spans="8:42" x14ac:dyDescent="0.25">
      <c r="H243" s="137"/>
      <c r="Y243" s="137"/>
      <c r="AP243" s="137"/>
    </row>
    <row r="244" spans="8:42" x14ac:dyDescent="0.25">
      <c r="H244" s="137"/>
      <c r="Y244" s="137"/>
      <c r="AP244" s="137"/>
    </row>
    <row r="245" spans="8:42" x14ac:dyDescent="0.25">
      <c r="H245" s="137"/>
      <c r="Y245" s="137"/>
      <c r="AP245" s="137"/>
    </row>
    <row r="246" spans="8:42" x14ac:dyDescent="0.25">
      <c r="H246" s="137"/>
      <c r="Y246" s="137"/>
      <c r="AP246" s="137"/>
    </row>
    <row r="247" spans="8:42" x14ac:dyDescent="0.25">
      <c r="H247" s="137"/>
      <c r="Y247" s="137"/>
      <c r="AP247" s="137"/>
    </row>
    <row r="248" spans="8:42" x14ac:dyDescent="0.25">
      <c r="H248" s="137"/>
      <c r="Y248" s="137"/>
      <c r="AP248" s="137"/>
    </row>
    <row r="249" spans="8:42" x14ac:dyDescent="0.25">
      <c r="H249" s="137"/>
      <c r="Y249" s="137"/>
      <c r="AP249" s="137"/>
    </row>
    <row r="250" spans="8:42" x14ac:dyDescent="0.25">
      <c r="H250" s="137"/>
      <c r="Y250" s="137"/>
      <c r="AP250" s="137"/>
    </row>
    <row r="251" spans="8:42" x14ac:dyDescent="0.25">
      <c r="H251" s="137"/>
      <c r="Y251" s="137"/>
      <c r="AP251" s="137"/>
    </row>
    <row r="252" spans="8:42" x14ac:dyDescent="0.25">
      <c r="H252" s="137"/>
      <c r="Y252" s="137"/>
      <c r="AP252" s="137"/>
    </row>
    <row r="253" spans="8:42" x14ac:dyDescent="0.25">
      <c r="H253" s="137"/>
      <c r="Y253" s="137"/>
      <c r="AP253" s="137"/>
    </row>
    <row r="254" spans="8:42" x14ac:dyDescent="0.25">
      <c r="H254" s="137"/>
      <c r="Y254" s="137"/>
      <c r="AP254" s="137"/>
    </row>
    <row r="255" spans="8:42" x14ac:dyDescent="0.25">
      <c r="H255" s="137"/>
      <c r="Y255" s="137"/>
      <c r="AP255" s="137"/>
    </row>
    <row r="256" spans="8:42" x14ac:dyDescent="0.25">
      <c r="H256" s="137"/>
      <c r="Y256" s="137"/>
      <c r="AP256" s="137"/>
    </row>
    <row r="257" spans="8:42" x14ac:dyDescent="0.25">
      <c r="H257" s="137"/>
      <c r="Y257" s="137"/>
      <c r="AP257" s="137"/>
    </row>
    <row r="258" spans="8:42" x14ac:dyDescent="0.25">
      <c r="H258" s="137"/>
      <c r="Y258" s="137"/>
      <c r="AP258" s="137"/>
    </row>
    <row r="259" spans="8:42" x14ac:dyDescent="0.25">
      <c r="H259" s="137"/>
      <c r="Y259" s="137"/>
      <c r="AP259" s="137"/>
    </row>
    <row r="260" spans="8:42" x14ac:dyDescent="0.25">
      <c r="H260" s="137"/>
      <c r="Y260" s="137"/>
      <c r="AP260" s="137"/>
    </row>
    <row r="261" spans="8:42" x14ac:dyDescent="0.25">
      <c r="H261" s="137"/>
      <c r="Y261" s="137"/>
      <c r="AP261" s="137"/>
    </row>
    <row r="262" spans="8:42" x14ac:dyDescent="0.25">
      <c r="H262" s="137"/>
      <c r="Y262" s="137"/>
      <c r="AP262" s="137"/>
    </row>
    <row r="263" spans="8:42" x14ac:dyDescent="0.25">
      <c r="H263" s="137"/>
      <c r="Y263" s="137"/>
      <c r="AP263" s="137"/>
    </row>
    <row r="264" spans="8:42" x14ac:dyDescent="0.25">
      <c r="H264" s="137"/>
      <c r="Y264" s="137"/>
      <c r="AP264" s="137"/>
    </row>
    <row r="265" spans="8:42" x14ac:dyDescent="0.25">
      <c r="H265" s="137"/>
      <c r="Y265" s="137"/>
      <c r="AP265" s="137"/>
    </row>
    <row r="266" spans="8:42" x14ac:dyDescent="0.25">
      <c r="H266" s="137"/>
      <c r="Y266" s="137"/>
      <c r="AP266" s="137"/>
    </row>
    <row r="267" spans="8:42" x14ac:dyDescent="0.25">
      <c r="H267" s="137"/>
      <c r="Y267" s="137"/>
      <c r="AP267" s="137"/>
    </row>
    <row r="268" spans="8:42" x14ac:dyDescent="0.25">
      <c r="H268" s="137"/>
      <c r="Y268" s="137"/>
      <c r="AP268" s="137"/>
    </row>
    <row r="269" spans="8:42" x14ac:dyDescent="0.25">
      <c r="H269" s="137"/>
      <c r="Y269" s="137"/>
      <c r="AP269" s="137"/>
    </row>
    <row r="270" spans="8:42" x14ac:dyDescent="0.25">
      <c r="H270" s="137"/>
      <c r="Y270" s="137"/>
      <c r="AP270" s="137"/>
    </row>
    <row r="271" spans="8:42" x14ac:dyDescent="0.25">
      <c r="H271" s="137"/>
      <c r="Y271" s="137"/>
      <c r="AP271" s="137"/>
    </row>
    <row r="272" spans="8:42" x14ac:dyDescent="0.25">
      <c r="H272" s="137"/>
      <c r="Y272" s="137"/>
      <c r="AP272" s="137"/>
    </row>
    <row r="273" spans="8:42" x14ac:dyDescent="0.25">
      <c r="H273" s="137"/>
      <c r="Y273" s="137"/>
      <c r="AP273" s="137"/>
    </row>
    <row r="274" spans="8:42" x14ac:dyDescent="0.25">
      <c r="H274" s="137"/>
      <c r="Y274" s="137"/>
      <c r="AP274" s="137"/>
    </row>
    <row r="275" spans="8:42" x14ac:dyDescent="0.25">
      <c r="H275" s="137"/>
      <c r="Y275" s="137"/>
      <c r="AP275" s="137"/>
    </row>
    <row r="276" spans="8:42" x14ac:dyDescent="0.25">
      <c r="H276" s="137"/>
      <c r="Y276" s="137"/>
      <c r="AP276" s="137"/>
    </row>
    <row r="277" spans="8:42" x14ac:dyDescent="0.25">
      <c r="H277" s="137"/>
      <c r="Y277" s="137"/>
      <c r="AP277" s="137"/>
    </row>
    <row r="278" spans="8:42" x14ac:dyDescent="0.25">
      <c r="H278" s="137"/>
      <c r="Y278" s="137"/>
      <c r="AP278" s="137"/>
    </row>
    <row r="279" spans="8:42" x14ac:dyDescent="0.25">
      <c r="H279" s="137"/>
      <c r="Y279" s="137"/>
      <c r="AP279" s="137"/>
    </row>
    <row r="280" spans="8:42" x14ac:dyDescent="0.25">
      <c r="H280" s="137"/>
      <c r="Y280" s="137"/>
      <c r="AP280" s="137"/>
    </row>
    <row r="281" spans="8:42" x14ac:dyDescent="0.25">
      <c r="H281" s="137"/>
      <c r="Y281" s="137"/>
      <c r="AP281" s="137"/>
    </row>
    <row r="282" spans="8:42" x14ac:dyDescent="0.25">
      <c r="H282" s="137"/>
      <c r="Y282" s="137"/>
      <c r="AP282" s="137"/>
    </row>
    <row r="283" spans="8:42" x14ac:dyDescent="0.25">
      <c r="H283" s="137"/>
      <c r="Y283" s="137"/>
      <c r="AP283" s="137"/>
    </row>
    <row r="284" spans="8:42" x14ac:dyDescent="0.25">
      <c r="H284" s="137"/>
      <c r="Y284" s="137"/>
      <c r="AP284" s="137"/>
    </row>
    <row r="285" spans="8:42" x14ac:dyDescent="0.25">
      <c r="H285" s="137"/>
      <c r="Y285" s="137"/>
      <c r="AP285" s="137"/>
    </row>
    <row r="286" spans="8:42" x14ac:dyDescent="0.25">
      <c r="H286" s="137"/>
      <c r="Y286" s="137"/>
      <c r="AP286" s="137"/>
    </row>
    <row r="287" spans="8:42" x14ac:dyDescent="0.25">
      <c r="H287" s="137"/>
      <c r="Y287" s="137"/>
      <c r="AP287" s="137"/>
    </row>
    <row r="288" spans="8:42" x14ac:dyDescent="0.25">
      <c r="H288" s="137"/>
      <c r="Y288" s="137"/>
      <c r="AP288" s="137"/>
    </row>
    <row r="289" spans="8:42" x14ac:dyDescent="0.25">
      <c r="H289" s="137"/>
      <c r="Y289" s="137"/>
      <c r="AP289" s="137"/>
    </row>
    <row r="290" spans="8:42" x14ac:dyDescent="0.25">
      <c r="H290" s="137"/>
      <c r="Y290" s="137"/>
      <c r="AP290" s="137"/>
    </row>
    <row r="291" spans="8:42" x14ac:dyDescent="0.25">
      <c r="H291" s="137"/>
      <c r="Y291" s="137"/>
      <c r="AP291" s="137"/>
    </row>
    <row r="292" spans="8:42" x14ac:dyDescent="0.25">
      <c r="H292" s="137"/>
      <c r="Y292" s="137"/>
      <c r="AP292" s="137"/>
    </row>
    <row r="293" spans="8:42" x14ac:dyDescent="0.25">
      <c r="H293" s="137"/>
      <c r="Y293" s="137"/>
      <c r="AP293" s="137"/>
    </row>
    <row r="294" spans="8:42" x14ac:dyDescent="0.25">
      <c r="H294" s="137"/>
      <c r="Y294" s="137"/>
      <c r="AP294" s="137"/>
    </row>
    <row r="295" spans="8:42" x14ac:dyDescent="0.25">
      <c r="H295" s="137"/>
      <c r="Y295" s="137"/>
      <c r="AP295" s="137"/>
    </row>
    <row r="296" spans="8:42" x14ac:dyDescent="0.25">
      <c r="H296" s="137"/>
      <c r="Y296" s="137"/>
      <c r="AP296" s="137"/>
    </row>
    <row r="297" spans="8:42" x14ac:dyDescent="0.25">
      <c r="H297" s="137"/>
      <c r="Y297" s="137"/>
      <c r="AP297" s="137"/>
    </row>
    <row r="298" spans="8:42" x14ac:dyDescent="0.25">
      <c r="H298" s="137"/>
      <c r="Y298" s="137"/>
      <c r="AP298" s="137"/>
    </row>
    <row r="299" spans="8:42" x14ac:dyDescent="0.25">
      <c r="H299" s="137"/>
      <c r="Y299" s="137"/>
      <c r="AP299" s="137"/>
    </row>
    <row r="300" spans="8:42" x14ac:dyDescent="0.25">
      <c r="H300" s="137"/>
      <c r="Y300" s="137"/>
      <c r="AP300" s="137"/>
    </row>
    <row r="301" spans="8:42" x14ac:dyDescent="0.25">
      <c r="H301" s="137"/>
      <c r="Y301" s="137"/>
      <c r="AP301" s="137"/>
    </row>
    <row r="302" spans="8:42" x14ac:dyDescent="0.25">
      <c r="H302" s="137"/>
      <c r="Y302" s="137"/>
      <c r="AP302" s="137"/>
    </row>
    <row r="303" spans="8:42" x14ac:dyDescent="0.25">
      <c r="H303" s="137"/>
      <c r="Y303" s="137"/>
      <c r="AP303" s="137"/>
    </row>
    <row r="304" spans="8:42" x14ac:dyDescent="0.25">
      <c r="H304" s="137"/>
      <c r="Y304" s="137"/>
      <c r="AP304" s="137"/>
    </row>
    <row r="305" spans="8:42" x14ac:dyDescent="0.25">
      <c r="H305" s="137"/>
      <c r="Y305" s="137"/>
      <c r="AP305" s="137"/>
    </row>
    <row r="306" spans="8:42" x14ac:dyDescent="0.25">
      <c r="H306" s="137"/>
      <c r="Y306" s="137"/>
      <c r="AP306" s="137"/>
    </row>
    <row r="307" spans="8:42" x14ac:dyDescent="0.25">
      <c r="H307" s="137"/>
      <c r="Y307" s="137"/>
      <c r="AP307" s="137"/>
    </row>
    <row r="308" spans="8:42" x14ac:dyDescent="0.25">
      <c r="H308" s="137"/>
      <c r="Y308" s="137"/>
      <c r="AP308" s="137"/>
    </row>
    <row r="309" spans="8:42" x14ac:dyDescent="0.25">
      <c r="H309" s="137"/>
      <c r="Y309" s="137"/>
      <c r="AP309" s="137"/>
    </row>
    <row r="310" spans="8:42" x14ac:dyDescent="0.25">
      <c r="H310" s="137"/>
      <c r="Y310" s="137"/>
      <c r="AP310" s="137"/>
    </row>
    <row r="311" spans="8:42" x14ac:dyDescent="0.25">
      <c r="H311" s="137"/>
      <c r="Y311" s="137"/>
      <c r="AP311" s="137"/>
    </row>
    <row r="312" spans="8:42" x14ac:dyDescent="0.25">
      <c r="H312" s="137"/>
      <c r="Y312" s="137"/>
      <c r="AP312" s="137"/>
    </row>
    <row r="313" spans="8:42" x14ac:dyDescent="0.25">
      <c r="H313" s="137"/>
      <c r="Y313" s="137"/>
      <c r="AP313" s="137"/>
    </row>
    <row r="314" spans="8:42" x14ac:dyDescent="0.25">
      <c r="H314" s="137"/>
      <c r="Y314" s="137"/>
      <c r="AP314" s="137"/>
    </row>
    <row r="315" spans="8:42" x14ac:dyDescent="0.25">
      <c r="H315" s="137"/>
      <c r="Y315" s="137"/>
      <c r="AP315" s="137"/>
    </row>
    <row r="316" spans="8:42" x14ac:dyDescent="0.25">
      <c r="H316" s="137"/>
      <c r="Y316" s="137"/>
      <c r="AP316" s="137"/>
    </row>
    <row r="317" spans="8:42" x14ac:dyDescent="0.25">
      <c r="H317" s="137"/>
      <c r="Y317" s="137"/>
      <c r="AP317" s="137"/>
    </row>
    <row r="318" spans="8:42" x14ac:dyDescent="0.25">
      <c r="H318" s="137"/>
      <c r="Y318" s="137"/>
      <c r="AP318" s="137"/>
    </row>
    <row r="319" spans="8:42" x14ac:dyDescent="0.25">
      <c r="H319" s="137"/>
      <c r="Y319" s="137"/>
      <c r="AP319" s="137"/>
    </row>
    <row r="320" spans="8:42" x14ac:dyDescent="0.25">
      <c r="H320" s="137"/>
      <c r="Y320" s="137"/>
      <c r="AP320" s="137"/>
    </row>
    <row r="321" spans="8:42" x14ac:dyDescent="0.25">
      <c r="H321" s="137"/>
      <c r="Y321" s="137"/>
      <c r="AP321" s="137"/>
    </row>
    <row r="322" spans="8:42" x14ac:dyDescent="0.25">
      <c r="H322" s="137"/>
      <c r="Y322" s="137"/>
      <c r="AP322" s="137"/>
    </row>
    <row r="323" spans="8:42" x14ac:dyDescent="0.25">
      <c r="H323" s="137"/>
      <c r="Y323" s="137"/>
      <c r="AP323" s="137"/>
    </row>
    <row r="324" spans="8:42" x14ac:dyDescent="0.25">
      <c r="H324" s="137"/>
      <c r="Y324" s="137"/>
      <c r="AP324" s="137"/>
    </row>
    <row r="325" spans="8:42" x14ac:dyDescent="0.25">
      <c r="H325" s="137"/>
      <c r="Y325" s="137"/>
      <c r="AP325" s="137"/>
    </row>
    <row r="326" spans="8:42" x14ac:dyDescent="0.25">
      <c r="H326" s="137"/>
      <c r="Y326" s="137"/>
      <c r="AP326" s="137"/>
    </row>
    <row r="327" spans="8:42" x14ac:dyDescent="0.25">
      <c r="H327" s="137"/>
      <c r="Y327" s="137"/>
      <c r="AP327" s="137"/>
    </row>
    <row r="328" spans="8:42" x14ac:dyDescent="0.25">
      <c r="H328" s="137"/>
      <c r="Y328" s="137"/>
      <c r="AP328" s="137"/>
    </row>
    <row r="329" spans="8:42" x14ac:dyDescent="0.25">
      <c r="H329" s="137"/>
      <c r="Y329" s="137"/>
      <c r="AP329" s="137"/>
    </row>
    <row r="330" spans="8:42" x14ac:dyDescent="0.25">
      <c r="H330" s="137"/>
      <c r="Y330" s="137"/>
      <c r="AP330" s="137"/>
    </row>
    <row r="331" spans="8:42" x14ac:dyDescent="0.25">
      <c r="H331" s="137"/>
      <c r="Y331" s="137"/>
      <c r="AP331" s="137"/>
    </row>
    <row r="332" spans="8:42" x14ac:dyDescent="0.25">
      <c r="H332" s="137"/>
      <c r="Y332" s="137"/>
      <c r="AP332" s="137"/>
    </row>
    <row r="333" spans="8:42" x14ac:dyDescent="0.25">
      <c r="H333" s="137"/>
      <c r="Y333" s="137"/>
      <c r="AP333" s="137"/>
    </row>
    <row r="334" spans="8:42" x14ac:dyDescent="0.25">
      <c r="H334" s="137"/>
      <c r="Y334" s="137"/>
      <c r="AP334" s="137"/>
    </row>
    <row r="335" spans="8:42" x14ac:dyDescent="0.25">
      <c r="H335" s="137"/>
      <c r="Y335" s="137"/>
      <c r="AP335" s="137"/>
    </row>
    <row r="336" spans="8:42" x14ac:dyDescent="0.25">
      <c r="H336" s="137"/>
      <c r="Y336" s="137"/>
      <c r="AP336" s="137"/>
    </row>
    <row r="337" spans="8:42" x14ac:dyDescent="0.25">
      <c r="H337" s="137"/>
      <c r="Y337" s="137"/>
      <c r="AP337" s="137"/>
    </row>
    <row r="338" spans="8:42" x14ac:dyDescent="0.25">
      <c r="H338" s="137"/>
      <c r="Y338" s="137"/>
      <c r="AP338" s="137"/>
    </row>
    <row r="339" spans="8:42" x14ac:dyDescent="0.25">
      <c r="H339" s="137"/>
      <c r="Y339" s="137"/>
      <c r="AP339" s="137"/>
    </row>
    <row r="340" spans="8:42" x14ac:dyDescent="0.25">
      <c r="H340" s="137"/>
      <c r="Y340" s="137"/>
      <c r="AP340" s="137"/>
    </row>
    <row r="341" spans="8:42" x14ac:dyDescent="0.25">
      <c r="H341" s="137"/>
      <c r="Y341" s="137"/>
      <c r="AP341" s="137"/>
    </row>
    <row r="342" spans="8:42" x14ac:dyDescent="0.25">
      <c r="H342" s="137"/>
      <c r="Y342" s="137"/>
      <c r="AP342" s="137"/>
    </row>
    <row r="343" spans="8:42" x14ac:dyDescent="0.25">
      <c r="H343" s="137"/>
      <c r="Y343" s="137"/>
      <c r="AP343" s="137"/>
    </row>
    <row r="344" spans="8:42" x14ac:dyDescent="0.25">
      <c r="H344" s="137"/>
      <c r="Y344" s="137"/>
      <c r="AP344" s="137"/>
    </row>
    <row r="345" spans="8:42" x14ac:dyDescent="0.25">
      <c r="H345" s="137"/>
      <c r="Y345" s="137"/>
      <c r="AP345" s="137"/>
    </row>
    <row r="346" spans="8:42" x14ac:dyDescent="0.25">
      <c r="H346" s="137"/>
      <c r="Y346" s="137"/>
      <c r="AP346" s="137"/>
    </row>
    <row r="347" spans="8:42" x14ac:dyDescent="0.25">
      <c r="H347" s="137"/>
      <c r="Y347" s="137"/>
      <c r="AP347" s="137"/>
    </row>
    <row r="348" spans="8:42" x14ac:dyDescent="0.25">
      <c r="H348" s="137"/>
      <c r="Y348" s="137"/>
      <c r="AP348" s="137"/>
    </row>
    <row r="349" spans="8:42" x14ac:dyDescent="0.25">
      <c r="H349" s="137"/>
      <c r="Y349" s="137"/>
      <c r="AP349" s="137"/>
    </row>
    <row r="350" spans="8:42" x14ac:dyDescent="0.25">
      <c r="H350" s="137"/>
      <c r="Y350" s="137"/>
      <c r="AP350" s="137"/>
    </row>
    <row r="351" spans="8:42" x14ac:dyDescent="0.25">
      <c r="H351" s="137"/>
      <c r="Y351" s="137"/>
      <c r="AP351" s="137"/>
    </row>
    <row r="352" spans="8:42" x14ac:dyDescent="0.25">
      <c r="H352" s="137"/>
      <c r="Y352" s="137"/>
      <c r="AP352" s="137"/>
    </row>
    <row r="353" spans="8:42" x14ac:dyDescent="0.25">
      <c r="H353" s="137"/>
      <c r="Y353" s="137"/>
      <c r="AP353" s="137"/>
    </row>
    <row r="354" spans="8:42" x14ac:dyDescent="0.25">
      <c r="H354" s="137"/>
      <c r="Y354" s="137"/>
      <c r="AP354" s="137"/>
    </row>
    <row r="355" spans="8:42" x14ac:dyDescent="0.25">
      <c r="H355" s="137"/>
      <c r="Y355" s="137"/>
      <c r="AP355" s="137"/>
    </row>
    <row r="356" spans="8:42" x14ac:dyDescent="0.25">
      <c r="H356" s="137"/>
      <c r="Y356" s="137"/>
      <c r="AP356" s="137"/>
    </row>
    <row r="357" spans="8:42" x14ac:dyDescent="0.25">
      <c r="H357" s="137"/>
      <c r="Y357" s="137"/>
      <c r="AP357" s="137"/>
    </row>
    <row r="358" spans="8:42" x14ac:dyDescent="0.25">
      <c r="H358" s="137"/>
      <c r="Y358" s="137"/>
      <c r="AP358" s="137"/>
    </row>
    <row r="359" spans="8:42" x14ac:dyDescent="0.25">
      <c r="H359" s="137"/>
      <c r="Y359" s="137"/>
      <c r="AP359" s="137"/>
    </row>
    <row r="360" spans="8:42" x14ac:dyDescent="0.25">
      <c r="H360" s="137"/>
      <c r="Y360" s="137"/>
      <c r="AP360" s="137"/>
    </row>
    <row r="361" spans="8:42" x14ac:dyDescent="0.25">
      <c r="H361" s="137"/>
      <c r="Y361" s="137"/>
      <c r="AP361" s="137"/>
    </row>
    <row r="362" spans="8:42" x14ac:dyDescent="0.25">
      <c r="H362" s="137"/>
      <c r="Y362" s="137"/>
      <c r="AP362" s="137"/>
    </row>
    <row r="363" spans="8:42" x14ac:dyDescent="0.25">
      <c r="H363" s="137"/>
      <c r="Y363" s="137"/>
      <c r="AP363" s="137"/>
    </row>
    <row r="364" spans="8:42" x14ac:dyDescent="0.25">
      <c r="H364" s="137"/>
      <c r="Y364" s="137"/>
      <c r="AP364" s="137"/>
    </row>
    <row r="365" spans="8:42" x14ac:dyDescent="0.25">
      <c r="H365" s="137"/>
      <c r="Y365" s="137"/>
      <c r="AP365" s="137"/>
    </row>
    <row r="366" spans="8:42" x14ac:dyDescent="0.25">
      <c r="H366" s="137"/>
      <c r="Y366" s="137"/>
      <c r="AP366" s="137"/>
    </row>
    <row r="367" spans="8:42" x14ac:dyDescent="0.25">
      <c r="H367" s="137"/>
      <c r="Y367" s="137"/>
      <c r="AP367" s="137"/>
    </row>
    <row r="368" spans="8:42" x14ac:dyDescent="0.25">
      <c r="H368" s="137"/>
      <c r="Y368" s="137"/>
      <c r="AP368" s="137"/>
    </row>
    <row r="369" spans="8:42" x14ac:dyDescent="0.25">
      <c r="H369" s="137"/>
      <c r="Y369" s="137"/>
      <c r="AP369" s="137"/>
    </row>
    <row r="370" spans="8:42" x14ac:dyDescent="0.25">
      <c r="H370" s="137"/>
      <c r="Y370" s="137"/>
      <c r="AP370" s="137"/>
    </row>
    <row r="371" spans="8:42" x14ac:dyDescent="0.25">
      <c r="H371" s="137"/>
      <c r="Y371" s="137"/>
      <c r="AP371" s="137"/>
    </row>
    <row r="372" spans="8:42" x14ac:dyDescent="0.25">
      <c r="H372" s="137"/>
      <c r="Y372" s="137"/>
      <c r="AP372" s="137"/>
    </row>
    <row r="373" spans="8:42" x14ac:dyDescent="0.25">
      <c r="H373" s="137"/>
      <c r="Y373" s="137"/>
      <c r="AP373" s="137"/>
    </row>
    <row r="374" spans="8:42" x14ac:dyDescent="0.25">
      <c r="H374" s="137"/>
      <c r="Y374" s="137"/>
      <c r="AP374" s="137"/>
    </row>
    <row r="375" spans="8:42" x14ac:dyDescent="0.25">
      <c r="H375" s="137"/>
      <c r="Y375" s="137"/>
      <c r="AP375" s="137"/>
    </row>
    <row r="376" spans="8:42" x14ac:dyDescent="0.25">
      <c r="H376" s="137"/>
      <c r="Y376" s="137"/>
      <c r="AP376" s="137"/>
    </row>
    <row r="377" spans="8:42" x14ac:dyDescent="0.25">
      <c r="H377" s="137"/>
      <c r="Y377" s="137"/>
      <c r="AP377" s="137"/>
    </row>
    <row r="378" spans="8:42" x14ac:dyDescent="0.25">
      <c r="H378" s="137"/>
      <c r="Y378" s="137"/>
      <c r="AP378" s="137"/>
    </row>
    <row r="379" spans="8:42" x14ac:dyDescent="0.25">
      <c r="H379" s="137"/>
      <c r="Y379" s="137"/>
      <c r="AP379" s="137"/>
    </row>
    <row r="380" spans="8:42" x14ac:dyDescent="0.25">
      <c r="H380" s="137"/>
      <c r="Y380" s="137"/>
      <c r="AP380" s="137"/>
    </row>
    <row r="381" spans="8:42" x14ac:dyDescent="0.25">
      <c r="H381" s="137"/>
      <c r="Y381" s="137"/>
      <c r="AP381" s="137"/>
    </row>
    <row r="382" spans="8:42" x14ac:dyDescent="0.25">
      <c r="H382" s="137"/>
      <c r="Y382" s="137"/>
      <c r="AP382" s="137"/>
    </row>
    <row r="383" spans="8:42" x14ac:dyDescent="0.25">
      <c r="H383" s="137"/>
      <c r="Y383" s="137"/>
      <c r="AP383" s="137"/>
    </row>
    <row r="384" spans="8:42" x14ac:dyDescent="0.25">
      <c r="H384" s="137"/>
      <c r="Y384" s="137"/>
      <c r="AP384" s="137"/>
    </row>
    <row r="385" spans="8:42" x14ac:dyDescent="0.25">
      <c r="H385" s="137"/>
      <c r="Y385" s="137"/>
      <c r="AP385" s="137"/>
    </row>
    <row r="386" spans="8:42" x14ac:dyDescent="0.25">
      <c r="H386" s="137"/>
      <c r="Y386" s="137"/>
      <c r="AP386" s="137"/>
    </row>
    <row r="387" spans="8:42" x14ac:dyDescent="0.25">
      <c r="H387" s="137"/>
      <c r="Y387" s="137"/>
      <c r="AP387" s="137"/>
    </row>
    <row r="388" spans="8:42" x14ac:dyDescent="0.25">
      <c r="H388" s="137"/>
      <c r="Y388" s="137"/>
      <c r="AP388" s="137"/>
    </row>
    <row r="389" spans="8:42" x14ac:dyDescent="0.25">
      <c r="H389" s="137"/>
      <c r="Y389" s="137"/>
      <c r="AP389" s="137"/>
    </row>
    <row r="390" spans="8:42" x14ac:dyDescent="0.25">
      <c r="H390" s="137"/>
      <c r="Y390" s="137"/>
      <c r="AP390" s="137"/>
    </row>
    <row r="391" spans="8:42" x14ac:dyDescent="0.25">
      <c r="H391" s="137"/>
      <c r="Y391" s="137"/>
      <c r="AP391" s="137"/>
    </row>
    <row r="392" spans="8:42" x14ac:dyDescent="0.25">
      <c r="H392" s="137"/>
      <c r="Y392" s="137"/>
      <c r="AP392" s="137"/>
    </row>
    <row r="393" spans="8:42" x14ac:dyDescent="0.25">
      <c r="H393" s="137"/>
      <c r="Y393" s="137"/>
      <c r="AP393" s="137"/>
    </row>
    <row r="394" spans="8:42" x14ac:dyDescent="0.25">
      <c r="H394" s="137"/>
      <c r="Y394" s="137"/>
      <c r="AP394" s="137"/>
    </row>
    <row r="395" spans="8:42" x14ac:dyDescent="0.25">
      <c r="H395" s="137"/>
      <c r="Y395" s="137"/>
      <c r="AP395" s="137"/>
    </row>
    <row r="396" spans="8:42" x14ac:dyDescent="0.25">
      <c r="H396" s="137"/>
      <c r="Y396" s="137"/>
      <c r="AP396" s="137"/>
    </row>
    <row r="397" spans="8:42" x14ac:dyDescent="0.25">
      <c r="H397" s="137"/>
      <c r="Y397" s="137"/>
      <c r="AP397" s="137"/>
    </row>
    <row r="398" spans="8:42" x14ac:dyDescent="0.25">
      <c r="H398" s="137"/>
      <c r="Y398" s="137"/>
      <c r="AP398" s="137"/>
    </row>
    <row r="399" spans="8:42" x14ac:dyDescent="0.25">
      <c r="H399" s="137"/>
      <c r="Y399" s="137"/>
      <c r="AP399" s="137"/>
    </row>
    <row r="400" spans="8:42" x14ac:dyDescent="0.25">
      <c r="H400" s="137"/>
      <c r="Y400" s="137"/>
      <c r="AP400" s="137"/>
    </row>
    <row r="401" spans="8:42" x14ac:dyDescent="0.25">
      <c r="H401" s="137"/>
      <c r="Y401" s="137"/>
      <c r="AP401" s="137"/>
    </row>
    <row r="402" spans="8:42" x14ac:dyDescent="0.25">
      <c r="H402" s="137"/>
      <c r="Y402" s="137"/>
      <c r="AP402" s="137"/>
    </row>
    <row r="403" spans="8:42" x14ac:dyDescent="0.25">
      <c r="H403" s="137"/>
      <c r="Y403" s="137"/>
      <c r="AP403" s="137"/>
    </row>
    <row r="404" spans="8:42" x14ac:dyDescent="0.25">
      <c r="H404" s="137"/>
      <c r="Y404" s="137"/>
      <c r="AP404" s="137"/>
    </row>
    <row r="405" spans="8:42" x14ac:dyDescent="0.25">
      <c r="H405" s="137"/>
      <c r="Y405" s="137"/>
      <c r="AP405" s="137"/>
    </row>
    <row r="406" spans="8:42" x14ac:dyDescent="0.25">
      <c r="H406" s="137"/>
      <c r="Y406" s="137"/>
      <c r="AP406" s="137"/>
    </row>
    <row r="407" spans="8:42" x14ac:dyDescent="0.25">
      <c r="H407" s="137"/>
      <c r="Y407" s="137"/>
      <c r="AP407" s="137"/>
    </row>
    <row r="408" spans="8:42" x14ac:dyDescent="0.25">
      <c r="H408" s="137"/>
      <c r="Y408" s="137"/>
      <c r="AP408" s="137"/>
    </row>
    <row r="409" spans="8:42" x14ac:dyDescent="0.25">
      <c r="H409" s="137"/>
      <c r="Y409" s="137"/>
      <c r="AP409" s="137"/>
    </row>
    <row r="410" spans="8:42" x14ac:dyDescent="0.25">
      <c r="H410" s="137"/>
      <c r="Y410" s="137"/>
      <c r="AP410" s="137"/>
    </row>
    <row r="411" spans="8:42" x14ac:dyDescent="0.25">
      <c r="H411" s="137"/>
      <c r="Y411" s="137"/>
      <c r="AP411" s="137"/>
    </row>
    <row r="412" spans="8:42" x14ac:dyDescent="0.25">
      <c r="H412" s="137"/>
      <c r="Y412" s="137"/>
      <c r="AP412" s="137"/>
    </row>
    <row r="413" spans="8:42" x14ac:dyDescent="0.25">
      <c r="H413" s="137"/>
      <c r="Y413" s="137"/>
      <c r="AP413" s="137"/>
    </row>
    <row r="414" spans="8:42" x14ac:dyDescent="0.25">
      <c r="H414" s="137"/>
      <c r="Y414" s="137"/>
      <c r="AP414" s="137"/>
    </row>
    <row r="415" spans="8:42" x14ac:dyDescent="0.25">
      <c r="H415" s="137"/>
      <c r="Y415" s="137"/>
      <c r="AP415" s="137"/>
    </row>
    <row r="416" spans="8:42" x14ac:dyDescent="0.25">
      <c r="H416" s="137"/>
      <c r="Y416" s="137"/>
      <c r="AP416" s="137"/>
    </row>
    <row r="417" spans="8:42" x14ac:dyDescent="0.25">
      <c r="H417" s="137"/>
      <c r="Y417" s="137"/>
      <c r="AP417" s="137"/>
    </row>
    <row r="418" spans="8:42" x14ac:dyDescent="0.25">
      <c r="H418" s="137"/>
      <c r="Y418" s="137"/>
      <c r="AP418" s="137"/>
    </row>
    <row r="419" spans="8:42" x14ac:dyDescent="0.25">
      <c r="H419" s="137"/>
      <c r="Y419" s="137"/>
      <c r="AP419" s="137"/>
    </row>
    <row r="420" spans="8:42" x14ac:dyDescent="0.25">
      <c r="H420" s="137"/>
      <c r="Y420" s="137"/>
      <c r="AP420" s="137"/>
    </row>
    <row r="421" spans="8:42" x14ac:dyDescent="0.25">
      <c r="H421" s="137"/>
      <c r="Y421" s="137"/>
      <c r="AP421" s="137"/>
    </row>
    <row r="422" spans="8:42" x14ac:dyDescent="0.25">
      <c r="H422" s="137"/>
      <c r="Y422" s="137"/>
      <c r="AP422" s="137"/>
    </row>
    <row r="423" spans="8:42" x14ac:dyDescent="0.25">
      <c r="H423" s="137"/>
      <c r="Y423" s="137"/>
      <c r="AP423" s="137"/>
    </row>
    <row r="424" spans="8:42" x14ac:dyDescent="0.25">
      <c r="H424" s="137"/>
      <c r="Y424" s="137"/>
      <c r="AP424" s="137"/>
    </row>
    <row r="425" spans="8:42" x14ac:dyDescent="0.25">
      <c r="H425" s="137"/>
      <c r="Y425" s="137"/>
      <c r="AP425" s="137"/>
    </row>
    <row r="426" spans="8:42" x14ac:dyDescent="0.25">
      <c r="H426" s="137"/>
      <c r="Y426" s="137"/>
      <c r="AP426" s="137"/>
    </row>
    <row r="427" spans="8:42" x14ac:dyDescent="0.25">
      <c r="H427" s="137"/>
      <c r="Y427" s="137"/>
      <c r="AP427" s="137"/>
    </row>
    <row r="428" spans="8:42" x14ac:dyDescent="0.25">
      <c r="H428" s="137"/>
      <c r="Y428" s="137"/>
      <c r="AP428" s="137"/>
    </row>
    <row r="429" spans="8:42" x14ac:dyDescent="0.25">
      <c r="H429" s="137"/>
      <c r="Y429" s="137"/>
      <c r="AP429" s="137"/>
    </row>
    <row r="430" spans="8:42" x14ac:dyDescent="0.25">
      <c r="H430" s="137"/>
      <c r="Y430" s="137"/>
      <c r="AP430" s="137"/>
    </row>
    <row r="431" spans="8:42" x14ac:dyDescent="0.25">
      <c r="H431" s="137"/>
      <c r="Y431" s="137"/>
      <c r="AP431" s="137"/>
    </row>
    <row r="432" spans="8:42" x14ac:dyDescent="0.25">
      <c r="H432" s="137"/>
      <c r="Y432" s="137"/>
      <c r="AP432" s="137"/>
    </row>
    <row r="433" spans="8:42" x14ac:dyDescent="0.25">
      <c r="H433" s="137"/>
      <c r="Y433" s="137"/>
      <c r="AP433" s="137"/>
    </row>
    <row r="434" spans="8:42" x14ac:dyDescent="0.25">
      <c r="H434" s="137"/>
      <c r="Y434" s="137"/>
      <c r="AP434" s="137"/>
    </row>
    <row r="435" spans="8:42" x14ac:dyDescent="0.25">
      <c r="H435" s="137"/>
      <c r="Y435" s="137"/>
      <c r="AP435" s="137"/>
    </row>
    <row r="436" spans="8:42" x14ac:dyDescent="0.25">
      <c r="H436" s="137"/>
      <c r="Y436" s="137"/>
      <c r="AP436" s="137"/>
    </row>
    <row r="437" spans="8:42" x14ac:dyDescent="0.25">
      <c r="H437" s="137"/>
      <c r="Y437" s="137"/>
      <c r="AP437" s="137"/>
    </row>
    <row r="438" spans="8:42" x14ac:dyDescent="0.25">
      <c r="H438" s="137"/>
      <c r="Y438" s="137"/>
      <c r="AP438" s="137"/>
    </row>
    <row r="439" spans="8:42" x14ac:dyDescent="0.25">
      <c r="H439" s="137"/>
      <c r="Y439" s="137"/>
      <c r="AP439" s="137"/>
    </row>
    <row r="440" spans="8:42" x14ac:dyDescent="0.25">
      <c r="H440" s="137"/>
      <c r="Y440" s="137"/>
      <c r="AP440" s="137"/>
    </row>
    <row r="441" spans="8:42" x14ac:dyDescent="0.25">
      <c r="H441" s="137"/>
      <c r="Y441" s="137"/>
      <c r="AP441" s="137"/>
    </row>
    <row r="442" spans="8:42" x14ac:dyDescent="0.25">
      <c r="H442" s="137"/>
      <c r="Y442" s="137"/>
      <c r="AP442" s="137"/>
    </row>
    <row r="443" spans="8:42" x14ac:dyDescent="0.25">
      <c r="H443" s="137"/>
      <c r="Y443" s="137"/>
      <c r="AP443" s="137"/>
    </row>
    <row r="444" spans="8:42" x14ac:dyDescent="0.25">
      <c r="H444" s="137"/>
      <c r="Y444" s="137"/>
      <c r="AP444" s="137"/>
    </row>
    <row r="445" spans="8:42" x14ac:dyDescent="0.25">
      <c r="H445" s="137"/>
      <c r="Y445" s="137"/>
      <c r="AP445" s="137"/>
    </row>
    <row r="446" spans="8:42" x14ac:dyDescent="0.25">
      <c r="H446" s="137"/>
      <c r="Y446" s="137"/>
      <c r="AP446" s="137"/>
    </row>
    <row r="447" spans="8:42" x14ac:dyDescent="0.25">
      <c r="H447" s="137"/>
      <c r="Y447" s="137"/>
      <c r="AP447" s="137"/>
    </row>
    <row r="448" spans="8:42" x14ac:dyDescent="0.25">
      <c r="H448" s="137"/>
      <c r="Y448" s="137"/>
      <c r="AP448" s="137"/>
    </row>
    <row r="449" spans="8:42" x14ac:dyDescent="0.25">
      <c r="H449" s="137"/>
      <c r="Y449" s="137"/>
      <c r="AP449" s="137"/>
    </row>
    <row r="450" spans="8:42" x14ac:dyDescent="0.25">
      <c r="H450" s="137"/>
      <c r="Y450" s="137"/>
      <c r="AP450" s="137"/>
    </row>
    <row r="451" spans="8:42" x14ac:dyDescent="0.25">
      <c r="H451" s="137"/>
      <c r="Y451" s="137"/>
      <c r="AP451" s="137"/>
    </row>
    <row r="452" spans="8:42" x14ac:dyDescent="0.25">
      <c r="H452" s="137"/>
    </row>
    <row r="453" spans="8:42" x14ac:dyDescent="0.25">
      <c r="H453" s="137"/>
    </row>
    <row r="454" spans="8:42" x14ac:dyDescent="0.25">
      <c r="H454" s="137"/>
    </row>
  </sheetData>
  <mergeCells count="14">
    <mergeCell ref="AL12:AM12"/>
    <mergeCell ref="AX12:AZ12"/>
    <mergeCell ref="BA12:BB12"/>
    <mergeCell ref="BC12:BD12"/>
    <mergeCell ref="P12:R12"/>
    <mergeCell ref="S12:T12"/>
    <mergeCell ref="U12:V12"/>
    <mergeCell ref="AG12:AI12"/>
    <mergeCell ref="AJ12:AK12"/>
    <mergeCell ref="G9:V9"/>
    <mergeCell ref="X9:AM9"/>
    <mergeCell ref="AO9:BF9"/>
    <mergeCell ref="BE11:BF11"/>
    <mergeCell ref="BH11:BM11"/>
  </mergeCells>
  <printOptions horizontalCentered="1"/>
  <pageMargins left="0.39370078740157483" right="0.23622047244094491" top="0.34" bottom="0.39370078740157483" header="0.23" footer="0.19685039370078741"/>
  <pageSetup paperSize="9" scale="45" fitToHeight="3" orientation="landscape" r:id="rId1"/>
  <headerFooter alignWithMargins="0">
    <oddFooter>&amp;L&amp;D&amp;T&amp;C&amp;F&amp;R&amp;A&amp;P</oddFooter>
  </headerFooter>
  <customProperties>
    <customPr name="_pios_id"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Formulae</vt:lpstr>
      <vt:lpstr>Model Update</vt:lpstr>
      <vt:lpstr>Outcome - DUoS</vt:lpstr>
      <vt:lpstr>TUoS</vt:lpstr>
      <vt:lpstr>JSO</vt:lpstr>
      <vt:lpstr>DUoS (t)</vt:lpstr>
      <vt:lpstr>TUoS (t)</vt:lpstr>
      <vt:lpstr>JSO (t)</vt:lpstr>
      <vt:lpstr>NUoS (t)</vt:lpstr>
      <vt:lpstr>Q (t)</vt:lpstr>
      <vt:lpstr>Cust Specific</vt:lpstr>
      <vt:lpstr>DUoS (t-1)</vt:lpstr>
      <vt:lpstr>TUoS (t-1)</vt:lpstr>
      <vt:lpstr>JSO (t-1)</vt:lpstr>
      <vt:lpstr>NUoS (t-1)</vt:lpstr>
      <vt:lpstr>Q (t-1)</vt:lpstr>
      <vt:lpstr>Pricing Scheule (t)</vt:lpstr>
      <vt:lpstr>2020-25 Pricing Schedule</vt:lpstr>
      <vt:lpstr>TSS REC</vt:lpstr>
      <vt:lpstr>RIN REC</vt:lpstr>
      <vt:lpstr>Formulae!_ftnref1</vt:lpstr>
      <vt:lpstr>Days_Summer_Demand</vt:lpstr>
      <vt:lpstr>Days_Year</vt:lpstr>
      <vt:lpstr>'Cust Specific'!Print_Area</vt:lpstr>
      <vt:lpstr>'DUoS (t)'!Print_Area</vt:lpstr>
      <vt:lpstr>'DUoS (t-1)'!Print_Area</vt:lpstr>
      <vt:lpstr>'JSO (t)'!Print_Area</vt:lpstr>
      <vt:lpstr>'JSO (t-1)'!Print_Area</vt:lpstr>
      <vt:lpstr>'NUoS (t)'!Print_Area</vt:lpstr>
      <vt:lpstr>'NUoS (t-1)'!Print_Area</vt:lpstr>
      <vt:lpstr>'Pricing Scheule (t)'!Print_Area</vt:lpstr>
      <vt:lpstr>'Q (t)'!Print_Area</vt:lpstr>
      <vt:lpstr>'Q (t-1)'!Print_Area</vt:lpstr>
      <vt:lpstr>'TUoS (t)'!Print_Area</vt:lpstr>
      <vt:lpstr>'TUoS (t-1)'!Print_Area</vt:lpstr>
      <vt:lpstr>'DUoS (t)'!Print_Titles</vt:lpstr>
      <vt:lpstr>'DUoS (t-1)'!Print_Titles</vt:lpstr>
      <vt:lpstr>'JSO (t)'!Print_Titles</vt:lpstr>
      <vt:lpstr>'JSO (t-1)'!Print_Titles</vt:lpstr>
      <vt:lpstr>'NUoS (t)'!Print_Titles</vt:lpstr>
      <vt:lpstr>'NUoS (t-1)'!Print_Titles</vt:lpstr>
      <vt:lpstr>'Q (t)'!Print_Titles</vt:lpstr>
      <vt:lpstr>'Q (t-1)'!Print_Titles</vt:lpstr>
      <vt:lpstr>'TUoS (t)'!Print_Titles</vt:lpstr>
      <vt:lpstr>'TUoS (t-1)'!Print_Titles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Bernhardt</dc:creator>
  <cp:lastModifiedBy>James Bennett</cp:lastModifiedBy>
  <cp:lastPrinted>2021-04-21T01:36:24Z</cp:lastPrinted>
  <dcterms:created xsi:type="dcterms:W3CDTF">2020-03-18T02:50:49Z</dcterms:created>
  <dcterms:modified xsi:type="dcterms:W3CDTF">2021-04-29T05:03:40Z</dcterms:modified>
</cp:coreProperties>
</file>